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7- JULHO\1-Celetro - Charles\Estrutura\"/>
    </mc:Choice>
  </mc:AlternateContent>
  <xr:revisionPtr revIDLastSave="0" documentId="13_ncr:1_{DD9083BF-7C75-4FE4-828F-C6A1DBD4BE96}" xr6:coauthVersionLast="47" xr6:coauthVersionMax="47" xr10:uidLastSave="{00000000-0000-0000-0000-000000000000}"/>
  <bookViews>
    <workbookView xWindow="-120" yWindow="-120" windowWidth="20730" windowHeight="11160" firstSheet="22" activeTab="29" xr2:uid="{4BC8CE3F-5114-4F47-9E26-DE71CCF67CB9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9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8" r:id="rId27"/>
    <sheet name="TA - Aplicação" sheetId="30" r:id="rId28"/>
    <sheet name="TA - BE" sheetId="31" r:id="rId29"/>
    <sheet name="TA - CVA" sheetId="32" r:id="rId30"/>
  </sheets>
  <definedNames>
    <definedName name="DadosExternos_1" localSheetId="27" hidden="1">'TA - Aplicação'!$B$3:$AR$49</definedName>
    <definedName name="DadosExternos_1" localSheetId="28" hidden="1">'TA - BE'!$B$3:$AR$49</definedName>
    <definedName name="DadosExternos_1" localSheetId="29" hidden="1">'TA - CVA'!$B$3:$AR$49</definedName>
  </definedNames>
  <calcPr calcId="191029"/>
  <pivotCaches>
    <pivotCache cacheId="1" r:id="rId31"/>
    <pivotCache cacheId="2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28" l="1"/>
  <c r="J34" i="28"/>
  <c r="K34" i="28"/>
  <c r="H34" i="28"/>
  <c r="H35" i="28"/>
  <c r="I35" i="28"/>
  <c r="J35" i="28"/>
  <c r="K35" i="28"/>
  <c r="I20" i="28"/>
  <c r="J20" i="28"/>
  <c r="K20" i="28"/>
  <c r="I21" i="28"/>
  <c r="J21" i="28"/>
  <c r="K21" i="28"/>
  <c r="I22" i="28"/>
  <c r="J22" i="28"/>
  <c r="K22" i="28"/>
  <c r="I23" i="28"/>
  <c r="J23" i="28"/>
  <c r="K23" i="28"/>
  <c r="I24" i="28"/>
  <c r="J24" i="28"/>
  <c r="K24" i="28"/>
  <c r="I25" i="28"/>
  <c r="J25" i="28"/>
  <c r="K25" i="28"/>
  <c r="I26" i="28"/>
  <c r="J26" i="28"/>
  <c r="K26" i="28"/>
  <c r="I27" i="28"/>
  <c r="J27" i="28"/>
  <c r="K27" i="28"/>
  <c r="I28" i="28"/>
  <c r="J28" i="28"/>
  <c r="K28" i="28"/>
  <c r="I29" i="28"/>
  <c r="J29" i="28"/>
  <c r="K29" i="28"/>
  <c r="I30" i="28"/>
  <c r="J30" i="28"/>
  <c r="K30" i="28"/>
  <c r="I31" i="28"/>
  <c r="J31" i="28"/>
  <c r="K31" i="28"/>
  <c r="H21" i="28"/>
  <c r="H22" i="28"/>
  <c r="H23" i="28"/>
  <c r="H24" i="28"/>
  <c r="H25" i="28"/>
  <c r="H26" i="28"/>
  <c r="H27" i="28"/>
  <c r="H28" i="28"/>
  <c r="H29" i="28"/>
  <c r="H30" i="28"/>
  <c r="H31" i="28"/>
  <c r="H20" i="28"/>
  <c r="P11" i="5" l="1"/>
  <c r="P10" i="5"/>
  <c r="P9" i="5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B2" i="28"/>
  <c r="C2" i="28"/>
  <c r="D2" i="28"/>
  <c r="E2" i="28"/>
  <c r="F2" i="28"/>
  <c r="G2" i="28"/>
  <c r="H2" i="28"/>
  <c r="J2" i="28"/>
  <c r="K2" i="28"/>
  <c r="L2" i="28"/>
  <c r="B11" i="28"/>
  <c r="R11" i="5" l="1"/>
  <c r="R10" i="5"/>
  <c r="R9" i="5"/>
  <c r="E36" i="5"/>
  <c r="F36" i="5"/>
  <c r="D30" i="5" s="1"/>
  <c r="L5" i="26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R13" i="21"/>
  <c r="AE12" i="21"/>
  <c r="AD12" i="21"/>
  <c r="AE8" i="21"/>
  <c r="AD8" i="21"/>
  <c r="AC8" i="21"/>
  <c r="AB8" i="21"/>
  <c r="AA8" i="21"/>
  <c r="W8" i="21"/>
  <c r="AJ8" i="21" s="1"/>
  <c r="V8" i="21"/>
  <c r="U8" i="21"/>
  <c r="T8" i="21"/>
  <c r="S8" i="21"/>
  <c r="Y8" i="21" s="1"/>
  <c r="AG8" i="21" s="1"/>
  <c r="R8" i="21"/>
  <c r="X8" i="21" s="1"/>
  <c r="AF8" i="21" s="1"/>
  <c r="AE6" i="21"/>
  <c r="AD6" i="21"/>
  <c r="AC6" i="21"/>
  <c r="AB6" i="21"/>
  <c r="AA6" i="21"/>
  <c r="W6" i="21"/>
  <c r="V6" i="21"/>
  <c r="U6" i="21"/>
  <c r="AI6" i="21" s="1"/>
  <c r="T6" i="21"/>
  <c r="S6" i="21"/>
  <c r="R6" i="21"/>
  <c r="AE5" i="21"/>
  <c r="AD5" i="21"/>
  <c r="AC5" i="21"/>
  <c r="AB5" i="21"/>
  <c r="AA5" i="21"/>
  <c r="W5" i="21"/>
  <c r="AJ5" i="21" s="1"/>
  <c r="V5" i="21"/>
  <c r="U5" i="21"/>
  <c r="T5" i="21"/>
  <c r="S5" i="21"/>
  <c r="Y5" i="21" s="1"/>
  <c r="R5" i="21"/>
  <c r="AE4" i="21"/>
  <c r="AD4" i="21"/>
  <c r="AC4" i="21"/>
  <c r="AB4" i="21"/>
  <c r="AA4" i="21"/>
  <c r="W4" i="21"/>
  <c r="V4" i="21"/>
  <c r="U4" i="21"/>
  <c r="T4" i="21"/>
  <c r="S4" i="21"/>
  <c r="Y4" i="21" s="1"/>
  <c r="AG4" i="21" s="1"/>
  <c r="R4" i="21"/>
  <c r="AE3" i="21"/>
  <c r="AD3" i="21"/>
  <c r="AC3" i="21"/>
  <c r="AB3" i="21"/>
  <c r="AA3" i="21"/>
  <c r="W3" i="21"/>
  <c r="V3" i="21"/>
  <c r="U3" i="21"/>
  <c r="AI3" i="21" s="1"/>
  <c r="T3" i="21"/>
  <c r="S3" i="21"/>
  <c r="R3" i="21"/>
  <c r="X3" i="21" s="1"/>
  <c r="AF3" i="21" s="1"/>
  <c r="J588" i="21"/>
  <c r="M588" i="21" s="1"/>
  <c r="J587" i="21"/>
  <c r="M587" i="21" s="1"/>
  <c r="J586" i="21"/>
  <c r="M586" i="21" s="1"/>
  <c r="J585" i="21"/>
  <c r="M585" i="21" s="1"/>
  <c r="J584" i="21"/>
  <c r="M584" i="21" s="1"/>
  <c r="J583" i="21"/>
  <c r="M583" i="21" s="1"/>
  <c r="J582" i="21"/>
  <c r="M582" i="21" s="1"/>
  <c r="J581" i="21"/>
  <c r="M581" i="21" s="1"/>
  <c r="J580" i="21"/>
  <c r="M580" i="21" s="1"/>
  <c r="J579" i="21"/>
  <c r="M579" i="21" s="1"/>
  <c r="J578" i="21"/>
  <c r="M578" i="21" s="1"/>
  <c r="J577" i="21"/>
  <c r="M577" i="21" s="1"/>
  <c r="J276" i="21"/>
  <c r="M276" i="21" s="1"/>
  <c r="J275" i="21"/>
  <c r="M275" i="21" s="1"/>
  <c r="J274" i="21"/>
  <c r="J273" i="21"/>
  <c r="M273" i="21" s="1"/>
  <c r="J272" i="21"/>
  <c r="M272" i="21" s="1"/>
  <c r="J271" i="21"/>
  <c r="J270" i="21"/>
  <c r="M270" i="21" s="1"/>
  <c r="J269" i="21"/>
  <c r="M269" i="21" s="1"/>
  <c r="J268" i="21"/>
  <c r="J267" i="21"/>
  <c r="M267" i="21" s="1"/>
  <c r="J266" i="21"/>
  <c r="J265" i="21"/>
  <c r="M265" i="21" s="1"/>
  <c r="J264" i="21"/>
  <c r="M264" i="21" s="1"/>
  <c r="J263" i="21"/>
  <c r="J262" i="21"/>
  <c r="M262" i="21" s="1"/>
  <c r="L261" i="21"/>
  <c r="O261" i="21" s="1"/>
  <c r="K261" i="21"/>
  <c r="N261" i="21" s="1"/>
  <c r="L260" i="21"/>
  <c r="O260" i="21" s="1"/>
  <c r="K260" i="21"/>
  <c r="L259" i="21"/>
  <c r="O259" i="21" s="1"/>
  <c r="K259" i="21"/>
  <c r="N259" i="21" s="1"/>
  <c r="L258" i="21"/>
  <c r="K258" i="21"/>
  <c r="N258" i="21" s="1"/>
  <c r="L257" i="21"/>
  <c r="O257" i="21" s="1"/>
  <c r="K257" i="21"/>
  <c r="L256" i="21"/>
  <c r="O256" i="21" s="1"/>
  <c r="K256" i="21"/>
  <c r="L255" i="21"/>
  <c r="O255" i="21" s="1"/>
  <c r="K255" i="21"/>
  <c r="N255" i="21" s="1"/>
  <c r="L254" i="21"/>
  <c r="K254" i="21"/>
  <c r="N254" i="21" s="1"/>
  <c r="L253" i="21"/>
  <c r="O253" i="21" s="1"/>
  <c r="K253" i="21"/>
  <c r="N253" i="21" s="1"/>
  <c r="L252" i="21"/>
  <c r="O252" i="21" s="1"/>
  <c r="K252" i="21"/>
  <c r="L251" i="21"/>
  <c r="O251" i="21" s="1"/>
  <c r="K251" i="21"/>
  <c r="N251" i="21" s="1"/>
  <c r="L250" i="21"/>
  <c r="K250" i="21"/>
  <c r="N250" i="21" s="1"/>
  <c r="L249" i="21"/>
  <c r="O249" i="21" s="1"/>
  <c r="K249" i="21"/>
  <c r="L248" i="21"/>
  <c r="O248" i="21" s="1"/>
  <c r="K248" i="21"/>
  <c r="L247" i="21"/>
  <c r="O247" i="21" s="1"/>
  <c r="K247" i="21"/>
  <c r="N247" i="21" s="1"/>
  <c r="L246" i="21"/>
  <c r="K246" i="21"/>
  <c r="N246" i="21" s="1"/>
  <c r="L245" i="21"/>
  <c r="O245" i="21" s="1"/>
  <c r="K245" i="21"/>
  <c r="N245" i="21" s="1"/>
  <c r="L244" i="21"/>
  <c r="O244" i="21" s="1"/>
  <c r="K244" i="21"/>
  <c r="L243" i="21"/>
  <c r="O243" i="21" s="1"/>
  <c r="K243" i="21"/>
  <c r="N243" i="21" s="1"/>
  <c r="L242" i="21"/>
  <c r="K242" i="21"/>
  <c r="N242" i="21" s="1"/>
  <c r="L241" i="21"/>
  <c r="K241" i="21"/>
  <c r="L240" i="21"/>
  <c r="O240" i="21" s="1"/>
  <c r="K240" i="21"/>
  <c r="L239" i="21"/>
  <c r="O239" i="21" s="1"/>
  <c r="K239" i="21"/>
  <c r="N239" i="21" s="1"/>
  <c r="L238" i="21"/>
  <c r="K238" i="21"/>
  <c r="N238" i="21" s="1"/>
  <c r="L237" i="21"/>
  <c r="O237" i="21" s="1"/>
  <c r="K237" i="21"/>
  <c r="N237" i="21" s="1"/>
  <c r="J236" i="21"/>
  <c r="M236" i="21" s="1"/>
  <c r="J235" i="21"/>
  <c r="J234" i="21"/>
  <c r="M234" i="21" s="1"/>
  <c r="J233" i="21"/>
  <c r="M233" i="21" s="1"/>
  <c r="J232" i="21"/>
  <c r="J231" i="21"/>
  <c r="M231" i="21" s="1"/>
  <c r="J230" i="21"/>
  <c r="M230" i="21" s="1"/>
  <c r="J229" i="21"/>
  <c r="J228" i="21"/>
  <c r="M228" i="21" s="1"/>
  <c r="J227" i="21"/>
  <c r="J226" i="21"/>
  <c r="M226" i="21" s="1"/>
  <c r="J225" i="21"/>
  <c r="M225" i="21" s="1"/>
  <c r="J224" i="21"/>
  <c r="J223" i="21"/>
  <c r="M223" i="21" s="1"/>
  <c r="J222" i="21"/>
  <c r="M222" i="21" s="1"/>
  <c r="J221" i="21"/>
  <c r="M221" i="21" s="1"/>
  <c r="J220" i="21"/>
  <c r="M220" i="21" s="1"/>
  <c r="J219" i="21"/>
  <c r="J218" i="21"/>
  <c r="M218" i="21" s="1"/>
  <c r="J217" i="21"/>
  <c r="M217" i="21" s="1"/>
  <c r="J216" i="21"/>
  <c r="J215" i="21"/>
  <c r="M215" i="21" s="1"/>
  <c r="J214" i="21"/>
  <c r="M214" i="21" s="1"/>
  <c r="J213" i="21"/>
  <c r="J212" i="21"/>
  <c r="M212" i="21" s="1"/>
  <c r="J211" i="21"/>
  <c r="J210" i="21"/>
  <c r="M210" i="21" s="1"/>
  <c r="J209" i="21"/>
  <c r="M209" i="21" s="1"/>
  <c r="L208" i="21"/>
  <c r="K208" i="21"/>
  <c r="N208" i="21" s="1"/>
  <c r="L207" i="21"/>
  <c r="O207" i="21" s="1"/>
  <c r="K207" i="21"/>
  <c r="N207" i="21" s="1"/>
  <c r="L206" i="21"/>
  <c r="O206" i="21" s="1"/>
  <c r="K206" i="21"/>
  <c r="L205" i="21"/>
  <c r="O205" i="21" s="1"/>
  <c r="K205" i="21"/>
  <c r="N205" i="21" s="1"/>
  <c r="L204" i="21"/>
  <c r="K204" i="21"/>
  <c r="N204" i="21" s="1"/>
  <c r="L203" i="21"/>
  <c r="O203" i="21" s="1"/>
  <c r="K203" i="21"/>
  <c r="L202" i="21"/>
  <c r="O202" i="21" s="1"/>
  <c r="K202" i="21"/>
  <c r="L201" i="21"/>
  <c r="O201" i="21" s="1"/>
  <c r="K201" i="21"/>
  <c r="N201" i="21" s="1"/>
  <c r="L200" i="21"/>
  <c r="K200" i="21"/>
  <c r="N200" i="21" s="1"/>
  <c r="L199" i="21"/>
  <c r="O199" i="21" s="1"/>
  <c r="K199" i="21"/>
  <c r="N199" i="21" s="1"/>
  <c r="L198" i="21"/>
  <c r="O198" i="21" s="1"/>
  <c r="K198" i="21"/>
  <c r="L197" i="21"/>
  <c r="O197" i="21" s="1"/>
  <c r="K197" i="21"/>
  <c r="N197" i="21" s="1"/>
  <c r="L196" i="21"/>
  <c r="K196" i="21"/>
  <c r="N196" i="21" s="1"/>
  <c r="L195" i="21"/>
  <c r="K195" i="21"/>
  <c r="L194" i="21"/>
  <c r="O194" i="21" s="1"/>
  <c r="K194" i="21"/>
  <c r="L193" i="21"/>
  <c r="O193" i="21" s="1"/>
  <c r="K193" i="21"/>
  <c r="N193" i="21" s="1"/>
  <c r="L192" i="21"/>
  <c r="K192" i="21"/>
  <c r="N192" i="21" s="1"/>
  <c r="L191" i="21"/>
  <c r="O191" i="21" s="1"/>
  <c r="K191" i="21"/>
  <c r="N191" i="21" s="1"/>
  <c r="L190" i="21"/>
  <c r="O190" i="21" s="1"/>
  <c r="K190" i="21"/>
  <c r="L189" i="21"/>
  <c r="O189" i="21" s="1"/>
  <c r="K189" i="21"/>
  <c r="N189" i="21" s="1"/>
  <c r="L188" i="21"/>
  <c r="K188" i="21"/>
  <c r="N188" i="21" s="1"/>
  <c r="L187" i="21"/>
  <c r="O187" i="21" s="1"/>
  <c r="K187" i="21"/>
  <c r="J186" i="21"/>
  <c r="M186" i="21" s="1"/>
  <c r="J185" i="21"/>
  <c r="J184" i="21"/>
  <c r="M184" i="21" s="1"/>
  <c r="J183" i="21"/>
  <c r="M183" i="21" s="1"/>
  <c r="J182" i="21"/>
  <c r="J181" i="21"/>
  <c r="M181" i="21" s="1"/>
  <c r="J180" i="21"/>
  <c r="M180" i="21" s="1"/>
  <c r="J179" i="21"/>
  <c r="M179" i="21" s="1"/>
  <c r="J178" i="21"/>
  <c r="M178" i="21" s="1"/>
  <c r="J177" i="21"/>
  <c r="J176" i="21"/>
  <c r="M176" i="21" s="1"/>
  <c r="J175" i="21"/>
  <c r="M175" i="21" s="1"/>
  <c r="J174" i="21"/>
  <c r="J173" i="21"/>
  <c r="M173" i="21" s="1"/>
  <c r="J172" i="21"/>
  <c r="M172" i="21" s="1"/>
  <c r="J171" i="21"/>
  <c r="J170" i="21"/>
  <c r="M170" i="21" s="1"/>
  <c r="J169" i="21"/>
  <c r="J168" i="21"/>
  <c r="M168" i="21" s="1"/>
  <c r="J167" i="21"/>
  <c r="M167" i="21" s="1"/>
  <c r="J166" i="21"/>
  <c r="J165" i="21"/>
  <c r="M165" i="21" s="1"/>
  <c r="J164" i="21"/>
  <c r="M164" i="21" s="1"/>
  <c r="J163" i="21"/>
  <c r="M163" i="21" s="1"/>
  <c r="J162" i="21"/>
  <c r="M162" i="21" s="1"/>
  <c r="J161" i="21"/>
  <c r="J160" i="21"/>
  <c r="M160" i="21" s="1"/>
  <c r="J159" i="21"/>
  <c r="M159" i="21" s="1"/>
  <c r="J158" i="21"/>
  <c r="J601" i="21"/>
  <c r="M601" i="21" s="1"/>
  <c r="J600" i="21"/>
  <c r="M600" i="21" s="1"/>
  <c r="J599" i="21"/>
  <c r="M599" i="21" s="1"/>
  <c r="J598" i="21"/>
  <c r="M598" i="21" s="1"/>
  <c r="J597" i="21"/>
  <c r="M597" i="21" s="1"/>
  <c r="J596" i="21"/>
  <c r="M596" i="21" s="1"/>
  <c r="J595" i="21"/>
  <c r="M595" i="21" s="1"/>
  <c r="J594" i="21"/>
  <c r="M594" i="21" s="1"/>
  <c r="J593" i="21"/>
  <c r="M593" i="21" s="1"/>
  <c r="M592" i="21"/>
  <c r="J592" i="21"/>
  <c r="J591" i="21"/>
  <c r="M591" i="21" s="1"/>
  <c r="J590" i="21"/>
  <c r="M590" i="21" s="1"/>
  <c r="J589" i="21"/>
  <c r="J576" i="21"/>
  <c r="M576" i="21" s="1"/>
  <c r="J575" i="21"/>
  <c r="M575" i="21" s="1"/>
  <c r="J574" i="21"/>
  <c r="M574" i="21" s="1"/>
  <c r="J573" i="21"/>
  <c r="M573" i="21" s="1"/>
  <c r="J572" i="21"/>
  <c r="M572" i="21" s="1"/>
  <c r="J571" i="21"/>
  <c r="M571" i="21" s="1"/>
  <c r="J570" i="21"/>
  <c r="M570" i="21" s="1"/>
  <c r="J569" i="21"/>
  <c r="M569" i="21" s="1"/>
  <c r="J568" i="21"/>
  <c r="M568" i="21" s="1"/>
  <c r="J567" i="21"/>
  <c r="M567" i="21" s="1"/>
  <c r="J566" i="21"/>
  <c r="M566" i="21" s="1"/>
  <c r="J565" i="21"/>
  <c r="M565" i="21" s="1"/>
  <c r="J564" i="21"/>
  <c r="M564" i="21" s="1"/>
  <c r="J563" i="21"/>
  <c r="M563" i="21" s="1"/>
  <c r="J562" i="21"/>
  <c r="M562" i="21" s="1"/>
  <c r="J561" i="21"/>
  <c r="M561" i="21" s="1"/>
  <c r="J560" i="21"/>
  <c r="M560" i="21" s="1"/>
  <c r="J559" i="21"/>
  <c r="M559" i="21" s="1"/>
  <c r="M558" i="21"/>
  <c r="J558" i="21"/>
  <c r="J557" i="21"/>
  <c r="M557" i="21" s="1"/>
  <c r="J556" i="21"/>
  <c r="M556" i="21" s="1"/>
  <c r="J555" i="21"/>
  <c r="M555" i="21" s="1"/>
  <c r="J554" i="21"/>
  <c r="M554" i="21" s="1"/>
  <c r="J553" i="21"/>
  <c r="M553" i="21" s="1"/>
  <c r="J552" i="21"/>
  <c r="M552" i="21" s="1"/>
  <c r="M551" i="21"/>
  <c r="J551" i="21"/>
  <c r="J550" i="21"/>
  <c r="M550" i="21" s="1"/>
  <c r="J549" i="21"/>
  <c r="M549" i="21" s="1"/>
  <c r="J548" i="21"/>
  <c r="M548" i="21" s="1"/>
  <c r="J547" i="21"/>
  <c r="M547" i="21" s="1"/>
  <c r="J546" i="21"/>
  <c r="M546" i="21" s="1"/>
  <c r="J545" i="21"/>
  <c r="M545" i="21" s="1"/>
  <c r="M544" i="21"/>
  <c r="J544" i="21"/>
  <c r="J543" i="21"/>
  <c r="M543" i="21" s="1"/>
  <c r="J542" i="21"/>
  <c r="M542" i="21" s="1"/>
  <c r="J541" i="21"/>
  <c r="M541" i="21" s="1"/>
  <c r="J540" i="21"/>
  <c r="M540" i="21" s="1"/>
  <c r="J539" i="21"/>
  <c r="M539" i="21" s="1"/>
  <c r="J538" i="21"/>
  <c r="M538" i="21" s="1"/>
  <c r="J537" i="21"/>
  <c r="M537" i="21" s="1"/>
  <c r="J536" i="21"/>
  <c r="M536" i="21" s="1"/>
  <c r="J535" i="21"/>
  <c r="M535" i="21" s="1"/>
  <c r="J534" i="21"/>
  <c r="M534" i="21" s="1"/>
  <c r="J533" i="21"/>
  <c r="M533" i="21" s="1"/>
  <c r="J532" i="21"/>
  <c r="M532" i="21" s="1"/>
  <c r="J531" i="21"/>
  <c r="M531" i="21" s="1"/>
  <c r="J530" i="21"/>
  <c r="M530" i="21" s="1"/>
  <c r="J529" i="21"/>
  <c r="M529" i="21" s="1"/>
  <c r="J528" i="21"/>
  <c r="M528" i="21" s="1"/>
  <c r="J527" i="21"/>
  <c r="M527" i="21" s="1"/>
  <c r="J526" i="21"/>
  <c r="M526" i="21" s="1"/>
  <c r="J525" i="21"/>
  <c r="M525" i="21" s="1"/>
  <c r="J524" i="21"/>
  <c r="M524" i="21" s="1"/>
  <c r="J523" i="21"/>
  <c r="M523" i="21" s="1"/>
  <c r="J522" i="21"/>
  <c r="M522" i="21" s="1"/>
  <c r="J521" i="21"/>
  <c r="M521" i="21" s="1"/>
  <c r="J520" i="21"/>
  <c r="M520" i="21" s="1"/>
  <c r="J519" i="21"/>
  <c r="M519" i="21" s="1"/>
  <c r="J518" i="21"/>
  <c r="M518" i="21" s="1"/>
  <c r="J517" i="21"/>
  <c r="M517" i="21" s="1"/>
  <c r="M516" i="21"/>
  <c r="J516" i="21"/>
  <c r="J515" i="21"/>
  <c r="M515" i="21" s="1"/>
  <c r="J514" i="21"/>
  <c r="M514" i="21" s="1"/>
  <c r="J513" i="21"/>
  <c r="M513" i="21" s="1"/>
  <c r="J512" i="21"/>
  <c r="M512" i="21" s="1"/>
  <c r="J511" i="21"/>
  <c r="M511" i="21" s="1"/>
  <c r="J510" i="21"/>
  <c r="M510" i="21" s="1"/>
  <c r="J509" i="21"/>
  <c r="M509" i="21" s="1"/>
  <c r="J508" i="21"/>
  <c r="M508" i="21" s="1"/>
  <c r="J507" i="21"/>
  <c r="M507" i="21" s="1"/>
  <c r="J506" i="21"/>
  <c r="M506" i="21" s="1"/>
  <c r="J505" i="21"/>
  <c r="M505" i="21" s="1"/>
  <c r="J504" i="21"/>
  <c r="M504" i="21" s="1"/>
  <c r="J503" i="21"/>
  <c r="M503" i="21" s="1"/>
  <c r="J502" i="21"/>
  <c r="M502" i="21" s="1"/>
  <c r="J501" i="21"/>
  <c r="M501" i="21" s="1"/>
  <c r="J500" i="21"/>
  <c r="M500" i="21" s="1"/>
  <c r="M499" i="21"/>
  <c r="J499" i="21"/>
  <c r="J498" i="21"/>
  <c r="M498" i="21" s="1"/>
  <c r="J497" i="21"/>
  <c r="M497" i="21" s="1"/>
  <c r="J496" i="21"/>
  <c r="M496" i="21" s="1"/>
  <c r="J495" i="21"/>
  <c r="M495" i="21" s="1"/>
  <c r="J494" i="21"/>
  <c r="M494" i="21" s="1"/>
  <c r="J493" i="21"/>
  <c r="M493" i="21" s="1"/>
  <c r="M492" i="21"/>
  <c r="J492" i="21"/>
  <c r="J491" i="21"/>
  <c r="M491" i="21" s="1"/>
  <c r="J490" i="21"/>
  <c r="M490" i="21" s="1"/>
  <c r="J489" i="21"/>
  <c r="M489" i="21" s="1"/>
  <c r="J488" i="21"/>
  <c r="M488" i="21" s="1"/>
  <c r="J487" i="21"/>
  <c r="M487" i="21" s="1"/>
  <c r="J486" i="21"/>
  <c r="M486" i="21" s="1"/>
  <c r="J485" i="21"/>
  <c r="M485" i="21" s="1"/>
  <c r="J484" i="21"/>
  <c r="M484" i="21" s="1"/>
  <c r="J483" i="21"/>
  <c r="M483" i="21" s="1"/>
  <c r="J482" i="21"/>
  <c r="M482" i="21" s="1"/>
  <c r="J481" i="21"/>
  <c r="M481" i="21" s="1"/>
  <c r="J480" i="21"/>
  <c r="M480" i="21" s="1"/>
  <c r="J479" i="21"/>
  <c r="M479" i="21" s="1"/>
  <c r="J478" i="21"/>
  <c r="M478" i="21" s="1"/>
  <c r="J477" i="21"/>
  <c r="M477" i="21" s="1"/>
  <c r="J476" i="21"/>
  <c r="M476" i="21" s="1"/>
  <c r="J475" i="21"/>
  <c r="M475" i="21" s="1"/>
  <c r="J474" i="21"/>
  <c r="M474" i="21" s="1"/>
  <c r="J473" i="21"/>
  <c r="M473" i="21" s="1"/>
  <c r="J472" i="21"/>
  <c r="M472" i="21" s="1"/>
  <c r="J471" i="21"/>
  <c r="M471" i="21" s="1"/>
  <c r="J470" i="21"/>
  <c r="M470" i="21" s="1"/>
  <c r="J469" i="21"/>
  <c r="M469" i="21" s="1"/>
  <c r="J468" i="21"/>
  <c r="M468" i="21" s="1"/>
  <c r="J467" i="21"/>
  <c r="M467" i="21" s="1"/>
  <c r="J466" i="21"/>
  <c r="M466" i="21" s="1"/>
  <c r="J465" i="21"/>
  <c r="M465" i="21" s="1"/>
  <c r="J464" i="21"/>
  <c r="M464" i="21" s="1"/>
  <c r="J463" i="21"/>
  <c r="M463" i="21" s="1"/>
  <c r="J462" i="21"/>
  <c r="M462" i="21" s="1"/>
  <c r="J461" i="21"/>
  <c r="M461" i="21" s="1"/>
  <c r="J460" i="21"/>
  <c r="M460" i="21" s="1"/>
  <c r="J459" i="21"/>
  <c r="M459" i="21" s="1"/>
  <c r="M458" i="21"/>
  <c r="J458" i="21"/>
  <c r="J457" i="21"/>
  <c r="M457" i="21" s="1"/>
  <c r="J456" i="21"/>
  <c r="M456" i="21" s="1"/>
  <c r="J455" i="21"/>
  <c r="M455" i="21" s="1"/>
  <c r="J454" i="21"/>
  <c r="M454" i="21" s="1"/>
  <c r="J453" i="21"/>
  <c r="M453" i="21" s="1"/>
  <c r="J452" i="21"/>
  <c r="M452" i="21" s="1"/>
  <c r="M451" i="21"/>
  <c r="J451" i="21"/>
  <c r="J450" i="21"/>
  <c r="M450" i="21" s="1"/>
  <c r="J449" i="21"/>
  <c r="M449" i="21" s="1"/>
  <c r="M448" i="21"/>
  <c r="J448" i="21"/>
  <c r="J447" i="21"/>
  <c r="M447" i="21" s="1"/>
  <c r="J446" i="21"/>
  <c r="M446" i="21" s="1"/>
  <c r="J445" i="21"/>
  <c r="M445" i="21" s="1"/>
  <c r="J444" i="21"/>
  <c r="M444" i="21" s="1"/>
  <c r="J443" i="21"/>
  <c r="M443" i="21" s="1"/>
  <c r="J442" i="21"/>
  <c r="M442" i="21" s="1"/>
  <c r="J441" i="21"/>
  <c r="M441" i="21" s="1"/>
  <c r="J440" i="21"/>
  <c r="M440" i="21" s="1"/>
  <c r="J439" i="21"/>
  <c r="M439" i="21" s="1"/>
  <c r="J438" i="21"/>
  <c r="M438" i="21" s="1"/>
  <c r="J437" i="21"/>
  <c r="M437" i="21" s="1"/>
  <c r="J436" i="21"/>
  <c r="M436" i="21" s="1"/>
  <c r="M435" i="21"/>
  <c r="J435" i="21"/>
  <c r="J434" i="21"/>
  <c r="M434" i="21" s="1"/>
  <c r="J433" i="21"/>
  <c r="M433" i="21" s="1"/>
  <c r="J432" i="21"/>
  <c r="M432" i="21" s="1"/>
  <c r="J431" i="21"/>
  <c r="M431" i="21" s="1"/>
  <c r="J430" i="21"/>
  <c r="M430" i="21" s="1"/>
  <c r="J429" i="21"/>
  <c r="M429" i="21" s="1"/>
  <c r="J428" i="21"/>
  <c r="M428" i="21" s="1"/>
  <c r="J427" i="21"/>
  <c r="M427" i="21" s="1"/>
  <c r="J426" i="21"/>
  <c r="M426" i="21" s="1"/>
  <c r="J425" i="21"/>
  <c r="M425" i="21" s="1"/>
  <c r="J424" i="21"/>
  <c r="M424" i="21" s="1"/>
  <c r="J423" i="21"/>
  <c r="M423" i="21" s="1"/>
  <c r="J422" i="21"/>
  <c r="M422" i="21" s="1"/>
  <c r="J421" i="21"/>
  <c r="M421" i="21" s="1"/>
  <c r="J420" i="21"/>
  <c r="M420" i="21" s="1"/>
  <c r="J419" i="21"/>
  <c r="M419" i="21" s="1"/>
  <c r="J418" i="21"/>
  <c r="M418" i="21" s="1"/>
  <c r="J417" i="21"/>
  <c r="M417" i="21" s="1"/>
  <c r="J416" i="21"/>
  <c r="M416" i="21" s="1"/>
  <c r="J415" i="21"/>
  <c r="M415" i="21" s="1"/>
  <c r="J414" i="21"/>
  <c r="M414" i="21" s="1"/>
  <c r="J413" i="21"/>
  <c r="M413" i="21" s="1"/>
  <c r="J412" i="21"/>
  <c r="M412" i="21" s="1"/>
  <c r="J411" i="21"/>
  <c r="M411" i="21" s="1"/>
  <c r="J410" i="21"/>
  <c r="M410" i="21" s="1"/>
  <c r="J409" i="21"/>
  <c r="M409" i="21" s="1"/>
  <c r="M408" i="21"/>
  <c r="J408" i="21"/>
  <c r="J407" i="21"/>
  <c r="M407" i="21" s="1"/>
  <c r="J406" i="21"/>
  <c r="M406" i="21" s="1"/>
  <c r="M405" i="21"/>
  <c r="J405" i="21"/>
  <c r="J404" i="21"/>
  <c r="M404" i="21" s="1"/>
  <c r="J403" i="21"/>
  <c r="M403" i="21" s="1"/>
  <c r="J402" i="21"/>
  <c r="M402" i="21" s="1"/>
  <c r="J401" i="21"/>
  <c r="M401" i="21" s="1"/>
  <c r="J400" i="21"/>
  <c r="M400" i="21" s="1"/>
  <c r="J399" i="21"/>
  <c r="M399" i="21" s="1"/>
  <c r="J398" i="21"/>
  <c r="M398" i="21" s="1"/>
  <c r="J397" i="21"/>
  <c r="M397" i="21" s="1"/>
  <c r="J396" i="21"/>
  <c r="M396" i="21" s="1"/>
  <c r="J395" i="21"/>
  <c r="M395" i="21" s="1"/>
  <c r="J394" i="21"/>
  <c r="M394" i="21" s="1"/>
  <c r="J393" i="21"/>
  <c r="M393" i="21" s="1"/>
  <c r="J392" i="21"/>
  <c r="M392" i="21" s="1"/>
  <c r="J391" i="21"/>
  <c r="M391" i="21" s="1"/>
  <c r="J390" i="21"/>
  <c r="M390" i="21" s="1"/>
  <c r="J389" i="21"/>
  <c r="M389" i="21" s="1"/>
  <c r="J388" i="21"/>
  <c r="M388" i="21" s="1"/>
  <c r="M387" i="21"/>
  <c r="J387" i="21"/>
  <c r="J386" i="21"/>
  <c r="M386" i="21" s="1"/>
  <c r="J385" i="21"/>
  <c r="M385" i="21" s="1"/>
  <c r="J384" i="21"/>
  <c r="M384" i="21" s="1"/>
  <c r="J383" i="21"/>
  <c r="M383" i="21" s="1"/>
  <c r="J382" i="21"/>
  <c r="M382" i="21" s="1"/>
  <c r="J381" i="21"/>
  <c r="M381" i="21" s="1"/>
  <c r="J380" i="21"/>
  <c r="M380" i="21" s="1"/>
  <c r="J379" i="21"/>
  <c r="M379" i="21" s="1"/>
  <c r="J378" i="21"/>
  <c r="M378" i="21" s="1"/>
  <c r="J377" i="21"/>
  <c r="M377" i="21" s="1"/>
  <c r="J376" i="21"/>
  <c r="M376" i="21" s="1"/>
  <c r="J375" i="21"/>
  <c r="M375" i="21" s="1"/>
  <c r="J374" i="21"/>
  <c r="M374" i="21" s="1"/>
  <c r="J373" i="21"/>
  <c r="M373" i="21" s="1"/>
  <c r="J372" i="21"/>
  <c r="M372" i="21" s="1"/>
  <c r="J371" i="21"/>
  <c r="M371" i="21" s="1"/>
  <c r="J370" i="21"/>
  <c r="M370" i="21" s="1"/>
  <c r="M369" i="21"/>
  <c r="J369" i="21"/>
  <c r="J368" i="21"/>
  <c r="M368" i="21" s="1"/>
  <c r="J367" i="21"/>
  <c r="M367" i="21" s="1"/>
  <c r="J366" i="21"/>
  <c r="M366" i="21" s="1"/>
  <c r="J365" i="21"/>
  <c r="M365" i="21" s="1"/>
  <c r="J364" i="21"/>
  <c r="M364" i="21" s="1"/>
  <c r="J363" i="21"/>
  <c r="M363" i="21" s="1"/>
  <c r="J362" i="21"/>
  <c r="M362" i="21" s="1"/>
  <c r="J361" i="21"/>
  <c r="M361" i="21" s="1"/>
  <c r="J360" i="21"/>
  <c r="M360" i="21" s="1"/>
  <c r="J359" i="21"/>
  <c r="M359" i="21" s="1"/>
  <c r="J358" i="21"/>
  <c r="M358" i="21" s="1"/>
  <c r="J357" i="21"/>
  <c r="M357" i="21" s="1"/>
  <c r="J356" i="21"/>
  <c r="M356" i="21" s="1"/>
  <c r="J355" i="21"/>
  <c r="M355" i="21" s="1"/>
  <c r="J354" i="21"/>
  <c r="M354" i="21" s="1"/>
  <c r="J353" i="21"/>
  <c r="M353" i="21" s="1"/>
  <c r="J352" i="21"/>
  <c r="M352" i="21" s="1"/>
  <c r="J351" i="21"/>
  <c r="M351" i="21" s="1"/>
  <c r="J350" i="21"/>
  <c r="M350" i="21" s="1"/>
  <c r="J349" i="21"/>
  <c r="M349" i="21" s="1"/>
  <c r="J348" i="21"/>
  <c r="M348" i="21" s="1"/>
  <c r="J347" i="21"/>
  <c r="M347" i="21" s="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J338" i="21"/>
  <c r="M338" i="21" s="1"/>
  <c r="M337" i="21"/>
  <c r="J337" i="21"/>
  <c r="J336" i="21"/>
  <c r="M336" i="21" s="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M329" i="21"/>
  <c r="J329" i="21"/>
  <c r="J328" i="21"/>
  <c r="M328" i="21" s="1"/>
  <c r="J327" i="21"/>
  <c r="M327" i="21" s="1"/>
  <c r="J326" i="21"/>
  <c r="M326" i="21" s="1"/>
  <c r="J325" i="21"/>
  <c r="M325" i="21" s="1"/>
  <c r="J324" i="21"/>
  <c r="M324" i="21" s="1"/>
  <c r="J323" i="21"/>
  <c r="M323" i="21" s="1"/>
  <c r="J322" i="21"/>
  <c r="M322" i="21" s="1"/>
  <c r="J321" i="21"/>
  <c r="M321" i="21" s="1"/>
  <c r="J320" i="21"/>
  <c r="M320" i="21" s="1"/>
  <c r="J319" i="21"/>
  <c r="M319" i="21" s="1"/>
  <c r="J318" i="21"/>
  <c r="M318" i="21" s="1"/>
  <c r="J317" i="21"/>
  <c r="M317" i="21" s="1"/>
  <c r="J316" i="21"/>
  <c r="M316" i="21" s="1"/>
  <c r="J315" i="21"/>
  <c r="M315" i="21" s="1"/>
  <c r="J314" i="21"/>
  <c r="M314" i="21" s="1"/>
  <c r="J313" i="21"/>
  <c r="M313" i="21" s="1"/>
  <c r="J312" i="21"/>
  <c r="M312" i="21" s="1"/>
  <c r="M311" i="21"/>
  <c r="J311" i="21"/>
  <c r="J310" i="21"/>
  <c r="M310" i="21" s="1"/>
  <c r="J309" i="21"/>
  <c r="M309" i="21" s="1"/>
  <c r="J308" i="21"/>
  <c r="M308" i="21" s="1"/>
  <c r="J307" i="21"/>
  <c r="M307" i="21" s="1"/>
  <c r="J306" i="21"/>
  <c r="M306" i="21" s="1"/>
  <c r="J305" i="21"/>
  <c r="M305" i="21" s="1"/>
  <c r="J304" i="21"/>
  <c r="M304" i="21" s="1"/>
  <c r="J303" i="21"/>
  <c r="M303" i="21" s="1"/>
  <c r="J302" i="21"/>
  <c r="M302" i="21" s="1"/>
  <c r="J301" i="21"/>
  <c r="M301" i="21" s="1"/>
  <c r="J300" i="21"/>
  <c r="M300" i="21" s="1"/>
  <c r="J299" i="21"/>
  <c r="M299" i="21" s="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J291" i="21"/>
  <c r="M291" i="21" s="1"/>
  <c r="J290" i="21"/>
  <c r="M290" i="21" s="1"/>
  <c r="J289" i="21"/>
  <c r="M289" i="21" s="1"/>
  <c r="J288" i="21"/>
  <c r="M288" i="21" s="1"/>
  <c r="J287" i="21"/>
  <c r="M287" i="21" s="1"/>
  <c r="J286" i="21"/>
  <c r="M286" i="21" s="1"/>
  <c r="J285" i="21"/>
  <c r="M285" i="21" s="1"/>
  <c r="J284" i="21"/>
  <c r="M284" i="21" s="1"/>
  <c r="J283" i="21"/>
  <c r="M283" i="21" s="1"/>
  <c r="J282" i="21"/>
  <c r="M282" i="21" s="1"/>
  <c r="J281" i="21"/>
  <c r="M281" i="21" s="1"/>
  <c r="J280" i="21"/>
  <c r="M280" i="21" s="1"/>
  <c r="M279" i="21"/>
  <c r="J279" i="21"/>
  <c r="J278" i="21"/>
  <c r="M278" i="21" s="1"/>
  <c r="J277" i="21"/>
  <c r="M277" i="21" s="1"/>
  <c r="M274" i="21"/>
  <c r="M271" i="21"/>
  <c r="M268" i="21"/>
  <c r="M266" i="21"/>
  <c r="M263" i="21"/>
  <c r="N260" i="21"/>
  <c r="O258" i="21"/>
  <c r="N257" i="21"/>
  <c r="N256" i="21"/>
  <c r="O254" i="21"/>
  <c r="N252" i="21"/>
  <c r="O250" i="21"/>
  <c r="N249" i="21"/>
  <c r="N248" i="21"/>
  <c r="O246" i="21"/>
  <c r="N244" i="21"/>
  <c r="O242" i="21"/>
  <c r="O241" i="21"/>
  <c r="N241" i="21"/>
  <c r="N240" i="21"/>
  <c r="O238" i="21"/>
  <c r="M235" i="21"/>
  <c r="M232" i="21"/>
  <c r="M229" i="21"/>
  <c r="M227" i="21"/>
  <c r="M224" i="21"/>
  <c r="M219" i="21"/>
  <c r="M216" i="21"/>
  <c r="M213" i="21"/>
  <c r="M211" i="21"/>
  <c r="O208" i="21"/>
  <c r="N206" i="21"/>
  <c r="O204" i="21"/>
  <c r="N203" i="21"/>
  <c r="N202" i="21"/>
  <c r="O200" i="21"/>
  <c r="N198" i="21"/>
  <c r="O196" i="21"/>
  <c r="O195" i="21"/>
  <c r="N195" i="21"/>
  <c r="N194" i="21"/>
  <c r="O192" i="21"/>
  <c r="N190" i="21"/>
  <c r="O188" i="21"/>
  <c r="N187" i="21"/>
  <c r="M185" i="21"/>
  <c r="M182" i="21"/>
  <c r="M177" i="21"/>
  <c r="M174" i="21"/>
  <c r="M171" i="21"/>
  <c r="M169" i="21"/>
  <c r="M166" i="21"/>
  <c r="M161" i="21"/>
  <c r="M158" i="21"/>
  <c r="J157" i="21"/>
  <c r="M157" i="21" s="1"/>
  <c r="M156" i="21"/>
  <c r="J156" i="21"/>
  <c r="J155" i="21"/>
  <c r="M155" i="21" s="1"/>
  <c r="J154" i="21"/>
  <c r="M154" i="21" s="1"/>
  <c r="J153" i="21"/>
  <c r="M153" i="21" s="1"/>
  <c r="J152" i="21"/>
  <c r="M152" i="21" s="1"/>
  <c r="J151" i="21"/>
  <c r="M151" i="21" s="1"/>
  <c r="J150" i="21"/>
  <c r="M150" i="21" s="1"/>
  <c r="M149" i="21"/>
  <c r="J149" i="21"/>
  <c r="J148" i="21"/>
  <c r="M148" i="21" s="1"/>
  <c r="J147" i="21"/>
  <c r="M147" i="21" s="1"/>
  <c r="J146" i="21"/>
  <c r="M146" i="21" s="1"/>
  <c r="J145" i="21"/>
  <c r="M145" i="21" s="1"/>
  <c r="J144" i="21"/>
  <c r="M144" i="21" s="1"/>
  <c r="L143" i="21"/>
  <c r="O143" i="21" s="1"/>
  <c r="K143" i="21"/>
  <c r="N143" i="21" s="1"/>
  <c r="L142" i="21"/>
  <c r="O142" i="21" s="1"/>
  <c r="K142" i="21"/>
  <c r="N142" i="21" s="1"/>
  <c r="L141" i="21"/>
  <c r="O141" i="21" s="1"/>
  <c r="K141" i="21"/>
  <c r="N141" i="21" s="1"/>
  <c r="L140" i="21"/>
  <c r="O140" i="21" s="1"/>
  <c r="K140" i="21"/>
  <c r="N140" i="21" s="1"/>
  <c r="L139" i="21"/>
  <c r="O139" i="21" s="1"/>
  <c r="K139" i="21"/>
  <c r="N139" i="21" s="1"/>
  <c r="L138" i="21"/>
  <c r="O138" i="21" s="1"/>
  <c r="K138" i="21"/>
  <c r="N138" i="21" s="1"/>
  <c r="L137" i="21"/>
  <c r="O137" i="21" s="1"/>
  <c r="K137" i="21"/>
  <c r="N137" i="21" s="1"/>
  <c r="L136" i="21"/>
  <c r="O136" i="21" s="1"/>
  <c r="K136" i="21"/>
  <c r="N136" i="21" s="1"/>
  <c r="L135" i="21"/>
  <c r="O135" i="21" s="1"/>
  <c r="K135" i="21"/>
  <c r="N135" i="21" s="1"/>
  <c r="L134" i="21"/>
  <c r="O134" i="21" s="1"/>
  <c r="K134" i="21"/>
  <c r="N134" i="21" s="1"/>
  <c r="L133" i="21"/>
  <c r="O133" i="21" s="1"/>
  <c r="K133" i="21"/>
  <c r="N133" i="21" s="1"/>
  <c r="L132" i="21"/>
  <c r="O132" i="21" s="1"/>
  <c r="K132" i="21"/>
  <c r="N132" i="21" s="1"/>
  <c r="L131" i="21"/>
  <c r="O131" i="21" s="1"/>
  <c r="K131" i="21"/>
  <c r="N131" i="21" s="1"/>
  <c r="L130" i="21"/>
  <c r="O130" i="21" s="1"/>
  <c r="K130" i="21"/>
  <c r="N130" i="21" s="1"/>
  <c r="O129" i="21"/>
  <c r="L129" i="21"/>
  <c r="K129" i="21"/>
  <c r="N129" i="21" s="1"/>
  <c r="L128" i="21"/>
  <c r="O128" i="21" s="1"/>
  <c r="K128" i="21"/>
  <c r="N128" i="21" s="1"/>
  <c r="L127" i="21"/>
  <c r="O127" i="21" s="1"/>
  <c r="K127" i="21"/>
  <c r="N127" i="21" s="1"/>
  <c r="L126" i="21"/>
  <c r="O126" i="21" s="1"/>
  <c r="K126" i="21"/>
  <c r="N126" i="21" s="1"/>
  <c r="J125" i="21"/>
  <c r="M125" i="21" s="1"/>
  <c r="J124" i="21"/>
  <c r="M124" i="21" s="1"/>
  <c r="J123" i="21"/>
  <c r="M123" i="21" s="1"/>
  <c r="J122" i="21"/>
  <c r="M122" i="21" s="1"/>
  <c r="J121" i="21"/>
  <c r="M121" i="21" s="1"/>
  <c r="J120" i="21"/>
  <c r="M120" i="21" s="1"/>
  <c r="J119" i="21"/>
  <c r="M119" i="21" s="1"/>
  <c r="J118" i="21"/>
  <c r="M118" i="21" s="1"/>
  <c r="J117" i="21"/>
  <c r="M117" i="21" s="1"/>
  <c r="J116" i="21"/>
  <c r="M116" i="21" s="1"/>
  <c r="J115" i="21"/>
  <c r="M115" i="21" s="1"/>
  <c r="J114" i="21"/>
  <c r="M114" i="21" s="1"/>
  <c r="J113" i="21"/>
  <c r="M113" i="21" s="1"/>
  <c r="J112" i="21"/>
  <c r="M112" i="21" s="1"/>
  <c r="L111" i="21"/>
  <c r="O111" i="21" s="1"/>
  <c r="J111" i="21"/>
  <c r="M111" i="21" s="1"/>
  <c r="L110" i="21"/>
  <c r="O110" i="21" s="1"/>
  <c r="J110" i="21"/>
  <c r="M110" i="21" s="1"/>
  <c r="L109" i="21"/>
  <c r="O109" i="21" s="1"/>
  <c r="J109" i="21"/>
  <c r="M109" i="21" s="1"/>
  <c r="L108" i="21"/>
  <c r="O108" i="21" s="1"/>
  <c r="J108" i="21"/>
  <c r="M108" i="21" s="1"/>
  <c r="L107" i="21"/>
  <c r="O107" i="21" s="1"/>
  <c r="J107" i="21"/>
  <c r="M107" i="21" s="1"/>
  <c r="L106" i="21"/>
  <c r="O106" i="21" s="1"/>
  <c r="J106" i="21"/>
  <c r="M106" i="21" s="1"/>
  <c r="O105" i="21"/>
  <c r="L105" i="21"/>
  <c r="J105" i="21"/>
  <c r="M105" i="21" s="1"/>
  <c r="L104" i="21"/>
  <c r="O104" i="21" s="1"/>
  <c r="J104" i="21"/>
  <c r="M104" i="21" s="1"/>
  <c r="L103" i="21"/>
  <c r="O103" i="21" s="1"/>
  <c r="J103" i="21"/>
  <c r="M103" i="21" s="1"/>
  <c r="L102" i="21"/>
  <c r="O102" i="21" s="1"/>
  <c r="J102" i="21"/>
  <c r="M102" i="21" s="1"/>
  <c r="L101" i="21"/>
  <c r="O101" i="21" s="1"/>
  <c r="K101" i="21"/>
  <c r="N101" i="21" s="1"/>
  <c r="L100" i="21"/>
  <c r="O100" i="21" s="1"/>
  <c r="K100" i="21"/>
  <c r="N100" i="21" s="1"/>
  <c r="L99" i="21"/>
  <c r="O99" i="21" s="1"/>
  <c r="K99" i="21"/>
  <c r="N99" i="21" s="1"/>
  <c r="L98" i="21"/>
  <c r="O98" i="21" s="1"/>
  <c r="K98" i="21"/>
  <c r="N98" i="21" s="1"/>
  <c r="L97" i="21"/>
  <c r="O97" i="21" s="1"/>
  <c r="K97" i="21"/>
  <c r="N97" i="21" s="1"/>
  <c r="L96" i="21"/>
  <c r="O96" i="21" s="1"/>
  <c r="K96" i="21"/>
  <c r="N96" i="21" s="1"/>
  <c r="N95" i="21"/>
  <c r="L95" i="21"/>
  <c r="O95" i="21" s="1"/>
  <c r="K95" i="21"/>
  <c r="L94" i="21"/>
  <c r="O94" i="21" s="1"/>
  <c r="K94" i="21"/>
  <c r="N94" i="21" s="1"/>
  <c r="L93" i="21"/>
  <c r="O93" i="21" s="1"/>
  <c r="K93" i="21"/>
  <c r="N93" i="21" s="1"/>
  <c r="N92" i="21"/>
  <c r="L92" i="21"/>
  <c r="O92" i="21" s="1"/>
  <c r="K92" i="21"/>
  <c r="N91" i="21"/>
  <c r="L91" i="21"/>
  <c r="O91" i="21" s="1"/>
  <c r="K91" i="21"/>
  <c r="L90" i="21"/>
  <c r="O90" i="21" s="1"/>
  <c r="K90" i="21"/>
  <c r="N90" i="21" s="1"/>
  <c r="L89" i="21"/>
  <c r="O89" i="21" s="1"/>
  <c r="J89" i="21"/>
  <c r="M89" i="21" s="1"/>
  <c r="L88" i="21"/>
  <c r="O88" i="21" s="1"/>
  <c r="J88" i="21"/>
  <c r="M88" i="21" s="1"/>
  <c r="L87" i="21"/>
  <c r="O87" i="21" s="1"/>
  <c r="J87" i="21"/>
  <c r="M87" i="21" s="1"/>
  <c r="L86" i="21"/>
  <c r="O86" i="21" s="1"/>
  <c r="J86" i="21"/>
  <c r="M86" i="21" s="1"/>
  <c r="L85" i="21"/>
  <c r="O85" i="21" s="1"/>
  <c r="J85" i="21"/>
  <c r="M85" i="21" s="1"/>
  <c r="L84" i="21"/>
  <c r="O84" i="21" s="1"/>
  <c r="J84" i="21"/>
  <c r="M84" i="21" s="1"/>
  <c r="L83" i="21"/>
  <c r="O83" i="21" s="1"/>
  <c r="J83" i="21"/>
  <c r="M83" i="21" s="1"/>
  <c r="L82" i="21"/>
  <c r="O82" i="21" s="1"/>
  <c r="J82" i="21"/>
  <c r="M82" i="21" s="1"/>
  <c r="L81" i="21"/>
  <c r="O81" i="21" s="1"/>
  <c r="J81" i="21"/>
  <c r="M81" i="21" s="1"/>
  <c r="L80" i="21"/>
  <c r="O80" i="21" s="1"/>
  <c r="J80" i="21"/>
  <c r="M80" i="21" s="1"/>
  <c r="J79" i="21"/>
  <c r="M79" i="21" s="1"/>
  <c r="J78" i="21"/>
  <c r="M78" i="21" s="1"/>
  <c r="J77" i="21"/>
  <c r="M77" i="21" s="1"/>
  <c r="J76" i="21"/>
  <c r="M76" i="21" s="1"/>
  <c r="J75" i="21"/>
  <c r="M75" i="21" s="1"/>
  <c r="J74" i="21"/>
  <c r="M74" i="21" s="1"/>
  <c r="J73" i="21"/>
  <c r="M73" i="21" s="1"/>
  <c r="J72" i="21"/>
  <c r="M72" i="21" s="1"/>
  <c r="J71" i="21"/>
  <c r="M71" i="21" s="1"/>
  <c r="J70" i="21"/>
  <c r="M70" i="21" s="1"/>
  <c r="J69" i="21"/>
  <c r="M69" i="21" s="1"/>
  <c r="J68" i="21"/>
  <c r="M68" i="21" s="1"/>
  <c r="J67" i="21"/>
  <c r="M67" i="21" s="1"/>
  <c r="J66" i="21"/>
  <c r="M66" i="21" s="1"/>
  <c r="J65" i="21"/>
  <c r="M65" i="21" s="1"/>
  <c r="J64" i="21"/>
  <c r="M64" i="21" s="1"/>
  <c r="J63" i="21"/>
  <c r="M63" i="21" s="1"/>
  <c r="J62" i="21"/>
  <c r="M62" i="21" s="1"/>
  <c r="J61" i="21"/>
  <c r="M61" i="21" s="1"/>
  <c r="J60" i="21"/>
  <c r="M60" i="21" s="1"/>
  <c r="N59" i="21"/>
  <c r="L59" i="21"/>
  <c r="O59" i="21" s="1"/>
  <c r="K59" i="21"/>
  <c r="L58" i="21"/>
  <c r="O58" i="21" s="1"/>
  <c r="K58" i="21"/>
  <c r="N58" i="21" s="1"/>
  <c r="L57" i="21"/>
  <c r="O57" i="21" s="1"/>
  <c r="K57" i="21"/>
  <c r="N57" i="21" s="1"/>
  <c r="N56" i="21"/>
  <c r="L56" i="21"/>
  <c r="O56" i="21" s="1"/>
  <c r="K56" i="21"/>
  <c r="N55" i="21"/>
  <c r="L55" i="21"/>
  <c r="O55" i="21" s="1"/>
  <c r="K55" i="21"/>
  <c r="L54" i="21"/>
  <c r="O54" i="21" s="1"/>
  <c r="K54" i="21"/>
  <c r="N54" i="21" s="1"/>
  <c r="N53" i="21"/>
  <c r="L53" i="21"/>
  <c r="O53" i="21" s="1"/>
  <c r="K53" i="21"/>
  <c r="N52" i="21"/>
  <c r="L52" i="21"/>
  <c r="O52" i="21" s="1"/>
  <c r="K52" i="21"/>
  <c r="L51" i="21"/>
  <c r="O51" i="21" s="1"/>
  <c r="K51" i="21"/>
  <c r="N51" i="21" s="1"/>
  <c r="L50" i="21"/>
  <c r="O50" i="21" s="1"/>
  <c r="K50" i="21"/>
  <c r="N50" i="21" s="1"/>
  <c r="N49" i="21"/>
  <c r="L49" i="21"/>
  <c r="O49" i="21" s="1"/>
  <c r="K49" i="21"/>
  <c r="L48" i="21"/>
  <c r="O48" i="21" s="1"/>
  <c r="K48" i="21"/>
  <c r="N48" i="21" s="1"/>
  <c r="L47" i="21"/>
  <c r="O47" i="21" s="1"/>
  <c r="K47" i="21"/>
  <c r="N47" i="21" s="1"/>
  <c r="L46" i="21"/>
  <c r="O46" i="21" s="1"/>
  <c r="K46" i="21"/>
  <c r="N46" i="21" s="1"/>
  <c r="N45" i="21"/>
  <c r="L45" i="21"/>
  <c r="O45" i="21" s="1"/>
  <c r="K45" i="21"/>
  <c r="L44" i="21"/>
  <c r="O44" i="21" s="1"/>
  <c r="K44" i="21"/>
  <c r="N44" i="21" s="1"/>
  <c r="N43" i="21"/>
  <c r="L43" i="21"/>
  <c r="O43" i="21" s="1"/>
  <c r="K43" i="21"/>
  <c r="N42" i="21"/>
  <c r="L42" i="21"/>
  <c r="O42" i="21" s="1"/>
  <c r="K42" i="21"/>
  <c r="L41" i="21"/>
  <c r="O41" i="21" s="1"/>
  <c r="K41" i="21"/>
  <c r="N41" i="21" s="1"/>
  <c r="N40" i="21"/>
  <c r="L40" i="21"/>
  <c r="O40" i="21" s="1"/>
  <c r="K40" i="21"/>
  <c r="L39" i="21"/>
  <c r="O39" i="21" s="1"/>
  <c r="K39" i="21"/>
  <c r="N39" i="21" s="1"/>
  <c r="L38" i="21"/>
  <c r="O38" i="21" s="1"/>
  <c r="K38" i="21"/>
  <c r="N38" i="21" s="1"/>
  <c r="L37" i="21"/>
  <c r="O37" i="21" s="1"/>
  <c r="K37" i="21"/>
  <c r="N37" i="21" s="1"/>
  <c r="L36" i="21"/>
  <c r="O36" i="21" s="1"/>
  <c r="K36" i="21"/>
  <c r="N36" i="21" s="1"/>
  <c r="L35" i="21"/>
  <c r="O35" i="21" s="1"/>
  <c r="K35" i="21"/>
  <c r="N35" i="21" s="1"/>
  <c r="J34" i="21"/>
  <c r="M34" i="21" s="1"/>
  <c r="J33" i="21"/>
  <c r="M33" i="21" s="1"/>
  <c r="J32" i="21"/>
  <c r="M32" i="21" s="1"/>
  <c r="J31" i="21"/>
  <c r="M31" i="21" s="1"/>
  <c r="J30" i="21"/>
  <c r="M30" i="21" s="1"/>
  <c r="J29" i="21"/>
  <c r="M29" i="21" s="1"/>
  <c r="J28" i="21"/>
  <c r="M28" i="21" s="1"/>
  <c r="J27" i="21"/>
  <c r="M27" i="21" s="1"/>
  <c r="J26" i="21"/>
  <c r="M26" i="21" s="1"/>
  <c r="J25" i="21"/>
  <c r="M25" i="21" s="1"/>
  <c r="J24" i="21"/>
  <c r="M24" i="21" s="1"/>
  <c r="J23" i="21"/>
  <c r="M23" i="21" s="1"/>
  <c r="J22" i="21"/>
  <c r="M22" i="21" s="1"/>
  <c r="J21" i="21"/>
  <c r="M21" i="21" s="1"/>
  <c r="J20" i="21"/>
  <c r="M20" i="21" s="1"/>
  <c r="J19" i="21"/>
  <c r="M19" i="21" s="1"/>
  <c r="J18" i="21"/>
  <c r="M18" i="21" s="1"/>
  <c r="J17" i="21"/>
  <c r="M17" i="21" s="1"/>
  <c r="J16" i="21"/>
  <c r="M16" i="21" s="1"/>
  <c r="X588" i="16"/>
  <c r="W588" i="16"/>
  <c r="X587" i="16"/>
  <c r="W587" i="16"/>
  <c r="X586" i="16"/>
  <c r="W586" i="16"/>
  <c r="AC586" i="16" s="1"/>
  <c r="X585" i="16"/>
  <c r="W585" i="16"/>
  <c r="X584" i="16"/>
  <c r="W584" i="16"/>
  <c r="X583" i="16"/>
  <c r="W583" i="16"/>
  <c r="X582" i="16"/>
  <c r="W582" i="16"/>
  <c r="AC582" i="16" s="1"/>
  <c r="X581" i="16"/>
  <c r="W581" i="16"/>
  <c r="X580" i="16"/>
  <c r="W580" i="16"/>
  <c r="X579" i="16"/>
  <c r="W579" i="16"/>
  <c r="X578" i="16"/>
  <c r="W578" i="16"/>
  <c r="AC578" i="16" s="1"/>
  <c r="X577" i="16"/>
  <c r="W577" i="16"/>
  <c r="AD350" i="17"/>
  <c r="X350" i="17"/>
  <c r="W350" i="17"/>
  <c r="AD349" i="17"/>
  <c r="X349" i="17"/>
  <c r="W349" i="17"/>
  <c r="AD348" i="17"/>
  <c r="X348" i="17"/>
  <c r="W348" i="17"/>
  <c r="AD347" i="17"/>
  <c r="X347" i="17"/>
  <c r="W347" i="17"/>
  <c r="AD346" i="17"/>
  <c r="X346" i="17"/>
  <c r="W346" i="17"/>
  <c r="AD345" i="17"/>
  <c r="X345" i="17"/>
  <c r="W345" i="17"/>
  <c r="AD344" i="17"/>
  <c r="X344" i="17"/>
  <c r="W344" i="17"/>
  <c r="AD343" i="17"/>
  <c r="X343" i="17"/>
  <c r="W343" i="17"/>
  <c r="AD342" i="17"/>
  <c r="X342" i="17"/>
  <c r="W342" i="17"/>
  <c r="AD341" i="17"/>
  <c r="X341" i="17"/>
  <c r="W341" i="17"/>
  <c r="AD340" i="17"/>
  <c r="X340" i="17"/>
  <c r="W340" i="17"/>
  <c r="AD339" i="17"/>
  <c r="X339" i="17"/>
  <c r="W339" i="17"/>
  <c r="X276" i="16"/>
  <c r="W276" i="16"/>
  <c r="X275" i="16"/>
  <c r="W275" i="16"/>
  <c r="X274" i="16"/>
  <c r="W274" i="16"/>
  <c r="X273" i="16"/>
  <c r="W273" i="16"/>
  <c r="X272" i="16"/>
  <c r="W272" i="16"/>
  <c r="AC272" i="16" s="1"/>
  <c r="X271" i="16"/>
  <c r="W271" i="16"/>
  <c r="X270" i="16"/>
  <c r="W270" i="16"/>
  <c r="X269" i="16"/>
  <c r="W269" i="16"/>
  <c r="X268" i="16"/>
  <c r="W268" i="16"/>
  <c r="X267" i="16"/>
  <c r="W267" i="16"/>
  <c r="X266" i="16"/>
  <c r="W266" i="16"/>
  <c r="X265" i="16"/>
  <c r="W265" i="16"/>
  <c r="X264" i="16"/>
  <c r="W264" i="16"/>
  <c r="AC264" i="16" s="1"/>
  <c r="X263" i="16"/>
  <c r="W263" i="16"/>
  <c r="X262" i="16"/>
  <c r="W262" i="16"/>
  <c r="V261" i="16"/>
  <c r="V260" i="16"/>
  <c r="V259" i="16"/>
  <c r="V258" i="16"/>
  <c r="V257" i="16"/>
  <c r="V256" i="16"/>
  <c r="V255" i="16"/>
  <c r="V254" i="16"/>
  <c r="V253" i="16"/>
  <c r="V252" i="16"/>
  <c r="V251" i="16"/>
  <c r="V250" i="16"/>
  <c r="V249" i="16"/>
  <c r="V248" i="16"/>
  <c r="V247" i="16"/>
  <c r="V246" i="16"/>
  <c r="V245" i="16"/>
  <c r="V244" i="16"/>
  <c r="V243" i="16"/>
  <c r="V242" i="16"/>
  <c r="V241" i="16"/>
  <c r="V240" i="16"/>
  <c r="V239" i="16"/>
  <c r="V238" i="16"/>
  <c r="V237" i="16"/>
  <c r="X236" i="16"/>
  <c r="W236" i="16"/>
  <c r="X235" i="16"/>
  <c r="W235" i="16"/>
  <c r="X234" i="16"/>
  <c r="W234" i="16"/>
  <c r="X233" i="16"/>
  <c r="W233" i="16"/>
  <c r="X232" i="16"/>
  <c r="W232" i="16"/>
  <c r="X231" i="16"/>
  <c r="W231" i="16"/>
  <c r="X230" i="16"/>
  <c r="W230" i="16"/>
  <c r="X229" i="16"/>
  <c r="W229" i="16"/>
  <c r="X228" i="16"/>
  <c r="W228" i="16"/>
  <c r="X227" i="16"/>
  <c r="W227" i="16"/>
  <c r="X226" i="16"/>
  <c r="W226" i="16"/>
  <c r="X225" i="16"/>
  <c r="W225" i="16"/>
  <c r="X224" i="16"/>
  <c r="W224" i="16"/>
  <c r="X223" i="16"/>
  <c r="W223" i="16"/>
  <c r="X222" i="16"/>
  <c r="W222" i="16"/>
  <c r="X221" i="16"/>
  <c r="W221" i="16"/>
  <c r="X220" i="16"/>
  <c r="W220" i="16"/>
  <c r="X219" i="16"/>
  <c r="W219" i="16"/>
  <c r="X218" i="16"/>
  <c r="W218" i="16"/>
  <c r="X217" i="16"/>
  <c r="W217" i="16"/>
  <c r="X216" i="16"/>
  <c r="W216" i="16"/>
  <c r="X215" i="16"/>
  <c r="W215" i="16"/>
  <c r="X214" i="16"/>
  <c r="W214" i="16"/>
  <c r="X213" i="16"/>
  <c r="W213" i="16"/>
  <c r="X212" i="16"/>
  <c r="W212" i="16"/>
  <c r="X211" i="16"/>
  <c r="W211" i="16"/>
  <c r="X210" i="16"/>
  <c r="W210" i="16"/>
  <c r="X209" i="16"/>
  <c r="W209" i="16"/>
  <c r="V208" i="16"/>
  <c r="V207" i="16"/>
  <c r="V206" i="16"/>
  <c r="V205" i="16"/>
  <c r="V204" i="16"/>
  <c r="V203" i="16"/>
  <c r="V202" i="16"/>
  <c r="V201" i="16"/>
  <c r="V200" i="16"/>
  <c r="V199" i="16"/>
  <c r="V198" i="16"/>
  <c r="V197" i="16"/>
  <c r="V196" i="16"/>
  <c r="V195" i="16"/>
  <c r="V194" i="16"/>
  <c r="V193" i="16"/>
  <c r="V192" i="16"/>
  <c r="V191" i="16"/>
  <c r="V190" i="16"/>
  <c r="V189" i="16"/>
  <c r="V188" i="16"/>
  <c r="V187" i="16"/>
  <c r="X186" i="16"/>
  <c r="W186" i="16"/>
  <c r="X185" i="16"/>
  <c r="W185" i="16"/>
  <c r="X184" i="16"/>
  <c r="AD184" i="16" s="1"/>
  <c r="W184" i="16"/>
  <c r="X183" i="16"/>
  <c r="W183" i="16"/>
  <c r="X182" i="16"/>
  <c r="W182" i="16"/>
  <c r="X181" i="16"/>
  <c r="W181" i="16"/>
  <c r="X180" i="16"/>
  <c r="W180" i="16"/>
  <c r="X179" i="16"/>
  <c r="W179" i="16"/>
  <c r="X178" i="16"/>
  <c r="W178" i="16"/>
  <c r="X177" i="16"/>
  <c r="W177" i="16"/>
  <c r="X176" i="16"/>
  <c r="AD176" i="16" s="1"/>
  <c r="W176" i="16"/>
  <c r="X175" i="16"/>
  <c r="W175" i="16"/>
  <c r="X174" i="16"/>
  <c r="W174" i="16"/>
  <c r="X173" i="16"/>
  <c r="W173" i="16"/>
  <c r="X172" i="16"/>
  <c r="W172" i="16"/>
  <c r="X171" i="16"/>
  <c r="W171" i="16"/>
  <c r="X170" i="16"/>
  <c r="W170" i="16"/>
  <c r="AD164" i="17"/>
  <c r="X164" i="17"/>
  <c r="W164" i="17"/>
  <c r="AD163" i="17"/>
  <c r="X163" i="17"/>
  <c r="W163" i="17"/>
  <c r="AD162" i="17"/>
  <c r="X162" i="17"/>
  <c r="W162" i="17"/>
  <c r="AD161" i="17"/>
  <c r="X161" i="17"/>
  <c r="W161" i="17"/>
  <c r="AD160" i="17"/>
  <c r="X160" i="17"/>
  <c r="W160" i="17"/>
  <c r="AD159" i="17"/>
  <c r="X159" i="17"/>
  <c r="W159" i="17"/>
  <c r="AD158" i="17"/>
  <c r="X158" i="17"/>
  <c r="W158" i="17"/>
  <c r="AD157" i="17"/>
  <c r="X157" i="17"/>
  <c r="W157" i="17"/>
  <c r="AD156" i="17"/>
  <c r="X156" i="17"/>
  <c r="W156" i="17"/>
  <c r="AD155" i="17"/>
  <c r="X155" i="17"/>
  <c r="W155" i="17"/>
  <c r="AD154" i="17"/>
  <c r="X154" i="17"/>
  <c r="W154" i="17"/>
  <c r="AD153" i="17"/>
  <c r="X153" i="17"/>
  <c r="W153" i="17"/>
  <c r="AD152" i="17"/>
  <c r="X152" i="17"/>
  <c r="W152" i="17"/>
  <c r="AD151" i="17"/>
  <c r="X151" i="17"/>
  <c r="W151" i="17"/>
  <c r="AD150" i="17"/>
  <c r="X150" i="17"/>
  <c r="W150" i="17"/>
  <c r="AC150" i="17" s="1"/>
  <c r="AE149" i="17"/>
  <c r="V149" i="17"/>
  <c r="AB149" i="17" s="1"/>
  <c r="AE148" i="17"/>
  <c r="V148" i="17"/>
  <c r="AB148" i="17" s="1"/>
  <c r="AE147" i="17"/>
  <c r="V147" i="17"/>
  <c r="AB147" i="17" s="1"/>
  <c r="AE146" i="17"/>
  <c r="V146" i="17"/>
  <c r="AB146" i="17" s="1"/>
  <c r="AE145" i="17"/>
  <c r="V145" i="17"/>
  <c r="AB145" i="17" s="1"/>
  <c r="AE144" i="17"/>
  <c r="V144" i="17"/>
  <c r="AB144" i="17" s="1"/>
  <c r="AE143" i="17"/>
  <c r="V143" i="17"/>
  <c r="AB143" i="17" s="1"/>
  <c r="AE142" i="17"/>
  <c r="V142" i="17"/>
  <c r="AB142" i="17" s="1"/>
  <c r="AE141" i="17"/>
  <c r="V141" i="17"/>
  <c r="AB141" i="17" s="1"/>
  <c r="AE140" i="17"/>
  <c r="V140" i="17"/>
  <c r="AB140" i="17" s="1"/>
  <c r="AE139" i="17"/>
  <c r="V139" i="17"/>
  <c r="AB139" i="17" s="1"/>
  <c r="AE138" i="17"/>
  <c r="V138" i="17"/>
  <c r="AB138" i="17" s="1"/>
  <c r="AE137" i="17"/>
  <c r="V137" i="17"/>
  <c r="AB137" i="17" s="1"/>
  <c r="AE136" i="17"/>
  <c r="V136" i="17"/>
  <c r="AB136" i="17" s="1"/>
  <c r="AE135" i="17"/>
  <c r="V135" i="17"/>
  <c r="AB135" i="17" s="1"/>
  <c r="AE134" i="17"/>
  <c r="V134" i="17"/>
  <c r="AB134" i="17" s="1"/>
  <c r="AE133" i="17"/>
  <c r="V133" i="17"/>
  <c r="AB133" i="17" s="1"/>
  <c r="AE132" i="17"/>
  <c r="V132" i="17"/>
  <c r="AB132" i="17" s="1"/>
  <c r="AE131" i="17"/>
  <c r="V131" i="17"/>
  <c r="AB131" i="17" s="1"/>
  <c r="AE130" i="17"/>
  <c r="V130" i="17"/>
  <c r="AB130" i="17" s="1"/>
  <c r="AE129" i="17"/>
  <c r="V129" i="17"/>
  <c r="AB129" i="17" s="1"/>
  <c r="AE128" i="17"/>
  <c r="V128" i="17"/>
  <c r="AB128" i="17" s="1"/>
  <c r="AE127" i="17"/>
  <c r="V127" i="17"/>
  <c r="AB127" i="17" s="1"/>
  <c r="AE126" i="17"/>
  <c r="V126" i="17"/>
  <c r="AB126" i="17" s="1"/>
  <c r="AE125" i="17"/>
  <c r="V125" i="17"/>
  <c r="AB125" i="17" s="1"/>
  <c r="AD124" i="17"/>
  <c r="X124" i="17"/>
  <c r="W124" i="17"/>
  <c r="AD123" i="17"/>
  <c r="X123" i="17"/>
  <c r="W123" i="17"/>
  <c r="AD122" i="17"/>
  <c r="X122" i="17"/>
  <c r="W122" i="17"/>
  <c r="AD121" i="17"/>
  <c r="X121" i="17"/>
  <c r="W121" i="17"/>
  <c r="AD120" i="17"/>
  <c r="X120" i="17"/>
  <c r="W120" i="17"/>
  <c r="AD119" i="17"/>
  <c r="X119" i="17"/>
  <c r="W119" i="17"/>
  <c r="AD118" i="17"/>
  <c r="X118" i="17"/>
  <c r="W118" i="17"/>
  <c r="AD117" i="17"/>
  <c r="X117" i="17"/>
  <c r="W117" i="17"/>
  <c r="AD116" i="17"/>
  <c r="X116" i="17"/>
  <c r="W116" i="17"/>
  <c r="AD115" i="17"/>
  <c r="X115" i="17"/>
  <c r="W115" i="17"/>
  <c r="AD114" i="17"/>
  <c r="X114" i="17"/>
  <c r="W114" i="17"/>
  <c r="AD113" i="17"/>
  <c r="X113" i="17"/>
  <c r="W113" i="17"/>
  <c r="AD112" i="17"/>
  <c r="X112" i="17"/>
  <c r="W112" i="17"/>
  <c r="AD111" i="17"/>
  <c r="X111" i="17"/>
  <c r="W111" i="17"/>
  <c r="AD110" i="17"/>
  <c r="X110" i="17"/>
  <c r="W110" i="17"/>
  <c r="AD109" i="17"/>
  <c r="X109" i="17"/>
  <c r="W109" i="17"/>
  <c r="AD108" i="17"/>
  <c r="X108" i="17"/>
  <c r="W108" i="17"/>
  <c r="AD107" i="17"/>
  <c r="X107" i="17"/>
  <c r="W107" i="17"/>
  <c r="AC107" i="17" s="1"/>
  <c r="AD106" i="17"/>
  <c r="X106" i="17"/>
  <c r="W106" i="17"/>
  <c r="AD105" i="17"/>
  <c r="X105" i="17"/>
  <c r="W105" i="17"/>
  <c r="AD104" i="17"/>
  <c r="X104" i="17"/>
  <c r="W104" i="17"/>
  <c r="AD103" i="17"/>
  <c r="X103" i="17"/>
  <c r="W103" i="17"/>
  <c r="AD102" i="17"/>
  <c r="X102" i="17"/>
  <c r="W102" i="17"/>
  <c r="AD101" i="17"/>
  <c r="X101" i="17"/>
  <c r="W101" i="17"/>
  <c r="AD100" i="17"/>
  <c r="X100" i="17"/>
  <c r="W100" i="17"/>
  <c r="AD99" i="17"/>
  <c r="X99" i="17"/>
  <c r="W99" i="17"/>
  <c r="AC99" i="17" s="1"/>
  <c r="AD98" i="17"/>
  <c r="X98" i="17"/>
  <c r="W98" i="17"/>
  <c r="AD97" i="17"/>
  <c r="X97" i="17"/>
  <c r="W97" i="17"/>
  <c r="AE96" i="17"/>
  <c r="V96" i="17"/>
  <c r="AB96" i="17" s="1"/>
  <c r="AE95" i="17"/>
  <c r="V95" i="17"/>
  <c r="AB95" i="17" s="1"/>
  <c r="AE94" i="17"/>
  <c r="V94" i="17"/>
  <c r="AB94" i="17" s="1"/>
  <c r="AE93" i="17"/>
  <c r="AB93" i="17"/>
  <c r="V93" i="17"/>
  <c r="AE92" i="17"/>
  <c r="V92" i="17"/>
  <c r="AB92" i="17" s="1"/>
  <c r="AE91" i="17"/>
  <c r="V91" i="17"/>
  <c r="AB91" i="17" s="1"/>
  <c r="AE90" i="17"/>
  <c r="V90" i="17"/>
  <c r="AB90" i="17" s="1"/>
  <c r="AE89" i="17"/>
  <c r="V89" i="17"/>
  <c r="AB89" i="17" s="1"/>
  <c r="AE88" i="17"/>
  <c r="AB88" i="17"/>
  <c r="V88" i="17"/>
  <c r="AE87" i="17"/>
  <c r="V87" i="17"/>
  <c r="AB87" i="17" s="1"/>
  <c r="AE86" i="17"/>
  <c r="V86" i="17"/>
  <c r="AB86" i="17" s="1"/>
  <c r="AE85" i="17"/>
  <c r="AB85" i="17"/>
  <c r="V85" i="17"/>
  <c r="AE84" i="17"/>
  <c r="V84" i="17"/>
  <c r="AB84" i="17" s="1"/>
  <c r="AE83" i="17"/>
  <c r="V83" i="17"/>
  <c r="AB83" i="17" s="1"/>
  <c r="AE82" i="17"/>
  <c r="V82" i="17"/>
  <c r="AB82" i="17" s="1"/>
  <c r="AE81" i="17"/>
  <c r="V81" i="17"/>
  <c r="AB81" i="17" s="1"/>
  <c r="AE80" i="17"/>
  <c r="AB80" i="17"/>
  <c r="V80" i="17"/>
  <c r="AE79" i="17"/>
  <c r="V79" i="17"/>
  <c r="AB79" i="17" s="1"/>
  <c r="AE78" i="17"/>
  <c r="V78" i="17"/>
  <c r="AB78" i="17" s="1"/>
  <c r="AE77" i="17"/>
  <c r="V77" i="17"/>
  <c r="AB77" i="17" s="1"/>
  <c r="AE76" i="17"/>
  <c r="V76" i="17"/>
  <c r="AB76" i="17" s="1"/>
  <c r="AE75" i="17"/>
  <c r="V75" i="17"/>
  <c r="AB75" i="17" s="1"/>
  <c r="AD74" i="17"/>
  <c r="X74" i="17"/>
  <c r="W74" i="17"/>
  <c r="AD73" i="17"/>
  <c r="X73" i="17"/>
  <c r="W73" i="17"/>
  <c r="AD72" i="17"/>
  <c r="X72" i="17"/>
  <c r="W72" i="17"/>
  <c r="AD71" i="17"/>
  <c r="X71" i="17"/>
  <c r="W71" i="17"/>
  <c r="AD70" i="17"/>
  <c r="X70" i="17"/>
  <c r="W70" i="17"/>
  <c r="AD69" i="17"/>
  <c r="X69" i="17"/>
  <c r="W69" i="17"/>
  <c r="AD68" i="17"/>
  <c r="X68" i="17"/>
  <c r="W68" i="17"/>
  <c r="AD67" i="17"/>
  <c r="X67" i="17"/>
  <c r="W67" i="17"/>
  <c r="AD66" i="17"/>
  <c r="X66" i="17"/>
  <c r="W66" i="17"/>
  <c r="AD65" i="17"/>
  <c r="X65" i="17"/>
  <c r="W65" i="17"/>
  <c r="AD64" i="17"/>
  <c r="X64" i="17"/>
  <c r="W64" i="17"/>
  <c r="AD63" i="17"/>
  <c r="X63" i="17"/>
  <c r="W63" i="17"/>
  <c r="AD62" i="17"/>
  <c r="X62" i="17"/>
  <c r="W62" i="17"/>
  <c r="AD61" i="17"/>
  <c r="X61" i="17"/>
  <c r="W61" i="17"/>
  <c r="AD60" i="17"/>
  <c r="X60" i="17"/>
  <c r="W60" i="17"/>
  <c r="AD59" i="17"/>
  <c r="X59" i="17"/>
  <c r="W59" i="17"/>
  <c r="AD58" i="17"/>
  <c r="X58" i="17"/>
  <c r="W58" i="17"/>
  <c r="X15" i="16"/>
  <c r="AD15" i="16" s="1"/>
  <c r="W15" i="16"/>
  <c r="V15" i="16"/>
  <c r="X14" i="16"/>
  <c r="W14" i="16"/>
  <c r="V14" i="16"/>
  <c r="X13" i="17"/>
  <c r="W13" i="17"/>
  <c r="V13" i="17"/>
  <c r="AB13" i="17" s="1"/>
  <c r="X13" i="16"/>
  <c r="W13" i="16"/>
  <c r="V13" i="16"/>
  <c r="X12" i="17"/>
  <c r="W12" i="17"/>
  <c r="V12" i="17"/>
  <c r="AB12" i="17" s="1"/>
  <c r="X12" i="16"/>
  <c r="W12" i="16"/>
  <c r="V12" i="16"/>
  <c r="X11" i="17"/>
  <c r="W11" i="17"/>
  <c r="V11" i="17"/>
  <c r="AB11" i="17" s="1"/>
  <c r="X11" i="16"/>
  <c r="W11" i="16"/>
  <c r="V11" i="16"/>
  <c r="X10" i="17"/>
  <c r="W10" i="17"/>
  <c r="V10" i="17"/>
  <c r="AB10" i="17" s="1"/>
  <c r="X10" i="16"/>
  <c r="W10" i="16"/>
  <c r="V10" i="16"/>
  <c r="X9" i="17"/>
  <c r="W9" i="17"/>
  <c r="V9" i="17"/>
  <c r="AB9" i="17" s="1"/>
  <c r="X9" i="16"/>
  <c r="W9" i="16"/>
  <c r="V9" i="16"/>
  <c r="X8" i="17"/>
  <c r="W8" i="17"/>
  <c r="V8" i="17"/>
  <c r="AB8" i="17" s="1"/>
  <c r="X8" i="16"/>
  <c r="W8" i="16"/>
  <c r="V8" i="16"/>
  <c r="X7" i="17"/>
  <c r="W7" i="17"/>
  <c r="V7" i="17"/>
  <c r="AB7" i="17" s="1"/>
  <c r="X7" i="16"/>
  <c r="AD7" i="16" s="1"/>
  <c r="W7" i="16"/>
  <c r="V7" i="16"/>
  <c r="X6" i="17"/>
  <c r="W6" i="17"/>
  <c r="AC6" i="17" s="1"/>
  <c r="V6" i="17"/>
  <c r="AB6" i="17" s="1"/>
  <c r="X6" i="16"/>
  <c r="W6" i="16"/>
  <c r="V6" i="16"/>
  <c r="AC5" i="17"/>
  <c r="X5" i="17"/>
  <c r="W5" i="17"/>
  <c r="V5" i="17"/>
  <c r="AB5" i="17" s="1"/>
  <c r="X5" i="16"/>
  <c r="W5" i="16"/>
  <c r="V5" i="16"/>
  <c r="X4" i="17"/>
  <c r="W4" i="17"/>
  <c r="V4" i="17"/>
  <c r="AB4" i="17" s="1"/>
  <c r="X4" i="16"/>
  <c r="W4" i="16"/>
  <c r="V4" i="16"/>
  <c r="X3" i="17"/>
  <c r="W3" i="17"/>
  <c r="AC3" i="17" s="1"/>
  <c r="V3" i="17"/>
  <c r="AB3" i="17" s="1"/>
  <c r="X2" i="17"/>
  <c r="W2" i="17"/>
  <c r="V2" i="17"/>
  <c r="AB2" i="17" s="1"/>
  <c r="M40" i="5"/>
  <c r="M39" i="5"/>
  <c r="M38" i="5"/>
  <c r="AJ9" i="17"/>
  <c r="AI9" i="17"/>
  <c r="AJ4" i="17"/>
  <c r="AI4" i="17"/>
  <c r="AJ3" i="17"/>
  <c r="AI3" i="17"/>
  <c r="AD338" i="17"/>
  <c r="AD337" i="17"/>
  <c r="AD336" i="17"/>
  <c r="AD335" i="17"/>
  <c r="AD334" i="17"/>
  <c r="AD333" i="17"/>
  <c r="AD332" i="17"/>
  <c r="AD331" i="17"/>
  <c r="AD330" i="17"/>
  <c r="AD329" i="17"/>
  <c r="AD328" i="17"/>
  <c r="AD327" i="17"/>
  <c r="AD326" i="17"/>
  <c r="AD325" i="17"/>
  <c r="AD324" i="17"/>
  <c r="AD323" i="17"/>
  <c r="AD322" i="17"/>
  <c r="AD321" i="17"/>
  <c r="AD320" i="17"/>
  <c r="AD319" i="17"/>
  <c r="AD318" i="17"/>
  <c r="AD317" i="17"/>
  <c r="AD316" i="17"/>
  <c r="AD315" i="17"/>
  <c r="AD314" i="17"/>
  <c r="AD313" i="17"/>
  <c r="AD312" i="17"/>
  <c r="AD311" i="17"/>
  <c r="AD310" i="17"/>
  <c r="AD309" i="17"/>
  <c r="AD308" i="17"/>
  <c r="AD307" i="17"/>
  <c r="AD306" i="17"/>
  <c r="AD305" i="17"/>
  <c r="AD304" i="17"/>
  <c r="AD303" i="17"/>
  <c r="AD302" i="17"/>
  <c r="AD301" i="17"/>
  <c r="AD300" i="17"/>
  <c r="AD299" i="17"/>
  <c r="AD298" i="17"/>
  <c r="AD297" i="17"/>
  <c r="AD296" i="17"/>
  <c r="AD295" i="17"/>
  <c r="AD294" i="17"/>
  <c r="AD293" i="17"/>
  <c r="AD292" i="17"/>
  <c r="AD291" i="17"/>
  <c r="AD290" i="17"/>
  <c r="AD289" i="17"/>
  <c r="AD288" i="17"/>
  <c r="AD287" i="17"/>
  <c r="AD286" i="17"/>
  <c r="AD285" i="17"/>
  <c r="AD284" i="17"/>
  <c r="AD283" i="17"/>
  <c r="AD282" i="17"/>
  <c r="AD281" i="17"/>
  <c r="AD280" i="17"/>
  <c r="AD279" i="17"/>
  <c r="AD278" i="17"/>
  <c r="AD277" i="17"/>
  <c r="AD276" i="17"/>
  <c r="AD275" i="17"/>
  <c r="AD274" i="17"/>
  <c r="AD273" i="17"/>
  <c r="AD272" i="17"/>
  <c r="AD271" i="17"/>
  <c r="AD270" i="17"/>
  <c r="AD269" i="17"/>
  <c r="AD268" i="17"/>
  <c r="AD267" i="17"/>
  <c r="AD266" i="17"/>
  <c r="AD265" i="17"/>
  <c r="AD264" i="17"/>
  <c r="AD263" i="17"/>
  <c r="AD262" i="17"/>
  <c r="AD261" i="17"/>
  <c r="AD260" i="17"/>
  <c r="AD259" i="17"/>
  <c r="AD258" i="17"/>
  <c r="AD257" i="17"/>
  <c r="AD256" i="17"/>
  <c r="AD255" i="17"/>
  <c r="AD254" i="17"/>
  <c r="AD253" i="17"/>
  <c r="AD252" i="17"/>
  <c r="AD251" i="17"/>
  <c r="AD250" i="17"/>
  <c r="AD249" i="17"/>
  <c r="AD248" i="17"/>
  <c r="AD247" i="17"/>
  <c r="AD246" i="17"/>
  <c r="AD245" i="17"/>
  <c r="AD244" i="17"/>
  <c r="AD243" i="17"/>
  <c r="AD242" i="17"/>
  <c r="AD241" i="17"/>
  <c r="AD240" i="17"/>
  <c r="AD239" i="17"/>
  <c r="AD238" i="17"/>
  <c r="AD237" i="17"/>
  <c r="AD236" i="17"/>
  <c r="AD235" i="17"/>
  <c r="AD234" i="17"/>
  <c r="AD233" i="17"/>
  <c r="AD232" i="17"/>
  <c r="AD231" i="17"/>
  <c r="AD230" i="17"/>
  <c r="AD229" i="17"/>
  <c r="AD228" i="17"/>
  <c r="AD227" i="17"/>
  <c r="AD226" i="17"/>
  <c r="AD225" i="17"/>
  <c r="AD224" i="17"/>
  <c r="AD223" i="17"/>
  <c r="AD222" i="17"/>
  <c r="AD221" i="17"/>
  <c r="AD220" i="17"/>
  <c r="AD219" i="17"/>
  <c r="AD218" i="17"/>
  <c r="AD217" i="17"/>
  <c r="AD216" i="17"/>
  <c r="AD215" i="17"/>
  <c r="AD214" i="17"/>
  <c r="AD213" i="17"/>
  <c r="AD212" i="17"/>
  <c r="AD211" i="17"/>
  <c r="AD210" i="17"/>
  <c r="AD209" i="17"/>
  <c r="AD208" i="17"/>
  <c r="AD207" i="17"/>
  <c r="AD206" i="17"/>
  <c r="AD205" i="17"/>
  <c r="AD204" i="17"/>
  <c r="AD203" i="17"/>
  <c r="AD202" i="17"/>
  <c r="AD201" i="17"/>
  <c r="AD200" i="17"/>
  <c r="AD199" i="17"/>
  <c r="AD198" i="17"/>
  <c r="AD197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AD37" i="17"/>
  <c r="AD36" i="17"/>
  <c r="AE35" i="17"/>
  <c r="AE34" i="17"/>
  <c r="AE33" i="17"/>
  <c r="AE32" i="17"/>
  <c r="AE31" i="17"/>
  <c r="AE30" i="17"/>
  <c r="AE29" i="17"/>
  <c r="AE28" i="17"/>
  <c r="AE27" i="17"/>
  <c r="AE26" i="17"/>
  <c r="AE25" i="17"/>
  <c r="AE24" i="17"/>
  <c r="AD23" i="17"/>
  <c r="AD22" i="17"/>
  <c r="AD21" i="17"/>
  <c r="AD20" i="17"/>
  <c r="AD19" i="17"/>
  <c r="AD18" i="17"/>
  <c r="AD17" i="17"/>
  <c r="AD16" i="17"/>
  <c r="AD15" i="17"/>
  <c r="AD14" i="17"/>
  <c r="V350" i="17"/>
  <c r="AB350" i="17" s="1"/>
  <c r="V349" i="17"/>
  <c r="AB349" i="17" s="1"/>
  <c r="V348" i="17"/>
  <c r="AB348" i="17" s="1"/>
  <c r="V347" i="17"/>
  <c r="AB347" i="17" s="1"/>
  <c r="V346" i="17"/>
  <c r="AB346" i="17" s="1"/>
  <c r="V345" i="17"/>
  <c r="AB345" i="17" s="1"/>
  <c r="V344" i="17"/>
  <c r="AB344" i="17" s="1"/>
  <c r="V343" i="17"/>
  <c r="AB343" i="17" s="1"/>
  <c r="V342" i="17"/>
  <c r="AB342" i="17" s="1"/>
  <c r="V341" i="17"/>
  <c r="AB341" i="17" s="1"/>
  <c r="V340" i="17"/>
  <c r="AB340" i="17" s="1"/>
  <c r="V339" i="17"/>
  <c r="AB339" i="17" s="1"/>
  <c r="X338" i="17"/>
  <c r="W338" i="17"/>
  <c r="V338" i="17"/>
  <c r="AB338" i="17" s="1"/>
  <c r="X337" i="17"/>
  <c r="W337" i="17"/>
  <c r="V337" i="17"/>
  <c r="AB337" i="17" s="1"/>
  <c r="X336" i="17"/>
  <c r="W336" i="17"/>
  <c r="V336" i="17"/>
  <c r="AB336" i="17" s="1"/>
  <c r="X335" i="17"/>
  <c r="W335" i="17"/>
  <c r="V335" i="17"/>
  <c r="AB335" i="17" s="1"/>
  <c r="X334" i="17"/>
  <c r="W334" i="17"/>
  <c r="V334" i="17"/>
  <c r="AB334" i="17" s="1"/>
  <c r="X333" i="17"/>
  <c r="W333" i="17"/>
  <c r="V333" i="17"/>
  <c r="AB333" i="17" s="1"/>
  <c r="X332" i="17"/>
  <c r="W332" i="17"/>
  <c r="V332" i="17"/>
  <c r="AB332" i="17" s="1"/>
  <c r="X331" i="17"/>
  <c r="W331" i="17"/>
  <c r="V331" i="17"/>
  <c r="AB331" i="17" s="1"/>
  <c r="X330" i="17"/>
  <c r="W330" i="17"/>
  <c r="V330" i="17"/>
  <c r="AB330" i="17" s="1"/>
  <c r="X329" i="17"/>
  <c r="W329" i="17"/>
  <c r="V329" i="17"/>
  <c r="AB329" i="17" s="1"/>
  <c r="X328" i="17"/>
  <c r="W328" i="17"/>
  <c r="V328" i="17"/>
  <c r="AB328" i="17" s="1"/>
  <c r="X327" i="17"/>
  <c r="W327" i="17"/>
  <c r="V327" i="17"/>
  <c r="AB327" i="17" s="1"/>
  <c r="X326" i="17"/>
  <c r="W326" i="17"/>
  <c r="V326" i="17"/>
  <c r="AB326" i="17" s="1"/>
  <c r="X325" i="17"/>
  <c r="W325" i="17"/>
  <c r="V325" i="17"/>
  <c r="AB325" i="17" s="1"/>
  <c r="X324" i="17"/>
  <c r="W324" i="17"/>
  <c r="V324" i="17"/>
  <c r="AB324" i="17" s="1"/>
  <c r="X323" i="17"/>
  <c r="W323" i="17"/>
  <c r="V323" i="17"/>
  <c r="AB323" i="17" s="1"/>
  <c r="X322" i="17"/>
  <c r="W322" i="17"/>
  <c r="V322" i="17"/>
  <c r="AB322" i="17" s="1"/>
  <c r="X321" i="17"/>
  <c r="W321" i="17"/>
  <c r="V321" i="17"/>
  <c r="AB321" i="17" s="1"/>
  <c r="X320" i="17"/>
  <c r="W320" i="17"/>
  <c r="V320" i="17"/>
  <c r="AB320" i="17" s="1"/>
  <c r="X319" i="17"/>
  <c r="W319" i="17"/>
  <c r="V319" i="17"/>
  <c r="AB319" i="17" s="1"/>
  <c r="X318" i="17"/>
  <c r="W318" i="17"/>
  <c r="V318" i="17"/>
  <c r="AB318" i="17" s="1"/>
  <c r="X317" i="17"/>
  <c r="W317" i="17"/>
  <c r="V317" i="17"/>
  <c r="AB317" i="17" s="1"/>
  <c r="X316" i="17"/>
  <c r="W316" i="17"/>
  <c r="V316" i="17"/>
  <c r="AB316" i="17" s="1"/>
  <c r="X315" i="17"/>
  <c r="W315" i="17"/>
  <c r="V315" i="17"/>
  <c r="AB315" i="17" s="1"/>
  <c r="X314" i="17"/>
  <c r="W314" i="17"/>
  <c r="V314" i="17"/>
  <c r="AB314" i="17" s="1"/>
  <c r="X313" i="17"/>
  <c r="W313" i="17"/>
  <c r="V313" i="17"/>
  <c r="AB313" i="17" s="1"/>
  <c r="X312" i="17"/>
  <c r="W312" i="17"/>
  <c r="V312" i="17"/>
  <c r="AB312" i="17" s="1"/>
  <c r="X311" i="17"/>
  <c r="W311" i="17"/>
  <c r="V311" i="17"/>
  <c r="AB311" i="17" s="1"/>
  <c r="X310" i="17"/>
  <c r="W310" i="17"/>
  <c r="V310" i="17"/>
  <c r="AB310" i="17" s="1"/>
  <c r="X309" i="17"/>
  <c r="W309" i="17"/>
  <c r="V309" i="17"/>
  <c r="AB309" i="17" s="1"/>
  <c r="X308" i="17"/>
  <c r="W308" i="17"/>
  <c r="V308" i="17"/>
  <c r="AB308" i="17" s="1"/>
  <c r="X307" i="17"/>
  <c r="W307" i="17"/>
  <c r="V307" i="17"/>
  <c r="AB307" i="17" s="1"/>
  <c r="X306" i="17"/>
  <c r="W306" i="17"/>
  <c r="V306" i="17"/>
  <c r="AB306" i="17" s="1"/>
  <c r="X305" i="17"/>
  <c r="W305" i="17"/>
  <c r="V305" i="17"/>
  <c r="AB305" i="17" s="1"/>
  <c r="X304" i="17"/>
  <c r="W304" i="17"/>
  <c r="V304" i="17"/>
  <c r="AB304" i="17" s="1"/>
  <c r="X303" i="17"/>
  <c r="W303" i="17"/>
  <c r="V303" i="17"/>
  <c r="AB303" i="17" s="1"/>
  <c r="X302" i="17"/>
  <c r="W302" i="17"/>
  <c r="V302" i="17"/>
  <c r="AB302" i="17" s="1"/>
  <c r="X301" i="17"/>
  <c r="W301" i="17"/>
  <c r="V301" i="17"/>
  <c r="AB301" i="17" s="1"/>
  <c r="X300" i="17"/>
  <c r="W300" i="17"/>
  <c r="V300" i="17"/>
  <c r="AB300" i="17" s="1"/>
  <c r="X299" i="17"/>
  <c r="W299" i="17"/>
  <c r="V299" i="17"/>
  <c r="AB299" i="17" s="1"/>
  <c r="X298" i="17"/>
  <c r="W298" i="17"/>
  <c r="V298" i="17"/>
  <c r="AB298" i="17" s="1"/>
  <c r="X297" i="17"/>
  <c r="W297" i="17"/>
  <c r="V297" i="17"/>
  <c r="AB297" i="17" s="1"/>
  <c r="X296" i="17"/>
  <c r="W296" i="17"/>
  <c r="V296" i="17"/>
  <c r="AB296" i="17" s="1"/>
  <c r="X295" i="17"/>
  <c r="W295" i="17"/>
  <c r="V295" i="17"/>
  <c r="AB295" i="17" s="1"/>
  <c r="X294" i="17"/>
  <c r="W294" i="17"/>
  <c r="V294" i="17"/>
  <c r="AB294" i="17" s="1"/>
  <c r="X293" i="17"/>
  <c r="W293" i="17"/>
  <c r="V293" i="17"/>
  <c r="AB293" i="17" s="1"/>
  <c r="X292" i="17"/>
  <c r="W292" i="17"/>
  <c r="V292" i="17"/>
  <c r="AB292" i="17" s="1"/>
  <c r="X291" i="17"/>
  <c r="W291" i="17"/>
  <c r="V291" i="17"/>
  <c r="AB291" i="17" s="1"/>
  <c r="X290" i="17"/>
  <c r="W290" i="17"/>
  <c r="V290" i="17"/>
  <c r="AB290" i="17" s="1"/>
  <c r="X289" i="17"/>
  <c r="W289" i="17"/>
  <c r="V289" i="17"/>
  <c r="AB289" i="17" s="1"/>
  <c r="X288" i="17"/>
  <c r="W288" i="17"/>
  <c r="V288" i="17"/>
  <c r="AB288" i="17" s="1"/>
  <c r="X287" i="17"/>
  <c r="W287" i="17"/>
  <c r="V287" i="17"/>
  <c r="AB287" i="17" s="1"/>
  <c r="X286" i="17"/>
  <c r="W286" i="17"/>
  <c r="V286" i="17"/>
  <c r="AB286" i="17" s="1"/>
  <c r="X285" i="17"/>
  <c r="W285" i="17"/>
  <c r="V285" i="17"/>
  <c r="AB285" i="17" s="1"/>
  <c r="X284" i="17"/>
  <c r="W284" i="17"/>
  <c r="V284" i="17"/>
  <c r="AB284" i="17" s="1"/>
  <c r="X283" i="17"/>
  <c r="W283" i="17"/>
  <c r="V283" i="17"/>
  <c r="AB283" i="17" s="1"/>
  <c r="X282" i="17"/>
  <c r="W282" i="17"/>
  <c r="V282" i="17"/>
  <c r="AB282" i="17" s="1"/>
  <c r="X281" i="17"/>
  <c r="W281" i="17"/>
  <c r="V281" i="17"/>
  <c r="AB281" i="17" s="1"/>
  <c r="X280" i="17"/>
  <c r="W280" i="17"/>
  <c r="V280" i="17"/>
  <c r="AB280" i="17" s="1"/>
  <c r="X279" i="17"/>
  <c r="W279" i="17"/>
  <c r="V279" i="17"/>
  <c r="AB279" i="17" s="1"/>
  <c r="X278" i="17"/>
  <c r="W278" i="17"/>
  <c r="V278" i="17"/>
  <c r="AB278" i="17" s="1"/>
  <c r="X277" i="17"/>
  <c r="W277" i="17"/>
  <c r="V277" i="17"/>
  <c r="AB277" i="17" s="1"/>
  <c r="X276" i="17"/>
  <c r="W276" i="17"/>
  <c r="V276" i="17"/>
  <c r="AB276" i="17" s="1"/>
  <c r="X275" i="17"/>
  <c r="W275" i="17"/>
  <c r="V275" i="17"/>
  <c r="AB275" i="17" s="1"/>
  <c r="X274" i="17"/>
  <c r="W274" i="17"/>
  <c r="V274" i="17"/>
  <c r="AB274" i="17" s="1"/>
  <c r="X273" i="17"/>
  <c r="W273" i="17"/>
  <c r="V273" i="17"/>
  <c r="AB273" i="17" s="1"/>
  <c r="X272" i="17"/>
  <c r="W272" i="17"/>
  <c r="V272" i="17"/>
  <c r="AB272" i="17" s="1"/>
  <c r="X271" i="17"/>
  <c r="W271" i="17"/>
  <c r="V271" i="17"/>
  <c r="AB271" i="17" s="1"/>
  <c r="X270" i="17"/>
  <c r="W270" i="17"/>
  <c r="V270" i="17"/>
  <c r="AB270" i="17" s="1"/>
  <c r="X269" i="17"/>
  <c r="W269" i="17"/>
  <c r="V269" i="17"/>
  <c r="AB269" i="17" s="1"/>
  <c r="X268" i="17"/>
  <c r="W268" i="17"/>
  <c r="V268" i="17"/>
  <c r="AB268" i="17" s="1"/>
  <c r="X267" i="17"/>
  <c r="W267" i="17"/>
  <c r="V267" i="17"/>
  <c r="AB267" i="17" s="1"/>
  <c r="X266" i="17"/>
  <c r="W266" i="17"/>
  <c r="V266" i="17"/>
  <c r="AB266" i="17" s="1"/>
  <c r="X265" i="17"/>
  <c r="W265" i="17"/>
  <c r="V265" i="17"/>
  <c r="AB265" i="17" s="1"/>
  <c r="X264" i="17"/>
  <c r="W264" i="17"/>
  <c r="V264" i="17"/>
  <c r="AB264" i="17" s="1"/>
  <c r="X263" i="17"/>
  <c r="W263" i="17"/>
  <c r="V263" i="17"/>
  <c r="AB263" i="17" s="1"/>
  <c r="X262" i="17"/>
  <c r="W262" i="17"/>
  <c r="V262" i="17"/>
  <c r="AB262" i="17" s="1"/>
  <c r="X261" i="17"/>
  <c r="W261" i="17"/>
  <c r="V261" i="17"/>
  <c r="AB261" i="17" s="1"/>
  <c r="X260" i="17"/>
  <c r="W260" i="17"/>
  <c r="V260" i="17"/>
  <c r="AB260" i="17" s="1"/>
  <c r="X259" i="17"/>
  <c r="W259" i="17"/>
  <c r="V259" i="17"/>
  <c r="AB259" i="17" s="1"/>
  <c r="X258" i="17"/>
  <c r="W258" i="17"/>
  <c r="V258" i="17"/>
  <c r="AB258" i="17" s="1"/>
  <c r="X257" i="17"/>
  <c r="W257" i="17"/>
  <c r="V257" i="17"/>
  <c r="AB257" i="17" s="1"/>
  <c r="X256" i="17"/>
  <c r="W256" i="17"/>
  <c r="V256" i="17"/>
  <c r="AB256" i="17" s="1"/>
  <c r="X255" i="17"/>
  <c r="W255" i="17"/>
  <c r="V255" i="17"/>
  <c r="AB255" i="17" s="1"/>
  <c r="X254" i="17"/>
  <c r="W254" i="17"/>
  <c r="V254" i="17"/>
  <c r="AB254" i="17" s="1"/>
  <c r="X253" i="17"/>
  <c r="W253" i="17"/>
  <c r="V253" i="17"/>
  <c r="AB253" i="17" s="1"/>
  <c r="X252" i="17"/>
  <c r="W252" i="17"/>
  <c r="V252" i="17"/>
  <c r="AB252" i="17" s="1"/>
  <c r="X251" i="17"/>
  <c r="W251" i="17"/>
  <c r="V251" i="17"/>
  <c r="AB251" i="17" s="1"/>
  <c r="X250" i="17"/>
  <c r="W250" i="17"/>
  <c r="V250" i="17"/>
  <c r="AB250" i="17" s="1"/>
  <c r="X249" i="17"/>
  <c r="W249" i="17"/>
  <c r="V249" i="17"/>
  <c r="AB249" i="17" s="1"/>
  <c r="X248" i="17"/>
  <c r="W248" i="17"/>
  <c r="V248" i="17"/>
  <c r="AB248" i="17" s="1"/>
  <c r="X247" i="17"/>
  <c r="W247" i="17"/>
  <c r="V247" i="17"/>
  <c r="AB247" i="17" s="1"/>
  <c r="X246" i="17"/>
  <c r="W246" i="17"/>
  <c r="V246" i="17"/>
  <c r="AB246" i="17" s="1"/>
  <c r="X245" i="17"/>
  <c r="W245" i="17"/>
  <c r="V245" i="17"/>
  <c r="AB245" i="17" s="1"/>
  <c r="X244" i="17"/>
  <c r="W244" i="17"/>
  <c r="V244" i="17"/>
  <c r="AB244" i="17" s="1"/>
  <c r="X243" i="17"/>
  <c r="W243" i="17"/>
  <c r="V243" i="17"/>
  <c r="AB243" i="17" s="1"/>
  <c r="X242" i="17"/>
  <c r="W242" i="17"/>
  <c r="V242" i="17"/>
  <c r="AB242" i="17" s="1"/>
  <c r="X241" i="17"/>
  <c r="W241" i="17"/>
  <c r="V241" i="17"/>
  <c r="AB241" i="17" s="1"/>
  <c r="X240" i="17"/>
  <c r="W240" i="17"/>
  <c r="V240" i="17"/>
  <c r="AB240" i="17" s="1"/>
  <c r="X239" i="17"/>
  <c r="W239" i="17"/>
  <c r="V239" i="17"/>
  <c r="AB239" i="17" s="1"/>
  <c r="X238" i="17"/>
  <c r="W238" i="17"/>
  <c r="V238" i="17"/>
  <c r="AB238" i="17" s="1"/>
  <c r="X237" i="17"/>
  <c r="W237" i="17"/>
  <c r="V237" i="17"/>
  <c r="AB237" i="17" s="1"/>
  <c r="X236" i="17"/>
  <c r="W236" i="17"/>
  <c r="V236" i="17"/>
  <c r="AB236" i="17" s="1"/>
  <c r="X235" i="17"/>
  <c r="W235" i="17"/>
  <c r="V235" i="17"/>
  <c r="AB235" i="17" s="1"/>
  <c r="X234" i="17"/>
  <c r="W234" i="17"/>
  <c r="V234" i="17"/>
  <c r="AB234" i="17" s="1"/>
  <c r="X233" i="17"/>
  <c r="W233" i="17"/>
  <c r="V233" i="17"/>
  <c r="AB233" i="17" s="1"/>
  <c r="X232" i="17"/>
  <c r="W232" i="17"/>
  <c r="V232" i="17"/>
  <c r="AB232" i="17" s="1"/>
  <c r="X231" i="17"/>
  <c r="W231" i="17"/>
  <c r="V231" i="17"/>
  <c r="AB231" i="17" s="1"/>
  <c r="X230" i="17"/>
  <c r="W230" i="17"/>
  <c r="V230" i="17"/>
  <c r="AB230" i="17" s="1"/>
  <c r="X229" i="17"/>
  <c r="W229" i="17"/>
  <c r="V229" i="17"/>
  <c r="AB229" i="17" s="1"/>
  <c r="X228" i="17"/>
  <c r="W228" i="17"/>
  <c r="V228" i="17"/>
  <c r="AB228" i="17" s="1"/>
  <c r="X227" i="17"/>
  <c r="W227" i="17"/>
  <c r="V227" i="17"/>
  <c r="AB227" i="17" s="1"/>
  <c r="X226" i="17"/>
  <c r="W226" i="17"/>
  <c r="V226" i="17"/>
  <c r="AB226" i="17" s="1"/>
  <c r="X225" i="17"/>
  <c r="W225" i="17"/>
  <c r="V225" i="17"/>
  <c r="AB225" i="17" s="1"/>
  <c r="X224" i="17"/>
  <c r="W224" i="17"/>
  <c r="V224" i="17"/>
  <c r="AB224" i="17" s="1"/>
  <c r="X223" i="17"/>
  <c r="W223" i="17"/>
  <c r="V223" i="17"/>
  <c r="AB223" i="17" s="1"/>
  <c r="X222" i="17"/>
  <c r="W222" i="17"/>
  <c r="V222" i="17"/>
  <c r="AB222" i="17" s="1"/>
  <c r="X221" i="17"/>
  <c r="W221" i="17"/>
  <c r="V221" i="17"/>
  <c r="AB221" i="17" s="1"/>
  <c r="X220" i="17"/>
  <c r="W220" i="17"/>
  <c r="V220" i="17"/>
  <c r="AB220" i="17" s="1"/>
  <c r="X219" i="17"/>
  <c r="W219" i="17"/>
  <c r="V219" i="17"/>
  <c r="AB219" i="17" s="1"/>
  <c r="X218" i="17"/>
  <c r="W218" i="17"/>
  <c r="V218" i="17"/>
  <c r="AB218" i="17" s="1"/>
  <c r="X217" i="17"/>
  <c r="W217" i="17"/>
  <c r="V217" i="17"/>
  <c r="AB217" i="17" s="1"/>
  <c r="X216" i="17"/>
  <c r="W216" i="17"/>
  <c r="V216" i="17"/>
  <c r="AB216" i="17" s="1"/>
  <c r="X215" i="17"/>
  <c r="W215" i="17"/>
  <c r="V215" i="17"/>
  <c r="AB215" i="17" s="1"/>
  <c r="X214" i="17"/>
  <c r="W214" i="17"/>
  <c r="V214" i="17"/>
  <c r="AB214" i="17" s="1"/>
  <c r="X213" i="17"/>
  <c r="W213" i="17"/>
  <c r="V213" i="17"/>
  <c r="AB213" i="17" s="1"/>
  <c r="X212" i="17"/>
  <c r="W212" i="17"/>
  <c r="V212" i="17"/>
  <c r="AB212" i="17" s="1"/>
  <c r="X211" i="17"/>
  <c r="W211" i="17"/>
  <c r="V211" i="17"/>
  <c r="AB211" i="17" s="1"/>
  <c r="X210" i="17"/>
  <c r="W210" i="17"/>
  <c r="V210" i="17"/>
  <c r="AB210" i="17" s="1"/>
  <c r="X209" i="17"/>
  <c r="W209" i="17"/>
  <c r="V209" i="17"/>
  <c r="AB209" i="17" s="1"/>
  <c r="X208" i="17"/>
  <c r="W208" i="17"/>
  <c r="V208" i="17"/>
  <c r="AB208" i="17" s="1"/>
  <c r="X207" i="17"/>
  <c r="W207" i="17"/>
  <c r="V207" i="17"/>
  <c r="AB207" i="17" s="1"/>
  <c r="X206" i="17"/>
  <c r="W206" i="17"/>
  <c r="V206" i="17"/>
  <c r="AB206" i="17" s="1"/>
  <c r="X205" i="17"/>
  <c r="W205" i="17"/>
  <c r="V205" i="17"/>
  <c r="AB205" i="17" s="1"/>
  <c r="X204" i="17"/>
  <c r="W204" i="17"/>
  <c r="V204" i="17"/>
  <c r="AB204" i="17" s="1"/>
  <c r="X203" i="17"/>
  <c r="W203" i="17"/>
  <c r="V203" i="17"/>
  <c r="AB203" i="17" s="1"/>
  <c r="X202" i="17"/>
  <c r="W202" i="17"/>
  <c r="V202" i="17"/>
  <c r="AB202" i="17" s="1"/>
  <c r="X201" i="17"/>
  <c r="W201" i="17"/>
  <c r="V201" i="17"/>
  <c r="AB201" i="17" s="1"/>
  <c r="X200" i="17"/>
  <c r="W200" i="17"/>
  <c r="V200" i="17"/>
  <c r="AB200" i="17" s="1"/>
  <c r="X199" i="17"/>
  <c r="W199" i="17"/>
  <c r="V199" i="17"/>
  <c r="AB199" i="17" s="1"/>
  <c r="X198" i="17"/>
  <c r="W198" i="17"/>
  <c r="V198" i="17"/>
  <c r="AB198" i="17" s="1"/>
  <c r="X197" i="17"/>
  <c r="W197" i="17"/>
  <c r="V197" i="17"/>
  <c r="AB197" i="17" s="1"/>
  <c r="X196" i="17"/>
  <c r="W196" i="17"/>
  <c r="V196" i="17"/>
  <c r="AB196" i="17" s="1"/>
  <c r="X195" i="17"/>
  <c r="W195" i="17"/>
  <c r="V195" i="17"/>
  <c r="AB195" i="17" s="1"/>
  <c r="X194" i="17"/>
  <c r="W194" i="17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V164" i="17"/>
  <c r="AB164" i="17" s="1"/>
  <c r="V163" i="17"/>
  <c r="AB163" i="17" s="1"/>
  <c r="V162" i="17"/>
  <c r="AB162" i="17" s="1"/>
  <c r="V161" i="17"/>
  <c r="AB161" i="17" s="1"/>
  <c r="V160" i="17"/>
  <c r="AB160" i="17" s="1"/>
  <c r="V159" i="17"/>
  <c r="AB159" i="17" s="1"/>
  <c r="V158" i="17"/>
  <c r="AB158" i="17" s="1"/>
  <c r="V157" i="17"/>
  <c r="AB157" i="17" s="1"/>
  <c r="V156" i="17"/>
  <c r="AB156" i="17" s="1"/>
  <c r="V155" i="17"/>
  <c r="AB155" i="17" s="1"/>
  <c r="V154" i="17"/>
  <c r="AB154" i="17" s="1"/>
  <c r="V153" i="17"/>
  <c r="AB153" i="17" s="1"/>
  <c r="V152" i="17"/>
  <c r="AB152" i="17" s="1"/>
  <c r="V151" i="17"/>
  <c r="AB151" i="17" s="1"/>
  <c r="V150" i="17"/>
  <c r="AB150" i="17" s="1"/>
  <c r="X149" i="17"/>
  <c r="W149" i="17"/>
  <c r="X148" i="17"/>
  <c r="W148" i="17"/>
  <c r="X147" i="17"/>
  <c r="W147" i="17"/>
  <c r="AC147" i="17" s="1"/>
  <c r="X146" i="17"/>
  <c r="W146" i="17"/>
  <c r="X145" i="17"/>
  <c r="W145" i="17"/>
  <c r="X144" i="17"/>
  <c r="W144" i="17"/>
  <c r="X143" i="17"/>
  <c r="W143" i="17"/>
  <c r="X142" i="17"/>
  <c r="W142" i="17"/>
  <c r="X141" i="17"/>
  <c r="W141" i="17"/>
  <c r="X140" i="17"/>
  <c r="W140" i="17"/>
  <c r="X139" i="17"/>
  <c r="W139" i="17"/>
  <c r="AC139" i="17" s="1"/>
  <c r="X138" i="17"/>
  <c r="W138" i="17"/>
  <c r="X137" i="17"/>
  <c r="W137" i="17"/>
  <c r="X136" i="17"/>
  <c r="W136" i="17"/>
  <c r="X135" i="17"/>
  <c r="W135" i="17"/>
  <c r="X134" i="17"/>
  <c r="W134" i="17"/>
  <c r="X133" i="17"/>
  <c r="W133" i="17"/>
  <c r="X132" i="17"/>
  <c r="W132" i="17"/>
  <c r="X131" i="17"/>
  <c r="W131" i="17"/>
  <c r="X130" i="17"/>
  <c r="W130" i="17"/>
  <c r="X129" i="17"/>
  <c r="W129" i="17"/>
  <c r="X128" i="17"/>
  <c r="W128" i="17"/>
  <c r="X127" i="17"/>
  <c r="W127" i="17"/>
  <c r="X126" i="17"/>
  <c r="W126" i="17"/>
  <c r="X125" i="17"/>
  <c r="W125" i="17"/>
  <c r="V124" i="17"/>
  <c r="AB124" i="17" s="1"/>
  <c r="V123" i="17"/>
  <c r="AB123" i="17" s="1"/>
  <c r="V122" i="17"/>
  <c r="AB122" i="17" s="1"/>
  <c r="V121" i="17"/>
  <c r="AB121" i="17" s="1"/>
  <c r="V120" i="17"/>
  <c r="AB120" i="17" s="1"/>
  <c r="V119" i="17"/>
  <c r="AB119" i="17" s="1"/>
  <c r="V118" i="17"/>
  <c r="AB118" i="17" s="1"/>
  <c r="V117" i="17"/>
  <c r="AB117" i="17" s="1"/>
  <c r="V116" i="17"/>
  <c r="AB116" i="17" s="1"/>
  <c r="V115" i="17"/>
  <c r="AB115" i="17" s="1"/>
  <c r="V114" i="17"/>
  <c r="AB114" i="17" s="1"/>
  <c r="V113" i="17"/>
  <c r="AB113" i="17" s="1"/>
  <c r="V112" i="17"/>
  <c r="AB112" i="17" s="1"/>
  <c r="V111" i="17"/>
  <c r="AB111" i="17" s="1"/>
  <c r="V110" i="17"/>
  <c r="AB110" i="17" s="1"/>
  <c r="V109" i="17"/>
  <c r="AB109" i="17" s="1"/>
  <c r="V108" i="17"/>
  <c r="AB108" i="17" s="1"/>
  <c r="V107" i="17"/>
  <c r="AB107" i="17" s="1"/>
  <c r="V106" i="17"/>
  <c r="AB106" i="17" s="1"/>
  <c r="V105" i="17"/>
  <c r="AB105" i="17" s="1"/>
  <c r="V104" i="17"/>
  <c r="AB104" i="17" s="1"/>
  <c r="V103" i="17"/>
  <c r="AB103" i="17" s="1"/>
  <c r="V102" i="17"/>
  <c r="AB102" i="17" s="1"/>
  <c r="V101" i="17"/>
  <c r="AB101" i="17" s="1"/>
  <c r="V100" i="17"/>
  <c r="AB100" i="17" s="1"/>
  <c r="V99" i="17"/>
  <c r="AB99" i="17" s="1"/>
  <c r="V98" i="17"/>
  <c r="AB98" i="17" s="1"/>
  <c r="V97" i="17"/>
  <c r="AB97" i="17" s="1"/>
  <c r="X96" i="17"/>
  <c r="W96" i="17"/>
  <c r="X95" i="17"/>
  <c r="W95" i="17"/>
  <c r="X94" i="17"/>
  <c r="W94" i="17"/>
  <c r="X93" i="17"/>
  <c r="W93" i="17"/>
  <c r="X92" i="17"/>
  <c r="W92" i="17"/>
  <c r="X91" i="17"/>
  <c r="W91" i="17"/>
  <c r="X90" i="17"/>
  <c r="W90" i="17"/>
  <c r="X89" i="17"/>
  <c r="W89" i="17"/>
  <c r="X88" i="17"/>
  <c r="W88" i="17"/>
  <c r="X87" i="17"/>
  <c r="W87" i="17"/>
  <c r="X86" i="17"/>
  <c r="W86" i="17"/>
  <c r="X85" i="17"/>
  <c r="W85" i="17"/>
  <c r="X84" i="17"/>
  <c r="W84" i="17"/>
  <c r="X83" i="17"/>
  <c r="W83" i="17"/>
  <c r="X82" i="17"/>
  <c r="W82" i="17"/>
  <c r="X81" i="17"/>
  <c r="W81" i="17"/>
  <c r="X80" i="17"/>
  <c r="W80" i="17"/>
  <c r="X79" i="17"/>
  <c r="W79" i="17"/>
  <c r="X78" i="17"/>
  <c r="W78" i="17"/>
  <c r="X77" i="17"/>
  <c r="W77" i="17"/>
  <c r="X76" i="17"/>
  <c r="W76" i="17"/>
  <c r="X75" i="17"/>
  <c r="W75" i="17"/>
  <c r="V74" i="17"/>
  <c r="AB74" i="17" s="1"/>
  <c r="V73" i="17"/>
  <c r="AB73" i="17" s="1"/>
  <c r="V72" i="17"/>
  <c r="AB72" i="17" s="1"/>
  <c r="V71" i="17"/>
  <c r="AB71" i="17" s="1"/>
  <c r="V70" i="17"/>
  <c r="AB70" i="17" s="1"/>
  <c r="V69" i="17"/>
  <c r="AB69" i="17" s="1"/>
  <c r="V68" i="17"/>
  <c r="AB68" i="17" s="1"/>
  <c r="V67" i="17"/>
  <c r="AB67" i="17" s="1"/>
  <c r="V66" i="17"/>
  <c r="AB66" i="17" s="1"/>
  <c r="V65" i="17"/>
  <c r="AB65" i="17" s="1"/>
  <c r="V64" i="17"/>
  <c r="AB64" i="17" s="1"/>
  <c r="V63" i="17"/>
  <c r="AB63" i="17" s="1"/>
  <c r="V62" i="17"/>
  <c r="AB62" i="17" s="1"/>
  <c r="V61" i="17"/>
  <c r="AB61" i="17" s="1"/>
  <c r="V60" i="17"/>
  <c r="AB60" i="17" s="1"/>
  <c r="V59" i="17"/>
  <c r="AB59" i="17" s="1"/>
  <c r="V58" i="17"/>
  <c r="AB58" i="17" s="1"/>
  <c r="X57" i="17"/>
  <c r="W57" i="17"/>
  <c r="V57" i="17"/>
  <c r="AB57" i="17" s="1"/>
  <c r="X56" i="17"/>
  <c r="W56" i="17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V51" i="17"/>
  <c r="AB51" i="17" s="1"/>
  <c r="X50" i="17"/>
  <c r="W50" i="17"/>
  <c r="V50" i="17"/>
  <c r="AB50" i="17" s="1"/>
  <c r="X49" i="17"/>
  <c r="W49" i="17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W40" i="17"/>
  <c r="V40" i="17"/>
  <c r="AB40" i="17" s="1"/>
  <c r="X39" i="17"/>
  <c r="W39" i="17"/>
  <c r="V39" i="17"/>
  <c r="AB39" i="17" s="1"/>
  <c r="X38" i="17"/>
  <c r="W38" i="17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AE601" i="16"/>
  <c r="AE600" i="16"/>
  <c r="AE599" i="16"/>
  <c r="AE598" i="16"/>
  <c r="AE597" i="16"/>
  <c r="AE596" i="16"/>
  <c r="AE595" i="16"/>
  <c r="AE594" i="16"/>
  <c r="AE593" i="16"/>
  <c r="AE592" i="16"/>
  <c r="AE591" i="16"/>
  <c r="AE590" i="16"/>
  <c r="AE589" i="16"/>
  <c r="AE588" i="16"/>
  <c r="AD588" i="16"/>
  <c r="AC588" i="16"/>
  <c r="AE587" i="16"/>
  <c r="AD587" i="16"/>
  <c r="AC587" i="16"/>
  <c r="AE586" i="16"/>
  <c r="AD586" i="16"/>
  <c r="AE585" i="16"/>
  <c r="AD585" i="16"/>
  <c r="AC585" i="16"/>
  <c r="AE584" i="16"/>
  <c r="AD584" i="16"/>
  <c r="AC584" i="16"/>
  <c r="AE583" i="16"/>
  <c r="AD583" i="16"/>
  <c r="AC583" i="16"/>
  <c r="AE582" i="16"/>
  <c r="AD582" i="16"/>
  <c r="AE581" i="16"/>
  <c r="AD581" i="16"/>
  <c r="AC581" i="16"/>
  <c r="AE580" i="16"/>
  <c r="AD580" i="16"/>
  <c r="AC580" i="16"/>
  <c r="AE579" i="16"/>
  <c r="AD579" i="16"/>
  <c r="AC579" i="16"/>
  <c r="AE578" i="16"/>
  <c r="AD578" i="16"/>
  <c r="AE577" i="16"/>
  <c r="AD577" i="16"/>
  <c r="AC577" i="16"/>
  <c r="AE576" i="16"/>
  <c r="AE575" i="16"/>
  <c r="AE574" i="16"/>
  <c r="AE573" i="16"/>
  <c r="AE572" i="16"/>
  <c r="AE571" i="16"/>
  <c r="AE570" i="16"/>
  <c r="AE569" i="16"/>
  <c r="AE568" i="16"/>
  <c r="AE567" i="16"/>
  <c r="AE566" i="16"/>
  <c r="AE565" i="16"/>
  <c r="AE564" i="16"/>
  <c r="AE563" i="16"/>
  <c r="AE562" i="16"/>
  <c r="AE561" i="16"/>
  <c r="AE560" i="16"/>
  <c r="AE559" i="16"/>
  <c r="AE558" i="16"/>
  <c r="AE557" i="16"/>
  <c r="AE556" i="16"/>
  <c r="AE555" i="16"/>
  <c r="AE554" i="16"/>
  <c r="AE553" i="16"/>
  <c r="AE552" i="16"/>
  <c r="AD552" i="16"/>
  <c r="AE551" i="16"/>
  <c r="AE550" i="16"/>
  <c r="AE549" i="16"/>
  <c r="AE548" i="16"/>
  <c r="AE547" i="16"/>
  <c r="AE546" i="16"/>
  <c r="AE545" i="16"/>
  <c r="AE544" i="16"/>
  <c r="AE543" i="16"/>
  <c r="AE542" i="16"/>
  <c r="AE541" i="16"/>
  <c r="AE540" i="16"/>
  <c r="AE539" i="16"/>
  <c r="AE538" i="16"/>
  <c r="AE537" i="16"/>
  <c r="AE536" i="16"/>
  <c r="AE535" i="16"/>
  <c r="AE534" i="16"/>
  <c r="AE533" i="16"/>
  <c r="AE532" i="16"/>
  <c r="AE531" i="16"/>
  <c r="AE530" i="16"/>
  <c r="AE529" i="16"/>
  <c r="AE528" i="16"/>
  <c r="AE527" i="16"/>
  <c r="AE526" i="16"/>
  <c r="AE525" i="16"/>
  <c r="AE524" i="16"/>
  <c r="AE523" i="16"/>
  <c r="AE522" i="16"/>
  <c r="AE521" i="16"/>
  <c r="AE520" i="16"/>
  <c r="AE519" i="16"/>
  <c r="AE518" i="16"/>
  <c r="AE517" i="16"/>
  <c r="AE516" i="16"/>
  <c r="AE515" i="16"/>
  <c r="AE514" i="16"/>
  <c r="AE513" i="16"/>
  <c r="AE512" i="16"/>
  <c r="AE511" i="16"/>
  <c r="AE510" i="16"/>
  <c r="AE509" i="16"/>
  <c r="AE508" i="16"/>
  <c r="AE507" i="16"/>
  <c r="AE506" i="16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E493" i="16"/>
  <c r="AE492" i="16"/>
  <c r="AE491" i="16"/>
  <c r="AE490" i="16"/>
  <c r="AE489" i="16"/>
  <c r="AE488" i="16"/>
  <c r="AE487" i="16"/>
  <c r="AE486" i="16"/>
  <c r="AE485" i="16"/>
  <c r="AE484" i="16"/>
  <c r="AE483" i="16"/>
  <c r="AE482" i="16"/>
  <c r="AE481" i="16"/>
  <c r="AE480" i="16"/>
  <c r="AE479" i="16"/>
  <c r="AE478" i="16"/>
  <c r="AE477" i="16"/>
  <c r="AE476" i="16"/>
  <c r="AE475" i="16"/>
  <c r="AE474" i="16"/>
  <c r="AE473" i="16"/>
  <c r="AE472" i="16"/>
  <c r="AE471" i="16"/>
  <c r="AE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D276" i="16"/>
  <c r="AC276" i="16"/>
  <c r="AE275" i="16"/>
  <c r="AD275" i="16"/>
  <c r="AC275" i="16"/>
  <c r="AE274" i="16"/>
  <c r="AD274" i="16"/>
  <c r="AC274" i="16"/>
  <c r="AE273" i="16"/>
  <c r="AD273" i="16"/>
  <c r="AC273" i="16"/>
  <c r="AE272" i="16"/>
  <c r="AD272" i="16"/>
  <c r="AE271" i="16"/>
  <c r="AD271" i="16"/>
  <c r="AC271" i="16"/>
  <c r="AE270" i="16"/>
  <c r="AD270" i="16"/>
  <c r="AC270" i="16"/>
  <c r="AE269" i="16"/>
  <c r="AD269" i="16"/>
  <c r="AC269" i="16"/>
  <c r="AE268" i="16"/>
  <c r="AD268" i="16"/>
  <c r="AC268" i="16"/>
  <c r="AE267" i="16"/>
  <c r="AD267" i="16"/>
  <c r="AC267" i="16"/>
  <c r="AE266" i="16"/>
  <c r="AD266" i="16"/>
  <c r="AC266" i="16"/>
  <c r="AE265" i="16"/>
  <c r="AD265" i="16"/>
  <c r="AC265" i="16"/>
  <c r="AE264" i="16"/>
  <c r="AD264" i="16"/>
  <c r="AE263" i="16"/>
  <c r="AD263" i="16"/>
  <c r="AC263" i="16"/>
  <c r="AE262" i="16"/>
  <c r="AD262" i="16"/>
  <c r="AC262" i="16"/>
  <c r="AG261" i="16"/>
  <c r="AF261" i="16"/>
  <c r="AB261" i="16"/>
  <c r="AG260" i="16"/>
  <c r="AF260" i="16"/>
  <c r="AB260" i="16"/>
  <c r="AG259" i="16"/>
  <c r="AF259" i="16"/>
  <c r="AB259" i="16"/>
  <c r="AG258" i="16"/>
  <c r="AF258" i="16"/>
  <c r="AB258" i="16"/>
  <c r="AG257" i="16"/>
  <c r="AF257" i="16"/>
  <c r="AB257" i="16"/>
  <c r="AG256" i="16"/>
  <c r="AF256" i="16"/>
  <c r="AB256" i="16"/>
  <c r="AG255" i="16"/>
  <c r="AF255" i="16"/>
  <c r="AB255" i="16"/>
  <c r="AG254" i="16"/>
  <c r="AF254" i="16"/>
  <c r="AB254" i="16"/>
  <c r="AG253" i="16"/>
  <c r="AF253" i="16"/>
  <c r="AB253" i="16"/>
  <c r="AG252" i="16"/>
  <c r="AF252" i="16"/>
  <c r="AB252" i="16"/>
  <c r="AG251" i="16"/>
  <c r="AF251" i="16"/>
  <c r="AB251" i="16"/>
  <c r="AG250" i="16"/>
  <c r="AF250" i="16"/>
  <c r="AB250" i="16"/>
  <c r="AG249" i="16"/>
  <c r="AF249" i="16"/>
  <c r="AB249" i="16"/>
  <c r="AG248" i="16"/>
  <c r="AF248" i="16"/>
  <c r="AB248" i="16"/>
  <c r="AG247" i="16"/>
  <c r="AF247" i="16"/>
  <c r="AB247" i="16"/>
  <c r="AG246" i="16"/>
  <c r="AF246" i="16"/>
  <c r="AB246" i="16"/>
  <c r="AG245" i="16"/>
  <c r="AF245" i="16"/>
  <c r="AB245" i="16"/>
  <c r="AG244" i="16"/>
  <c r="AF244" i="16"/>
  <c r="AB244" i="16"/>
  <c r="AG243" i="16"/>
  <c r="AF243" i="16"/>
  <c r="AB243" i="16"/>
  <c r="AG242" i="16"/>
  <c r="AF242" i="16"/>
  <c r="AB242" i="16"/>
  <c r="AG241" i="16"/>
  <c r="AF241" i="16"/>
  <c r="AB241" i="16"/>
  <c r="AG240" i="16"/>
  <c r="AF240" i="16"/>
  <c r="AB240" i="16"/>
  <c r="AG239" i="16"/>
  <c r="AF239" i="16"/>
  <c r="AB239" i="16"/>
  <c r="AG238" i="16"/>
  <c r="AF238" i="16"/>
  <c r="AB238" i="16"/>
  <c r="AG237" i="16"/>
  <c r="AF237" i="16"/>
  <c r="AB237" i="16"/>
  <c r="AE236" i="16"/>
  <c r="AD236" i="16"/>
  <c r="AC236" i="16"/>
  <c r="AE235" i="16"/>
  <c r="AD235" i="16"/>
  <c r="AC235" i="16"/>
  <c r="AE234" i="16"/>
  <c r="AD234" i="16"/>
  <c r="AC234" i="16"/>
  <c r="AE233" i="16"/>
  <c r="AD233" i="16"/>
  <c r="AC233" i="16"/>
  <c r="AE232" i="16"/>
  <c r="AD232" i="16"/>
  <c r="AC232" i="16"/>
  <c r="AE231" i="16"/>
  <c r="AD231" i="16"/>
  <c r="AC231" i="16"/>
  <c r="AE230" i="16"/>
  <c r="AD230" i="16"/>
  <c r="AC230" i="16"/>
  <c r="AE229" i="16"/>
  <c r="AD229" i="16"/>
  <c r="AC229" i="16"/>
  <c r="AE228" i="16"/>
  <c r="AD228" i="16"/>
  <c r="AC228" i="16"/>
  <c r="AE227" i="16"/>
  <c r="AD227" i="16"/>
  <c r="AC227" i="16"/>
  <c r="AE226" i="16"/>
  <c r="AD226" i="16"/>
  <c r="AC226" i="16"/>
  <c r="AE225" i="16"/>
  <c r="AD225" i="16"/>
  <c r="AC225" i="16"/>
  <c r="AE224" i="16"/>
  <c r="AD224" i="16"/>
  <c r="AC224" i="16"/>
  <c r="AE223" i="16"/>
  <c r="AD223" i="16"/>
  <c r="AC223" i="16"/>
  <c r="AE222" i="16"/>
  <c r="AD222" i="16"/>
  <c r="AC222" i="16"/>
  <c r="AE221" i="16"/>
  <c r="AD221" i="16"/>
  <c r="AC221" i="16"/>
  <c r="AE220" i="16"/>
  <c r="AD220" i="16"/>
  <c r="AC220" i="16"/>
  <c r="AE219" i="16"/>
  <c r="AD219" i="16"/>
  <c r="AC219" i="16"/>
  <c r="AE218" i="16"/>
  <c r="AD218" i="16"/>
  <c r="AC218" i="16"/>
  <c r="AE217" i="16"/>
  <c r="AD217" i="16"/>
  <c r="AC217" i="16"/>
  <c r="AE216" i="16"/>
  <c r="AD216" i="16"/>
  <c r="AC216" i="16"/>
  <c r="AE215" i="16"/>
  <c r="AD215" i="16"/>
  <c r="AC215" i="16"/>
  <c r="AE214" i="16"/>
  <c r="AD214" i="16"/>
  <c r="AC214" i="16"/>
  <c r="AE213" i="16"/>
  <c r="AD213" i="16"/>
  <c r="AC213" i="16"/>
  <c r="AE212" i="16"/>
  <c r="AD212" i="16"/>
  <c r="AC212" i="16"/>
  <c r="AE211" i="16"/>
  <c r="AD211" i="16"/>
  <c r="AC211" i="16"/>
  <c r="AE210" i="16"/>
  <c r="AD210" i="16"/>
  <c r="AC210" i="16"/>
  <c r="AE209" i="16"/>
  <c r="AD209" i="16"/>
  <c r="AC209" i="16"/>
  <c r="AG208" i="16"/>
  <c r="AF208" i="16"/>
  <c r="AB208" i="16"/>
  <c r="AG207" i="16"/>
  <c r="AF207" i="16"/>
  <c r="AB207" i="16"/>
  <c r="AG206" i="16"/>
  <c r="AF206" i="16"/>
  <c r="AB206" i="16"/>
  <c r="AG205" i="16"/>
  <c r="AF205" i="16"/>
  <c r="AB205" i="16"/>
  <c r="AG204" i="16"/>
  <c r="AF204" i="16"/>
  <c r="AB204" i="16"/>
  <c r="AG203" i="16"/>
  <c r="AF203" i="16"/>
  <c r="AB203" i="16"/>
  <c r="AG202" i="16"/>
  <c r="AF202" i="16"/>
  <c r="AB202" i="16"/>
  <c r="AG201" i="16"/>
  <c r="AF201" i="16"/>
  <c r="AB201" i="16"/>
  <c r="AG200" i="16"/>
  <c r="AF200" i="16"/>
  <c r="AB200" i="16"/>
  <c r="AG199" i="16"/>
  <c r="AF199" i="16"/>
  <c r="AB199" i="16"/>
  <c r="AG198" i="16"/>
  <c r="AF198" i="16"/>
  <c r="AB198" i="16"/>
  <c r="AG197" i="16"/>
  <c r="AF197" i="16"/>
  <c r="AB197" i="16"/>
  <c r="AG196" i="16"/>
  <c r="AF196" i="16"/>
  <c r="AB196" i="16"/>
  <c r="AG195" i="16"/>
  <c r="AF195" i="16"/>
  <c r="AB195" i="16"/>
  <c r="AG194" i="16"/>
  <c r="AF194" i="16"/>
  <c r="AB194" i="16"/>
  <c r="AG193" i="16"/>
  <c r="AF193" i="16"/>
  <c r="AB193" i="16"/>
  <c r="AG192" i="16"/>
  <c r="AF192" i="16"/>
  <c r="AB192" i="16"/>
  <c r="AG191" i="16"/>
  <c r="AF191" i="16"/>
  <c r="AB191" i="16"/>
  <c r="AG190" i="16"/>
  <c r="AF190" i="16"/>
  <c r="AB190" i="16"/>
  <c r="AG189" i="16"/>
  <c r="AF189" i="16"/>
  <c r="AB189" i="16"/>
  <c r="AG188" i="16"/>
  <c r="AF188" i="16"/>
  <c r="AB188" i="16"/>
  <c r="AG187" i="16"/>
  <c r="AF187" i="16"/>
  <c r="AB187" i="16"/>
  <c r="AE186" i="16"/>
  <c r="AD186" i="16"/>
  <c r="AC186" i="16"/>
  <c r="AE185" i="16"/>
  <c r="AD185" i="16"/>
  <c r="AC185" i="16"/>
  <c r="AE184" i="16"/>
  <c r="AC184" i="16"/>
  <c r="AE183" i="16"/>
  <c r="AD183" i="16"/>
  <c r="AC183" i="16"/>
  <c r="AE182" i="16"/>
  <c r="AD182" i="16"/>
  <c r="AC182" i="16"/>
  <c r="AE181" i="16"/>
  <c r="AD181" i="16"/>
  <c r="AC181" i="16"/>
  <c r="AE180" i="16"/>
  <c r="AD180" i="16"/>
  <c r="AC180" i="16"/>
  <c r="AE179" i="16"/>
  <c r="AD179" i="16"/>
  <c r="AC179" i="16"/>
  <c r="AE178" i="16"/>
  <c r="AD178" i="16"/>
  <c r="AC178" i="16"/>
  <c r="AE177" i="16"/>
  <c r="AD177" i="16"/>
  <c r="AC177" i="16"/>
  <c r="AE176" i="16"/>
  <c r="AC176" i="16"/>
  <c r="AE175" i="16"/>
  <c r="AD175" i="16"/>
  <c r="AC175" i="16"/>
  <c r="AE174" i="16"/>
  <c r="AD174" i="16"/>
  <c r="AC174" i="16"/>
  <c r="AE173" i="16"/>
  <c r="AD173" i="16"/>
  <c r="AC173" i="16"/>
  <c r="AE172" i="16"/>
  <c r="AD172" i="16"/>
  <c r="AC172" i="16"/>
  <c r="AE171" i="16"/>
  <c r="AD171" i="16"/>
  <c r="AC171" i="16"/>
  <c r="AE170" i="16"/>
  <c r="AD170" i="16"/>
  <c r="AC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G143" i="16"/>
  <c r="AF143" i="16"/>
  <c r="AG142" i="16"/>
  <c r="AF142" i="16"/>
  <c r="AG141" i="16"/>
  <c r="AF141" i="16"/>
  <c r="AG140" i="16"/>
  <c r="AF140" i="16"/>
  <c r="AG139" i="16"/>
  <c r="AF139" i="16"/>
  <c r="AG138" i="16"/>
  <c r="AF138" i="16"/>
  <c r="AG137" i="16"/>
  <c r="AF137" i="16"/>
  <c r="AG136" i="16"/>
  <c r="AF136" i="16"/>
  <c r="AG135" i="16"/>
  <c r="AF135" i="16"/>
  <c r="AG134" i="16"/>
  <c r="AF134" i="16"/>
  <c r="AG133" i="16"/>
  <c r="AF133" i="16"/>
  <c r="AG132" i="16"/>
  <c r="AF132" i="16"/>
  <c r="AG131" i="16"/>
  <c r="AF131" i="16"/>
  <c r="AG130" i="16"/>
  <c r="AF130" i="16"/>
  <c r="AG129" i="16"/>
  <c r="AF129" i="16"/>
  <c r="AG128" i="16"/>
  <c r="AF128" i="16"/>
  <c r="AG127" i="16"/>
  <c r="AF127" i="16"/>
  <c r="AG126" i="16"/>
  <c r="AF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G111" i="16"/>
  <c r="AE111" i="16"/>
  <c r="AG110" i="16"/>
  <c r="AE110" i="16"/>
  <c r="AG109" i="16"/>
  <c r="AE109" i="16"/>
  <c r="AG108" i="16"/>
  <c r="AE108" i="16"/>
  <c r="AG107" i="16"/>
  <c r="AE107" i="16"/>
  <c r="AG106" i="16"/>
  <c r="AE106" i="16"/>
  <c r="AG105" i="16"/>
  <c r="AE105" i="16"/>
  <c r="AG104" i="16"/>
  <c r="AE104" i="16"/>
  <c r="AG103" i="16"/>
  <c r="AE103" i="16"/>
  <c r="AG102" i="16"/>
  <c r="AE102" i="16"/>
  <c r="AG101" i="16"/>
  <c r="AF101" i="16"/>
  <c r="AG100" i="16"/>
  <c r="AF100" i="16"/>
  <c r="AG99" i="16"/>
  <c r="AF99" i="16"/>
  <c r="AG98" i="16"/>
  <c r="AF98" i="16"/>
  <c r="AG97" i="16"/>
  <c r="AF97" i="16"/>
  <c r="AG96" i="16"/>
  <c r="AF96" i="16"/>
  <c r="AG95" i="16"/>
  <c r="AF95" i="16"/>
  <c r="AG94" i="16"/>
  <c r="AF94" i="16"/>
  <c r="AG93" i="16"/>
  <c r="AF93" i="16"/>
  <c r="AG92" i="16"/>
  <c r="AF92" i="16"/>
  <c r="AG91" i="16"/>
  <c r="AF91" i="16"/>
  <c r="AG90" i="16"/>
  <c r="AF90" i="16"/>
  <c r="AG89" i="16"/>
  <c r="AE89" i="16"/>
  <c r="AG88" i="16"/>
  <c r="AE88" i="16"/>
  <c r="AG87" i="16"/>
  <c r="AE87" i="16"/>
  <c r="AG86" i="16"/>
  <c r="AE86" i="16"/>
  <c r="AG85" i="16"/>
  <c r="AE85" i="16"/>
  <c r="AG84" i="16"/>
  <c r="AE84" i="16"/>
  <c r="AG83" i="16"/>
  <c r="AE83" i="16"/>
  <c r="AG82" i="16"/>
  <c r="AE82" i="16"/>
  <c r="AG81" i="16"/>
  <c r="AE81" i="16"/>
  <c r="AG80" i="16"/>
  <c r="AE80" i="16"/>
  <c r="AE79" i="16"/>
  <c r="AE78" i="16"/>
  <c r="AE77" i="16"/>
  <c r="AE76" i="16"/>
  <c r="AE75" i="16"/>
  <c r="AE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E61" i="16"/>
  <c r="AE60" i="16"/>
  <c r="AG59" i="16"/>
  <c r="AF59" i="16"/>
  <c r="AG58" i="16"/>
  <c r="AF58" i="16"/>
  <c r="AG57" i="16"/>
  <c r="AF57" i="16"/>
  <c r="AG56" i="16"/>
  <c r="AF56" i="16"/>
  <c r="AG55" i="16"/>
  <c r="AF55" i="16"/>
  <c r="AG54" i="16"/>
  <c r="AF54" i="16"/>
  <c r="AG53" i="16"/>
  <c r="AF53" i="16"/>
  <c r="AG52" i="16"/>
  <c r="AF52" i="16"/>
  <c r="AG51" i="16"/>
  <c r="AF51" i="16"/>
  <c r="AG50" i="16"/>
  <c r="AF50" i="16"/>
  <c r="AG49" i="16"/>
  <c r="AF49" i="16"/>
  <c r="AG48" i="16"/>
  <c r="AF48" i="16"/>
  <c r="AG47" i="16"/>
  <c r="AF47" i="16"/>
  <c r="AG46" i="16"/>
  <c r="AF46" i="16"/>
  <c r="AG45" i="16"/>
  <c r="AF45" i="16"/>
  <c r="AG44" i="16"/>
  <c r="AF44" i="16"/>
  <c r="AG43" i="16"/>
  <c r="AF43" i="16"/>
  <c r="AG42" i="16"/>
  <c r="AF42" i="16"/>
  <c r="AG41" i="16"/>
  <c r="AF41" i="16"/>
  <c r="AG40" i="16"/>
  <c r="AF40" i="16"/>
  <c r="AG39" i="16"/>
  <c r="AF39" i="16"/>
  <c r="AG38" i="16"/>
  <c r="AF38" i="16"/>
  <c r="AG37" i="16"/>
  <c r="AF37" i="16"/>
  <c r="AG36" i="16"/>
  <c r="AF36" i="16"/>
  <c r="AG35" i="16"/>
  <c r="AF35" i="16"/>
  <c r="AE34" i="16"/>
  <c r="AE33" i="16"/>
  <c r="AE32" i="16"/>
  <c r="AE31" i="16"/>
  <c r="AE30" i="16"/>
  <c r="AE29" i="16"/>
  <c r="AE28" i="16"/>
  <c r="AE27" i="16"/>
  <c r="AE26" i="16"/>
  <c r="AE25" i="16"/>
  <c r="AE24" i="16"/>
  <c r="AE23" i="16"/>
  <c r="AE22" i="16"/>
  <c r="AE21" i="16"/>
  <c r="AE20" i="16"/>
  <c r="AE19" i="16"/>
  <c r="AE18" i="16"/>
  <c r="AE17" i="16"/>
  <c r="AE16" i="16"/>
  <c r="AC15" i="16"/>
  <c r="AB15" i="16"/>
  <c r="AD14" i="16"/>
  <c r="AC14" i="16"/>
  <c r="AB14" i="16"/>
  <c r="AD13" i="16"/>
  <c r="AC13" i="16"/>
  <c r="AB13" i="16"/>
  <c r="AD12" i="16"/>
  <c r="AC12" i="16"/>
  <c r="AB12" i="16"/>
  <c r="AD11" i="16"/>
  <c r="AC11" i="16"/>
  <c r="AB11" i="16"/>
  <c r="AD10" i="16"/>
  <c r="AC10" i="16"/>
  <c r="AB10" i="16"/>
  <c r="AD9" i="16"/>
  <c r="AC9" i="16"/>
  <c r="AB9" i="16"/>
  <c r="AD8" i="16"/>
  <c r="AC8" i="16"/>
  <c r="AB8" i="16"/>
  <c r="AC7" i="16"/>
  <c r="AB7" i="16"/>
  <c r="AD6" i="16"/>
  <c r="AC6" i="16"/>
  <c r="AB6" i="16"/>
  <c r="AD5" i="16"/>
  <c r="AC5" i="16"/>
  <c r="AB5" i="16"/>
  <c r="AD4" i="16"/>
  <c r="AC4" i="16"/>
  <c r="AB4" i="16"/>
  <c r="X601" i="16"/>
  <c r="AD601" i="16" s="1"/>
  <c r="W601" i="16"/>
  <c r="AC601" i="16" s="1"/>
  <c r="V601" i="16"/>
  <c r="AB601" i="16" s="1"/>
  <c r="X600" i="16"/>
  <c r="AD600" i="16" s="1"/>
  <c r="W600" i="16"/>
  <c r="AC600" i="16" s="1"/>
  <c r="V600" i="16"/>
  <c r="AB600" i="16" s="1"/>
  <c r="X599" i="16"/>
  <c r="AD599" i="16" s="1"/>
  <c r="W599" i="16"/>
  <c r="AC599" i="16" s="1"/>
  <c r="V599" i="16"/>
  <c r="AB599" i="16" s="1"/>
  <c r="X598" i="16"/>
  <c r="AD598" i="16" s="1"/>
  <c r="W598" i="16"/>
  <c r="AC598" i="16" s="1"/>
  <c r="V598" i="16"/>
  <c r="AB598" i="16" s="1"/>
  <c r="X597" i="16"/>
  <c r="AD597" i="16" s="1"/>
  <c r="W597" i="16"/>
  <c r="AC597" i="16" s="1"/>
  <c r="V597" i="16"/>
  <c r="AB597" i="16" s="1"/>
  <c r="X596" i="16"/>
  <c r="AD596" i="16" s="1"/>
  <c r="W596" i="16"/>
  <c r="AC596" i="16" s="1"/>
  <c r="V596" i="16"/>
  <c r="AB596" i="16" s="1"/>
  <c r="X595" i="16"/>
  <c r="AD595" i="16" s="1"/>
  <c r="W595" i="16"/>
  <c r="AC595" i="16" s="1"/>
  <c r="V595" i="16"/>
  <c r="AB595" i="16" s="1"/>
  <c r="X594" i="16"/>
  <c r="AD594" i="16" s="1"/>
  <c r="W594" i="16"/>
  <c r="AC594" i="16" s="1"/>
  <c r="V594" i="16"/>
  <c r="AB594" i="16" s="1"/>
  <c r="X593" i="16"/>
  <c r="AD593" i="16" s="1"/>
  <c r="W593" i="16"/>
  <c r="AC593" i="16" s="1"/>
  <c r="V593" i="16"/>
  <c r="AB593" i="16" s="1"/>
  <c r="X592" i="16"/>
  <c r="AD592" i="16" s="1"/>
  <c r="W592" i="16"/>
  <c r="AC592" i="16" s="1"/>
  <c r="V592" i="16"/>
  <c r="AB592" i="16" s="1"/>
  <c r="X591" i="16"/>
  <c r="AD591" i="16" s="1"/>
  <c r="W591" i="16"/>
  <c r="AC591" i="16" s="1"/>
  <c r="V591" i="16"/>
  <c r="AB591" i="16" s="1"/>
  <c r="X590" i="16"/>
  <c r="AD590" i="16" s="1"/>
  <c r="W590" i="16"/>
  <c r="AC590" i="16" s="1"/>
  <c r="V590" i="16"/>
  <c r="AB590" i="16" s="1"/>
  <c r="X589" i="16"/>
  <c r="AD589" i="16" s="1"/>
  <c r="W589" i="16"/>
  <c r="AC589" i="16" s="1"/>
  <c r="V589" i="16"/>
  <c r="AB589" i="16" s="1"/>
  <c r="V588" i="16"/>
  <c r="AB588" i="16" s="1"/>
  <c r="V587" i="16"/>
  <c r="AB587" i="16" s="1"/>
  <c r="V586" i="16"/>
  <c r="AB586" i="16" s="1"/>
  <c r="V585" i="16"/>
  <c r="AB585" i="16" s="1"/>
  <c r="V584" i="16"/>
  <c r="AB584" i="16" s="1"/>
  <c r="V583" i="16"/>
  <c r="AB583" i="16" s="1"/>
  <c r="V582" i="16"/>
  <c r="AB582" i="16" s="1"/>
  <c r="V581" i="16"/>
  <c r="AB581" i="16" s="1"/>
  <c r="V580" i="16"/>
  <c r="AB580" i="16" s="1"/>
  <c r="V579" i="16"/>
  <c r="AB579" i="16" s="1"/>
  <c r="V578" i="16"/>
  <c r="AB578" i="16" s="1"/>
  <c r="V577" i="16"/>
  <c r="AB577" i="16" s="1"/>
  <c r="X576" i="16"/>
  <c r="AD576" i="16" s="1"/>
  <c r="W576" i="16"/>
  <c r="AC576" i="16" s="1"/>
  <c r="V576" i="16"/>
  <c r="AB576" i="16" s="1"/>
  <c r="X575" i="16"/>
  <c r="AD575" i="16" s="1"/>
  <c r="W575" i="16"/>
  <c r="AC575" i="16" s="1"/>
  <c r="V575" i="16"/>
  <c r="AB575" i="16" s="1"/>
  <c r="X574" i="16"/>
  <c r="AD574" i="16" s="1"/>
  <c r="W574" i="16"/>
  <c r="AC574" i="16" s="1"/>
  <c r="V574" i="16"/>
  <c r="AB574" i="16" s="1"/>
  <c r="X573" i="16"/>
  <c r="AD573" i="16" s="1"/>
  <c r="W573" i="16"/>
  <c r="AC573" i="16" s="1"/>
  <c r="V573" i="16"/>
  <c r="AB573" i="16" s="1"/>
  <c r="X572" i="16"/>
  <c r="AD572" i="16" s="1"/>
  <c r="W572" i="16"/>
  <c r="AC572" i="16" s="1"/>
  <c r="V572" i="16"/>
  <c r="AB572" i="16" s="1"/>
  <c r="X571" i="16"/>
  <c r="AD571" i="16" s="1"/>
  <c r="W571" i="16"/>
  <c r="AC571" i="16" s="1"/>
  <c r="V571" i="16"/>
  <c r="AB571" i="16" s="1"/>
  <c r="X570" i="16"/>
  <c r="AD570" i="16" s="1"/>
  <c r="W570" i="16"/>
  <c r="AC570" i="16" s="1"/>
  <c r="V570" i="16"/>
  <c r="AB570" i="16" s="1"/>
  <c r="X569" i="16"/>
  <c r="AD569" i="16" s="1"/>
  <c r="W569" i="16"/>
  <c r="AC569" i="16" s="1"/>
  <c r="V569" i="16"/>
  <c r="AB569" i="16" s="1"/>
  <c r="X568" i="16"/>
  <c r="AD568" i="16" s="1"/>
  <c r="W568" i="16"/>
  <c r="AC568" i="16" s="1"/>
  <c r="V568" i="16"/>
  <c r="AB568" i="16" s="1"/>
  <c r="X567" i="16"/>
  <c r="AD567" i="16" s="1"/>
  <c r="W567" i="16"/>
  <c r="AC567" i="16" s="1"/>
  <c r="V567" i="16"/>
  <c r="AB567" i="16" s="1"/>
  <c r="X566" i="16"/>
  <c r="AD566" i="16" s="1"/>
  <c r="W566" i="16"/>
  <c r="AC566" i="16" s="1"/>
  <c r="V566" i="16"/>
  <c r="AB566" i="16" s="1"/>
  <c r="X565" i="16"/>
  <c r="AD565" i="16" s="1"/>
  <c r="W565" i="16"/>
  <c r="AC565" i="16" s="1"/>
  <c r="V565" i="16"/>
  <c r="AB565" i="16" s="1"/>
  <c r="X564" i="16"/>
  <c r="AD564" i="16" s="1"/>
  <c r="W564" i="16"/>
  <c r="AC564" i="16" s="1"/>
  <c r="V564" i="16"/>
  <c r="AB564" i="16" s="1"/>
  <c r="X563" i="16"/>
  <c r="AD563" i="16" s="1"/>
  <c r="W563" i="16"/>
  <c r="AC563" i="16" s="1"/>
  <c r="V563" i="16"/>
  <c r="AB563" i="16" s="1"/>
  <c r="X562" i="16"/>
  <c r="AD562" i="16" s="1"/>
  <c r="W562" i="16"/>
  <c r="AC562" i="16" s="1"/>
  <c r="V562" i="16"/>
  <c r="AB562" i="16" s="1"/>
  <c r="X561" i="16"/>
  <c r="AD561" i="16" s="1"/>
  <c r="W561" i="16"/>
  <c r="AC561" i="16" s="1"/>
  <c r="V561" i="16"/>
  <c r="AB561" i="16" s="1"/>
  <c r="X560" i="16"/>
  <c r="AD560" i="16" s="1"/>
  <c r="W560" i="16"/>
  <c r="AC560" i="16" s="1"/>
  <c r="V560" i="16"/>
  <c r="AB560" i="16" s="1"/>
  <c r="X559" i="16"/>
  <c r="AD559" i="16" s="1"/>
  <c r="W559" i="16"/>
  <c r="AC559" i="16" s="1"/>
  <c r="V559" i="16"/>
  <c r="AB559" i="16" s="1"/>
  <c r="X558" i="16"/>
  <c r="AD558" i="16" s="1"/>
  <c r="W558" i="16"/>
  <c r="AC558" i="16" s="1"/>
  <c r="V558" i="16"/>
  <c r="AB558" i="16" s="1"/>
  <c r="X557" i="16"/>
  <c r="AD557" i="16" s="1"/>
  <c r="W557" i="16"/>
  <c r="AC557" i="16" s="1"/>
  <c r="V557" i="16"/>
  <c r="AB557" i="16" s="1"/>
  <c r="X556" i="16"/>
  <c r="AD556" i="16" s="1"/>
  <c r="W556" i="16"/>
  <c r="AC556" i="16" s="1"/>
  <c r="V556" i="16"/>
  <c r="AB556" i="16" s="1"/>
  <c r="X555" i="16"/>
  <c r="AD555" i="16" s="1"/>
  <c r="W555" i="16"/>
  <c r="AC555" i="16" s="1"/>
  <c r="V555" i="16"/>
  <c r="AB555" i="16" s="1"/>
  <c r="X554" i="16"/>
  <c r="AD554" i="16" s="1"/>
  <c r="W554" i="16"/>
  <c r="AC554" i="16" s="1"/>
  <c r="V554" i="16"/>
  <c r="AB554" i="16" s="1"/>
  <c r="X553" i="16"/>
  <c r="AD553" i="16" s="1"/>
  <c r="W553" i="16"/>
  <c r="AC553" i="16" s="1"/>
  <c r="V553" i="16"/>
  <c r="AB553" i="16" s="1"/>
  <c r="X552" i="16"/>
  <c r="W552" i="16"/>
  <c r="AC552" i="16" s="1"/>
  <c r="V552" i="16"/>
  <c r="AB552" i="16" s="1"/>
  <c r="X551" i="16"/>
  <c r="AD551" i="16" s="1"/>
  <c r="W551" i="16"/>
  <c r="AC551" i="16" s="1"/>
  <c r="V551" i="16"/>
  <c r="AB551" i="16" s="1"/>
  <c r="X550" i="16"/>
  <c r="AD550" i="16" s="1"/>
  <c r="W550" i="16"/>
  <c r="AC550" i="16" s="1"/>
  <c r="V550" i="16"/>
  <c r="AB550" i="16" s="1"/>
  <c r="X549" i="16"/>
  <c r="AD549" i="16" s="1"/>
  <c r="W549" i="16"/>
  <c r="AC549" i="16" s="1"/>
  <c r="V549" i="16"/>
  <c r="AB549" i="16" s="1"/>
  <c r="X548" i="16"/>
  <c r="AD548" i="16" s="1"/>
  <c r="W548" i="16"/>
  <c r="AC548" i="16" s="1"/>
  <c r="V548" i="16"/>
  <c r="AB548" i="16" s="1"/>
  <c r="X547" i="16"/>
  <c r="AD547" i="16" s="1"/>
  <c r="W547" i="16"/>
  <c r="AC547" i="16" s="1"/>
  <c r="V547" i="16"/>
  <c r="AB547" i="16" s="1"/>
  <c r="X546" i="16"/>
  <c r="AD546" i="16" s="1"/>
  <c r="W546" i="16"/>
  <c r="AC546" i="16" s="1"/>
  <c r="V546" i="16"/>
  <c r="AB546" i="16" s="1"/>
  <c r="X545" i="16"/>
  <c r="AD545" i="16" s="1"/>
  <c r="W545" i="16"/>
  <c r="AC545" i="16" s="1"/>
  <c r="V545" i="16"/>
  <c r="AB545" i="16" s="1"/>
  <c r="X544" i="16"/>
  <c r="AD544" i="16" s="1"/>
  <c r="W544" i="16"/>
  <c r="AC544" i="16" s="1"/>
  <c r="V544" i="16"/>
  <c r="AB544" i="16" s="1"/>
  <c r="X543" i="16"/>
  <c r="AD543" i="16" s="1"/>
  <c r="W543" i="16"/>
  <c r="AC543" i="16" s="1"/>
  <c r="V543" i="16"/>
  <c r="AB543" i="16" s="1"/>
  <c r="X542" i="16"/>
  <c r="AD542" i="16" s="1"/>
  <c r="W542" i="16"/>
  <c r="AC542" i="16" s="1"/>
  <c r="V542" i="16"/>
  <c r="AB542" i="16" s="1"/>
  <c r="X541" i="16"/>
  <c r="AD541" i="16" s="1"/>
  <c r="W541" i="16"/>
  <c r="AC541" i="16" s="1"/>
  <c r="V541" i="16"/>
  <c r="AB541" i="16" s="1"/>
  <c r="X540" i="16"/>
  <c r="AD540" i="16" s="1"/>
  <c r="W540" i="16"/>
  <c r="AC540" i="16" s="1"/>
  <c r="V540" i="16"/>
  <c r="AB540" i="16" s="1"/>
  <c r="X539" i="16"/>
  <c r="AD539" i="16" s="1"/>
  <c r="W539" i="16"/>
  <c r="AC539" i="16" s="1"/>
  <c r="V539" i="16"/>
  <c r="AB539" i="16" s="1"/>
  <c r="X538" i="16"/>
  <c r="AD538" i="16" s="1"/>
  <c r="W538" i="16"/>
  <c r="AC538" i="16" s="1"/>
  <c r="V538" i="16"/>
  <c r="AB538" i="16" s="1"/>
  <c r="X537" i="16"/>
  <c r="AD537" i="16" s="1"/>
  <c r="W537" i="16"/>
  <c r="AC537" i="16" s="1"/>
  <c r="V537" i="16"/>
  <c r="AB537" i="16" s="1"/>
  <c r="X536" i="16"/>
  <c r="AD536" i="16" s="1"/>
  <c r="W536" i="16"/>
  <c r="AC536" i="16" s="1"/>
  <c r="V536" i="16"/>
  <c r="AB536" i="16" s="1"/>
  <c r="X535" i="16"/>
  <c r="AD535" i="16" s="1"/>
  <c r="W535" i="16"/>
  <c r="AC535" i="16" s="1"/>
  <c r="V535" i="16"/>
  <c r="AB535" i="16" s="1"/>
  <c r="X534" i="16"/>
  <c r="AD534" i="16" s="1"/>
  <c r="W534" i="16"/>
  <c r="AC534" i="16" s="1"/>
  <c r="V534" i="16"/>
  <c r="AB534" i="16" s="1"/>
  <c r="X533" i="16"/>
  <c r="AD533" i="16" s="1"/>
  <c r="W533" i="16"/>
  <c r="AC533" i="16" s="1"/>
  <c r="V533" i="16"/>
  <c r="AB533" i="16" s="1"/>
  <c r="X532" i="16"/>
  <c r="AD532" i="16" s="1"/>
  <c r="W532" i="16"/>
  <c r="AC532" i="16" s="1"/>
  <c r="V532" i="16"/>
  <c r="AB532" i="16" s="1"/>
  <c r="X531" i="16"/>
  <c r="AD531" i="16" s="1"/>
  <c r="W531" i="16"/>
  <c r="AC531" i="16" s="1"/>
  <c r="V531" i="16"/>
  <c r="AB531" i="16" s="1"/>
  <c r="X530" i="16"/>
  <c r="AD530" i="16" s="1"/>
  <c r="W530" i="16"/>
  <c r="AC530" i="16" s="1"/>
  <c r="V530" i="16"/>
  <c r="AB530" i="16" s="1"/>
  <c r="X529" i="16"/>
  <c r="AD529" i="16" s="1"/>
  <c r="W529" i="16"/>
  <c r="AC529" i="16" s="1"/>
  <c r="V529" i="16"/>
  <c r="AB529" i="16" s="1"/>
  <c r="X528" i="16"/>
  <c r="AD528" i="16" s="1"/>
  <c r="W528" i="16"/>
  <c r="AC528" i="16" s="1"/>
  <c r="V528" i="16"/>
  <c r="AB528" i="16" s="1"/>
  <c r="X527" i="16"/>
  <c r="AD527" i="16" s="1"/>
  <c r="W527" i="16"/>
  <c r="AC527" i="16" s="1"/>
  <c r="V527" i="16"/>
  <c r="AB527" i="16" s="1"/>
  <c r="X526" i="16"/>
  <c r="AD526" i="16" s="1"/>
  <c r="W526" i="16"/>
  <c r="AC526" i="16" s="1"/>
  <c r="V526" i="16"/>
  <c r="AB526" i="16" s="1"/>
  <c r="X525" i="16"/>
  <c r="AD525" i="16" s="1"/>
  <c r="W525" i="16"/>
  <c r="AC525" i="16" s="1"/>
  <c r="V525" i="16"/>
  <c r="AB525" i="16" s="1"/>
  <c r="X524" i="16"/>
  <c r="AD524" i="16" s="1"/>
  <c r="W524" i="16"/>
  <c r="AC524" i="16" s="1"/>
  <c r="V524" i="16"/>
  <c r="AB524" i="16" s="1"/>
  <c r="X523" i="16"/>
  <c r="AD523" i="16" s="1"/>
  <c r="W523" i="16"/>
  <c r="AC523" i="16" s="1"/>
  <c r="V523" i="16"/>
  <c r="AB523" i="16" s="1"/>
  <c r="X522" i="16"/>
  <c r="AD522" i="16" s="1"/>
  <c r="W522" i="16"/>
  <c r="AC522" i="16" s="1"/>
  <c r="V522" i="16"/>
  <c r="AB522" i="16" s="1"/>
  <c r="X521" i="16"/>
  <c r="AD521" i="16" s="1"/>
  <c r="W521" i="16"/>
  <c r="AC521" i="16" s="1"/>
  <c r="V521" i="16"/>
  <c r="AB521" i="16" s="1"/>
  <c r="X520" i="16"/>
  <c r="AD520" i="16" s="1"/>
  <c r="W520" i="16"/>
  <c r="AC520" i="16" s="1"/>
  <c r="V520" i="16"/>
  <c r="AB520" i="16" s="1"/>
  <c r="X519" i="16"/>
  <c r="AD519" i="16" s="1"/>
  <c r="W519" i="16"/>
  <c r="AC519" i="16" s="1"/>
  <c r="V519" i="16"/>
  <c r="AB519" i="16" s="1"/>
  <c r="X518" i="16"/>
  <c r="AD518" i="16" s="1"/>
  <c r="W518" i="16"/>
  <c r="AC518" i="16" s="1"/>
  <c r="V518" i="16"/>
  <c r="AB518" i="16" s="1"/>
  <c r="X517" i="16"/>
  <c r="AD517" i="16" s="1"/>
  <c r="W517" i="16"/>
  <c r="AC517" i="16" s="1"/>
  <c r="V517" i="16"/>
  <c r="AB517" i="16" s="1"/>
  <c r="X516" i="16"/>
  <c r="AD516" i="16" s="1"/>
  <c r="W516" i="16"/>
  <c r="AC516" i="16" s="1"/>
  <c r="V516" i="16"/>
  <c r="AB516" i="16" s="1"/>
  <c r="X515" i="16"/>
  <c r="AD515" i="16" s="1"/>
  <c r="W515" i="16"/>
  <c r="AC515" i="16" s="1"/>
  <c r="V515" i="16"/>
  <c r="AB515" i="16" s="1"/>
  <c r="X514" i="16"/>
  <c r="AD514" i="16" s="1"/>
  <c r="W514" i="16"/>
  <c r="AC514" i="16" s="1"/>
  <c r="V514" i="16"/>
  <c r="AB514" i="16" s="1"/>
  <c r="X513" i="16"/>
  <c r="AD513" i="16" s="1"/>
  <c r="W513" i="16"/>
  <c r="AC513" i="16" s="1"/>
  <c r="V513" i="16"/>
  <c r="AB513" i="16" s="1"/>
  <c r="X512" i="16"/>
  <c r="AD512" i="16" s="1"/>
  <c r="W512" i="16"/>
  <c r="AC512" i="16" s="1"/>
  <c r="V512" i="16"/>
  <c r="AB512" i="16" s="1"/>
  <c r="X511" i="16"/>
  <c r="AD511" i="16" s="1"/>
  <c r="W511" i="16"/>
  <c r="AC511" i="16" s="1"/>
  <c r="V511" i="16"/>
  <c r="AB511" i="16" s="1"/>
  <c r="X510" i="16"/>
  <c r="AD510" i="16" s="1"/>
  <c r="W510" i="16"/>
  <c r="AC510" i="16" s="1"/>
  <c r="V510" i="16"/>
  <c r="AB510" i="16" s="1"/>
  <c r="X509" i="16"/>
  <c r="AD509" i="16" s="1"/>
  <c r="W509" i="16"/>
  <c r="AC509" i="16" s="1"/>
  <c r="V509" i="16"/>
  <c r="AB509" i="16" s="1"/>
  <c r="X508" i="16"/>
  <c r="AD508" i="16" s="1"/>
  <c r="W508" i="16"/>
  <c r="AC508" i="16" s="1"/>
  <c r="V508" i="16"/>
  <c r="AB508" i="16" s="1"/>
  <c r="X507" i="16"/>
  <c r="AD507" i="16" s="1"/>
  <c r="W507" i="16"/>
  <c r="AC507" i="16" s="1"/>
  <c r="V507" i="16"/>
  <c r="AB507" i="16" s="1"/>
  <c r="X506" i="16"/>
  <c r="AD506" i="16" s="1"/>
  <c r="W506" i="16"/>
  <c r="AC506" i="16" s="1"/>
  <c r="V506" i="16"/>
  <c r="AB506" i="16" s="1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AC493" i="16" s="1"/>
  <c r="V493" i="16"/>
  <c r="AB493" i="16" s="1"/>
  <c r="X492" i="16"/>
  <c r="AD492" i="16" s="1"/>
  <c r="W492" i="16"/>
  <c r="AC492" i="16" s="1"/>
  <c r="V492" i="16"/>
  <c r="AB492" i="16" s="1"/>
  <c r="X491" i="16"/>
  <c r="AD491" i="16" s="1"/>
  <c r="W491" i="16"/>
  <c r="AC491" i="16" s="1"/>
  <c r="V491" i="16"/>
  <c r="AB491" i="16" s="1"/>
  <c r="X490" i="16"/>
  <c r="AD490" i="16" s="1"/>
  <c r="W490" i="16"/>
  <c r="AC490" i="16" s="1"/>
  <c r="V490" i="16"/>
  <c r="AB490" i="16" s="1"/>
  <c r="X489" i="16"/>
  <c r="AD489" i="16" s="1"/>
  <c r="W489" i="16"/>
  <c r="AC489" i="16" s="1"/>
  <c r="V489" i="16"/>
  <c r="AB489" i="16" s="1"/>
  <c r="X488" i="16"/>
  <c r="AD488" i="16" s="1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AC485" i="16" s="1"/>
  <c r="V485" i="16"/>
  <c r="AB485" i="16" s="1"/>
  <c r="X484" i="16"/>
  <c r="AD484" i="16" s="1"/>
  <c r="W484" i="16"/>
  <c r="AC484" i="16" s="1"/>
  <c r="V484" i="16"/>
  <c r="AB484" i="16" s="1"/>
  <c r="X483" i="16"/>
  <c r="AD483" i="16" s="1"/>
  <c r="W483" i="16"/>
  <c r="AC483" i="16" s="1"/>
  <c r="V483" i="16"/>
  <c r="AB483" i="16" s="1"/>
  <c r="X482" i="16"/>
  <c r="AD482" i="16" s="1"/>
  <c r="W482" i="16"/>
  <c r="AC482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V276" i="16"/>
  <c r="AB276" i="16" s="1"/>
  <c r="V275" i="16"/>
  <c r="AB275" i="16" s="1"/>
  <c r="V274" i="16"/>
  <c r="AB274" i="16" s="1"/>
  <c r="V273" i="16"/>
  <c r="AB273" i="16" s="1"/>
  <c r="V272" i="16"/>
  <c r="AB272" i="16" s="1"/>
  <c r="V271" i="16"/>
  <c r="AB271" i="16" s="1"/>
  <c r="V270" i="16"/>
  <c r="AB270" i="16" s="1"/>
  <c r="V269" i="16"/>
  <c r="AB269" i="16" s="1"/>
  <c r="V268" i="16"/>
  <c r="AB268" i="16" s="1"/>
  <c r="V267" i="16"/>
  <c r="AB267" i="16" s="1"/>
  <c r="V266" i="16"/>
  <c r="AB266" i="16" s="1"/>
  <c r="V265" i="16"/>
  <c r="AB265" i="16" s="1"/>
  <c r="V264" i="16"/>
  <c r="AB264" i="16" s="1"/>
  <c r="V263" i="16"/>
  <c r="AB263" i="16" s="1"/>
  <c r="V262" i="16"/>
  <c r="AB262" i="16" s="1"/>
  <c r="X261" i="16"/>
  <c r="AD261" i="16" s="1"/>
  <c r="W261" i="16"/>
  <c r="AC261" i="16" s="1"/>
  <c r="X260" i="16"/>
  <c r="AD260" i="16" s="1"/>
  <c r="W260" i="16"/>
  <c r="AC260" i="16" s="1"/>
  <c r="X259" i="16"/>
  <c r="AD259" i="16" s="1"/>
  <c r="W259" i="16"/>
  <c r="AC259" i="16" s="1"/>
  <c r="X258" i="16"/>
  <c r="AD258" i="16" s="1"/>
  <c r="W258" i="16"/>
  <c r="AC258" i="16" s="1"/>
  <c r="X257" i="16"/>
  <c r="AD257" i="16" s="1"/>
  <c r="W257" i="16"/>
  <c r="AC257" i="16" s="1"/>
  <c r="X256" i="16"/>
  <c r="AD256" i="16" s="1"/>
  <c r="W256" i="16"/>
  <c r="AC256" i="16" s="1"/>
  <c r="X255" i="16"/>
  <c r="AD255" i="16" s="1"/>
  <c r="W255" i="16"/>
  <c r="AC255" i="16" s="1"/>
  <c r="X254" i="16"/>
  <c r="AD254" i="16" s="1"/>
  <c r="W254" i="16"/>
  <c r="AC254" i="16" s="1"/>
  <c r="X253" i="16"/>
  <c r="AD253" i="16" s="1"/>
  <c r="W253" i="16"/>
  <c r="AC253" i="16" s="1"/>
  <c r="X252" i="16"/>
  <c r="AD252" i="16" s="1"/>
  <c r="W252" i="16"/>
  <c r="AC252" i="16" s="1"/>
  <c r="X251" i="16"/>
  <c r="AD251" i="16" s="1"/>
  <c r="W251" i="16"/>
  <c r="AC251" i="16" s="1"/>
  <c r="X250" i="16"/>
  <c r="AD250" i="16" s="1"/>
  <c r="W250" i="16"/>
  <c r="AC250" i="16" s="1"/>
  <c r="X249" i="16"/>
  <c r="AD249" i="16" s="1"/>
  <c r="W249" i="16"/>
  <c r="AC249" i="16" s="1"/>
  <c r="X248" i="16"/>
  <c r="AD248" i="16" s="1"/>
  <c r="W248" i="16"/>
  <c r="AC248" i="16" s="1"/>
  <c r="X247" i="16"/>
  <c r="AD247" i="16" s="1"/>
  <c r="W247" i="16"/>
  <c r="AC247" i="16" s="1"/>
  <c r="X246" i="16"/>
  <c r="AD246" i="16" s="1"/>
  <c r="W246" i="16"/>
  <c r="AC246" i="16" s="1"/>
  <c r="X245" i="16"/>
  <c r="AD245" i="16" s="1"/>
  <c r="W245" i="16"/>
  <c r="AC245" i="16" s="1"/>
  <c r="X244" i="16"/>
  <c r="AD244" i="16" s="1"/>
  <c r="W244" i="16"/>
  <c r="AC244" i="16" s="1"/>
  <c r="X243" i="16"/>
  <c r="AD243" i="16" s="1"/>
  <c r="W243" i="16"/>
  <c r="AC243" i="16" s="1"/>
  <c r="X242" i="16"/>
  <c r="AD242" i="16" s="1"/>
  <c r="W242" i="16"/>
  <c r="AC242" i="16" s="1"/>
  <c r="X241" i="16"/>
  <c r="AD241" i="16" s="1"/>
  <c r="W241" i="16"/>
  <c r="AC241" i="16" s="1"/>
  <c r="X240" i="16"/>
  <c r="AD240" i="16" s="1"/>
  <c r="W240" i="16"/>
  <c r="AC240" i="16" s="1"/>
  <c r="X239" i="16"/>
  <c r="AD239" i="16" s="1"/>
  <c r="W239" i="16"/>
  <c r="AC239" i="16" s="1"/>
  <c r="X238" i="16"/>
  <c r="AD238" i="16" s="1"/>
  <c r="W238" i="16"/>
  <c r="AC238" i="16" s="1"/>
  <c r="X237" i="16"/>
  <c r="AD237" i="16" s="1"/>
  <c r="W237" i="16"/>
  <c r="AC237" i="16" s="1"/>
  <c r="V236" i="16"/>
  <c r="AB236" i="16" s="1"/>
  <c r="V235" i="16"/>
  <c r="AB235" i="16" s="1"/>
  <c r="V234" i="16"/>
  <c r="AB234" i="16" s="1"/>
  <c r="V233" i="16"/>
  <c r="AB233" i="16" s="1"/>
  <c r="V232" i="16"/>
  <c r="AB232" i="16" s="1"/>
  <c r="V231" i="16"/>
  <c r="AB231" i="16" s="1"/>
  <c r="V230" i="16"/>
  <c r="AB230" i="16" s="1"/>
  <c r="V229" i="16"/>
  <c r="AB229" i="16" s="1"/>
  <c r="V228" i="16"/>
  <c r="AB228" i="16" s="1"/>
  <c r="V227" i="16"/>
  <c r="AB227" i="16" s="1"/>
  <c r="V226" i="16"/>
  <c r="AB226" i="16" s="1"/>
  <c r="V225" i="16"/>
  <c r="AB225" i="16" s="1"/>
  <c r="V224" i="16"/>
  <c r="AB224" i="16" s="1"/>
  <c r="V223" i="16"/>
  <c r="AB223" i="16" s="1"/>
  <c r="V222" i="16"/>
  <c r="AB222" i="16" s="1"/>
  <c r="V221" i="16"/>
  <c r="AB221" i="16" s="1"/>
  <c r="V220" i="16"/>
  <c r="AB220" i="16" s="1"/>
  <c r="V219" i="16"/>
  <c r="AB219" i="16" s="1"/>
  <c r="V218" i="16"/>
  <c r="AB218" i="16" s="1"/>
  <c r="V217" i="16"/>
  <c r="AB217" i="16" s="1"/>
  <c r="V216" i="16"/>
  <c r="AB216" i="16" s="1"/>
  <c r="V215" i="16"/>
  <c r="AB215" i="16" s="1"/>
  <c r="V214" i="16"/>
  <c r="AB214" i="16" s="1"/>
  <c r="V213" i="16"/>
  <c r="AB213" i="16" s="1"/>
  <c r="V212" i="16"/>
  <c r="AB212" i="16" s="1"/>
  <c r="V211" i="16"/>
  <c r="AB211" i="16" s="1"/>
  <c r="V210" i="16"/>
  <c r="AB210" i="16" s="1"/>
  <c r="V209" i="16"/>
  <c r="AB209" i="16" s="1"/>
  <c r="X208" i="16"/>
  <c r="AD208" i="16" s="1"/>
  <c r="W208" i="16"/>
  <c r="AC208" i="16" s="1"/>
  <c r="X207" i="16"/>
  <c r="AD207" i="16" s="1"/>
  <c r="W207" i="16"/>
  <c r="AC207" i="16" s="1"/>
  <c r="X206" i="16"/>
  <c r="AD206" i="16" s="1"/>
  <c r="W206" i="16"/>
  <c r="AC206" i="16" s="1"/>
  <c r="X205" i="16"/>
  <c r="AD205" i="16" s="1"/>
  <c r="W205" i="16"/>
  <c r="AC205" i="16" s="1"/>
  <c r="X204" i="16"/>
  <c r="AD204" i="16" s="1"/>
  <c r="W204" i="16"/>
  <c r="AC204" i="16" s="1"/>
  <c r="X203" i="16"/>
  <c r="AD203" i="16" s="1"/>
  <c r="W203" i="16"/>
  <c r="AC203" i="16" s="1"/>
  <c r="X202" i="16"/>
  <c r="AD202" i="16" s="1"/>
  <c r="W202" i="16"/>
  <c r="AC202" i="16" s="1"/>
  <c r="X201" i="16"/>
  <c r="AD201" i="16" s="1"/>
  <c r="W201" i="16"/>
  <c r="AC201" i="16" s="1"/>
  <c r="X200" i="16"/>
  <c r="AD200" i="16" s="1"/>
  <c r="W200" i="16"/>
  <c r="AC200" i="16" s="1"/>
  <c r="X199" i="16"/>
  <c r="AD199" i="16" s="1"/>
  <c r="W199" i="16"/>
  <c r="AC199" i="16" s="1"/>
  <c r="X198" i="16"/>
  <c r="AD198" i="16" s="1"/>
  <c r="W198" i="16"/>
  <c r="AC198" i="16" s="1"/>
  <c r="X197" i="16"/>
  <c r="AD197" i="16" s="1"/>
  <c r="W197" i="16"/>
  <c r="AC197" i="16" s="1"/>
  <c r="X196" i="16"/>
  <c r="AD196" i="16" s="1"/>
  <c r="W196" i="16"/>
  <c r="AC196" i="16" s="1"/>
  <c r="X195" i="16"/>
  <c r="AD195" i="16" s="1"/>
  <c r="W195" i="16"/>
  <c r="AC195" i="16" s="1"/>
  <c r="X194" i="16"/>
  <c r="AD194" i="16" s="1"/>
  <c r="W194" i="16"/>
  <c r="AC194" i="16" s="1"/>
  <c r="X193" i="16"/>
  <c r="AD193" i="16" s="1"/>
  <c r="W193" i="16"/>
  <c r="AC193" i="16" s="1"/>
  <c r="X192" i="16"/>
  <c r="AD192" i="16" s="1"/>
  <c r="W192" i="16"/>
  <c r="AC192" i="16" s="1"/>
  <c r="X191" i="16"/>
  <c r="AD191" i="16" s="1"/>
  <c r="W191" i="16"/>
  <c r="AC191" i="16" s="1"/>
  <c r="X190" i="16"/>
  <c r="AD190" i="16" s="1"/>
  <c r="W190" i="16"/>
  <c r="AC190" i="16" s="1"/>
  <c r="X189" i="16"/>
  <c r="AD189" i="16" s="1"/>
  <c r="W189" i="16"/>
  <c r="AC189" i="16" s="1"/>
  <c r="X188" i="16"/>
  <c r="AD188" i="16" s="1"/>
  <c r="W188" i="16"/>
  <c r="AC188" i="16" s="1"/>
  <c r="X187" i="16"/>
  <c r="AD187" i="16" s="1"/>
  <c r="W187" i="16"/>
  <c r="AC187" i="16" s="1"/>
  <c r="V186" i="16"/>
  <c r="AB186" i="16" s="1"/>
  <c r="V185" i="16"/>
  <c r="AB185" i="16" s="1"/>
  <c r="V184" i="16"/>
  <c r="AB184" i="16" s="1"/>
  <c r="V183" i="16"/>
  <c r="AB183" i="16" s="1"/>
  <c r="V182" i="16"/>
  <c r="AB182" i="16" s="1"/>
  <c r="V181" i="16"/>
  <c r="AB181" i="16" s="1"/>
  <c r="V180" i="16"/>
  <c r="AB180" i="16" s="1"/>
  <c r="V179" i="16"/>
  <c r="AB179" i="16" s="1"/>
  <c r="V178" i="16"/>
  <c r="AB178" i="16" s="1"/>
  <c r="V177" i="16"/>
  <c r="AB177" i="16" s="1"/>
  <c r="V176" i="16"/>
  <c r="AB176" i="16" s="1"/>
  <c r="V175" i="16"/>
  <c r="AB175" i="16" s="1"/>
  <c r="V174" i="16"/>
  <c r="AB174" i="16" s="1"/>
  <c r="V173" i="16"/>
  <c r="AB173" i="16" s="1"/>
  <c r="V172" i="16"/>
  <c r="AB172" i="16" s="1"/>
  <c r="V171" i="16"/>
  <c r="AB171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Z51" i="7" s="1"/>
  <c r="X51" i="6"/>
  <c r="W51" i="6"/>
  <c r="V51" i="6"/>
  <c r="U51" i="6"/>
  <c r="AD50" i="6"/>
  <c r="AB50" i="6"/>
  <c r="AA50" i="6"/>
  <c r="AA50" i="7" s="1"/>
  <c r="Z50" i="6"/>
  <c r="X50" i="6"/>
  <c r="W50" i="6"/>
  <c r="V50" i="6"/>
  <c r="U50" i="6"/>
  <c r="AD49" i="6"/>
  <c r="AB49" i="6"/>
  <c r="AA49" i="6"/>
  <c r="AA49" i="7" s="1"/>
  <c r="Z49" i="6"/>
  <c r="Z49" i="7" s="1"/>
  <c r="X49" i="6"/>
  <c r="W49" i="6"/>
  <c r="V49" i="6"/>
  <c r="U49" i="6"/>
  <c r="AD48" i="6"/>
  <c r="AB48" i="6"/>
  <c r="AA48" i="6"/>
  <c r="AA48" i="7" s="1"/>
  <c r="Z48" i="6"/>
  <c r="Z48" i="7" s="1"/>
  <c r="X48" i="6"/>
  <c r="W48" i="6"/>
  <c r="V48" i="6"/>
  <c r="U48" i="6"/>
  <c r="AD47" i="6"/>
  <c r="AB47" i="6"/>
  <c r="AA47" i="6"/>
  <c r="Z47" i="6"/>
  <c r="Z47" i="7" s="1"/>
  <c r="X47" i="6"/>
  <c r="W47" i="6"/>
  <c r="V47" i="6"/>
  <c r="U47" i="6"/>
  <c r="AD46" i="6"/>
  <c r="AB46" i="6"/>
  <c r="AA46" i="6"/>
  <c r="Z46" i="6"/>
  <c r="Z46" i="7" s="1"/>
  <c r="X46" i="6"/>
  <c r="W46" i="6"/>
  <c r="V46" i="6"/>
  <c r="U46" i="6"/>
  <c r="AD45" i="6"/>
  <c r="AB45" i="6"/>
  <c r="AA45" i="6"/>
  <c r="AA45" i="7" s="1"/>
  <c r="Z45" i="6"/>
  <c r="Z45" i="7" s="1"/>
  <c r="X45" i="6"/>
  <c r="W45" i="6"/>
  <c r="V45" i="6"/>
  <c r="U45" i="6"/>
  <c r="AD44" i="6"/>
  <c r="AB44" i="6"/>
  <c r="AA44" i="6"/>
  <c r="AA44" i="7" s="1"/>
  <c r="Z44" i="6"/>
  <c r="Z44" i="7" s="1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AA42" i="7" s="1"/>
  <c r="Z42" i="6"/>
  <c r="Z42" i="7" s="1"/>
  <c r="X42" i="6"/>
  <c r="W42" i="6"/>
  <c r="V42" i="6"/>
  <c r="U42" i="6"/>
  <c r="AD41" i="6"/>
  <c r="AB41" i="6"/>
  <c r="AA41" i="6"/>
  <c r="AA41" i="7" s="1"/>
  <c r="Z41" i="6"/>
  <c r="Z41" i="7" s="1"/>
  <c r="X41" i="6"/>
  <c r="W41" i="6"/>
  <c r="V41" i="6"/>
  <c r="U41" i="6"/>
  <c r="AD40" i="6"/>
  <c r="AB40" i="6"/>
  <c r="AA40" i="6"/>
  <c r="AA40" i="7" s="1"/>
  <c r="Z40" i="6"/>
  <c r="Z40" i="7" s="1"/>
  <c r="X40" i="6"/>
  <c r="W40" i="6"/>
  <c r="V40" i="6"/>
  <c r="U40" i="6"/>
  <c r="AD39" i="6"/>
  <c r="AB39" i="6"/>
  <c r="AA39" i="6"/>
  <c r="AA39" i="7" s="1"/>
  <c r="Z39" i="6"/>
  <c r="X39" i="6"/>
  <c r="W39" i="6"/>
  <c r="V39" i="6"/>
  <c r="U39" i="6"/>
  <c r="AD38" i="6"/>
  <c r="AB38" i="6"/>
  <c r="AA38" i="6"/>
  <c r="AA38" i="7" s="1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C36" i="6"/>
  <c r="AB36" i="6"/>
  <c r="AA36" i="6"/>
  <c r="Z36" i="6"/>
  <c r="Z36" i="7" s="1"/>
  <c r="X36" i="6"/>
  <c r="W36" i="6"/>
  <c r="V36" i="6"/>
  <c r="U36" i="6"/>
  <c r="AD35" i="6"/>
  <c r="AB35" i="6"/>
  <c r="AA35" i="6"/>
  <c r="Z35" i="6"/>
  <c r="Z35" i="7" s="1"/>
  <c r="X35" i="6"/>
  <c r="W35" i="6"/>
  <c r="V35" i="6"/>
  <c r="U35" i="6"/>
  <c r="AD34" i="6"/>
  <c r="AB34" i="6"/>
  <c r="AA34" i="6"/>
  <c r="Z34" i="6"/>
  <c r="Z34" i="7" s="1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AA32" i="7" s="1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AA30" i="7" s="1"/>
  <c r="Z30" i="6"/>
  <c r="Z30" i="7" s="1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AA28" i="7" s="1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AA25" i="7" s="1"/>
  <c r="Z25" i="6"/>
  <c r="Z25" i="7" s="1"/>
  <c r="Y25" i="6"/>
  <c r="X25" i="6"/>
  <c r="W25" i="6"/>
  <c r="V25" i="6"/>
  <c r="U25" i="6"/>
  <c r="AD24" i="6"/>
  <c r="AB24" i="6"/>
  <c r="AA24" i="6"/>
  <c r="AA24" i="7" s="1"/>
  <c r="Z24" i="6"/>
  <c r="Z24" i="7" s="1"/>
  <c r="X24" i="6"/>
  <c r="W24" i="6"/>
  <c r="V24" i="6"/>
  <c r="U24" i="6"/>
  <c r="AD23" i="6"/>
  <c r="AB23" i="6"/>
  <c r="AA23" i="6"/>
  <c r="AA23" i="7" s="1"/>
  <c r="Z23" i="6"/>
  <c r="Z23" i="7" s="1"/>
  <c r="X23" i="6"/>
  <c r="W23" i="6"/>
  <c r="V23" i="6"/>
  <c r="U23" i="6"/>
  <c r="AD22" i="6"/>
  <c r="AB22" i="6"/>
  <c r="AA22" i="6"/>
  <c r="AA22" i="7" s="1"/>
  <c r="Z22" i="6"/>
  <c r="X22" i="6"/>
  <c r="W22" i="6"/>
  <c r="V22" i="6"/>
  <c r="U22" i="6"/>
  <c r="AD21" i="6"/>
  <c r="AB21" i="6"/>
  <c r="AA21" i="6"/>
  <c r="AA21" i="7" s="1"/>
  <c r="Z21" i="6"/>
  <c r="Z21" i="7" s="1"/>
  <c r="X21" i="6"/>
  <c r="W21" i="6"/>
  <c r="V21" i="6"/>
  <c r="U21" i="6"/>
  <c r="AD20" i="6"/>
  <c r="AC20" i="6"/>
  <c r="AB20" i="6"/>
  <c r="AA20" i="6"/>
  <c r="AA20" i="7" s="1"/>
  <c r="Z20" i="6"/>
  <c r="Z20" i="7" s="1"/>
  <c r="Y20" i="6"/>
  <c r="X20" i="6"/>
  <c r="W20" i="6"/>
  <c r="V20" i="6"/>
  <c r="U20" i="6"/>
  <c r="AD19" i="6"/>
  <c r="AC19" i="6"/>
  <c r="AB19" i="6"/>
  <c r="AA19" i="6"/>
  <c r="AA19" i="7" s="1"/>
  <c r="Z19" i="6"/>
  <c r="Y19" i="6"/>
  <c r="X19" i="6"/>
  <c r="W19" i="6"/>
  <c r="V19" i="6"/>
  <c r="U19" i="6"/>
  <c r="AD18" i="6"/>
  <c r="AC18" i="6"/>
  <c r="AB18" i="6"/>
  <c r="AA18" i="6"/>
  <c r="AA18" i="7" s="1"/>
  <c r="Z18" i="6"/>
  <c r="Z18" i="7" s="1"/>
  <c r="Y18" i="6"/>
  <c r="X18" i="6"/>
  <c r="W18" i="6"/>
  <c r="V18" i="6"/>
  <c r="U18" i="6"/>
  <c r="AD17" i="6"/>
  <c r="AC17" i="6"/>
  <c r="AB17" i="6"/>
  <c r="AA17" i="6"/>
  <c r="AA17" i="7" s="1"/>
  <c r="Z17" i="6"/>
  <c r="Z17" i="7" s="1"/>
  <c r="Y17" i="6"/>
  <c r="X17" i="6"/>
  <c r="W17" i="6"/>
  <c r="V17" i="6"/>
  <c r="U17" i="6"/>
  <c r="AD16" i="6"/>
  <c r="AC16" i="6"/>
  <c r="AB16" i="6"/>
  <c r="AA16" i="6"/>
  <c r="Z16" i="6"/>
  <c r="Z16" i="7" s="1"/>
  <c r="Y16" i="6"/>
  <c r="X16" i="6"/>
  <c r="W16" i="6"/>
  <c r="V16" i="6"/>
  <c r="U16" i="6"/>
  <c r="AD15" i="6"/>
  <c r="AC15" i="6"/>
  <c r="AB15" i="6"/>
  <c r="AA15" i="6"/>
  <c r="AA15" i="7" s="1"/>
  <c r="Z15" i="6"/>
  <c r="Y15" i="6"/>
  <c r="X15" i="6"/>
  <c r="W15" i="6"/>
  <c r="V15" i="6"/>
  <c r="U15" i="6"/>
  <c r="AD14" i="6"/>
  <c r="AC14" i="6"/>
  <c r="AB14" i="6"/>
  <c r="AA14" i="6"/>
  <c r="AA14" i="7" s="1"/>
  <c r="Z14" i="6"/>
  <c r="Z14" i="7" s="1"/>
  <c r="Y14" i="6"/>
  <c r="X14" i="6"/>
  <c r="W14" i="6"/>
  <c r="V14" i="6"/>
  <c r="U14" i="6"/>
  <c r="AD13" i="6"/>
  <c r="AC13" i="6"/>
  <c r="AB13" i="6"/>
  <c r="AA13" i="6"/>
  <c r="AA13" i="7" s="1"/>
  <c r="Z13" i="6"/>
  <c r="Z13" i="7" s="1"/>
  <c r="Y13" i="6"/>
  <c r="X13" i="6"/>
  <c r="W13" i="6"/>
  <c r="V13" i="6"/>
  <c r="U13" i="6"/>
  <c r="AD12" i="6"/>
  <c r="AC12" i="6"/>
  <c r="AB12" i="6"/>
  <c r="AA12" i="6"/>
  <c r="AA12" i="7" s="1"/>
  <c r="Z12" i="6"/>
  <c r="Z12" i="7" s="1"/>
  <c r="Y12" i="6"/>
  <c r="X12" i="6"/>
  <c r="W12" i="6"/>
  <c r="V12" i="6"/>
  <c r="U12" i="6"/>
  <c r="AD11" i="6"/>
  <c r="AC11" i="6"/>
  <c r="AB11" i="6"/>
  <c r="AA11" i="6"/>
  <c r="AA11" i="7" s="1"/>
  <c r="Z11" i="6"/>
  <c r="Y11" i="6"/>
  <c r="X11" i="6"/>
  <c r="W11" i="6"/>
  <c r="V11" i="6"/>
  <c r="U11" i="6"/>
  <c r="AD10" i="6"/>
  <c r="AC10" i="6"/>
  <c r="AB10" i="6"/>
  <c r="AA10" i="6"/>
  <c r="AA10" i="7" s="1"/>
  <c r="Z10" i="6"/>
  <c r="Z10" i="7" s="1"/>
  <c r="Y10" i="6"/>
  <c r="X10" i="6"/>
  <c r="W10" i="6"/>
  <c r="V10" i="6"/>
  <c r="U10" i="6"/>
  <c r="AD9" i="6"/>
  <c r="AC9" i="6"/>
  <c r="AB9" i="6"/>
  <c r="AA9" i="6"/>
  <c r="AA9" i="7" s="1"/>
  <c r="Z9" i="6"/>
  <c r="Z9" i="7" s="1"/>
  <c r="Y9" i="6"/>
  <c r="X9" i="6"/>
  <c r="W9" i="6"/>
  <c r="V9" i="6"/>
  <c r="U9" i="6"/>
  <c r="AD8" i="6"/>
  <c r="AC8" i="6"/>
  <c r="AB8" i="6"/>
  <c r="AA8" i="6"/>
  <c r="AA8" i="7" s="1"/>
  <c r="Z8" i="6"/>
  <c r="Z8" i="7" s="1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AA6" i="7" s="1"/>
  <c r="Z6" i="6"/>
  <c r="Y6" i="6"/>
  <c r="X6" i="6"/>
  <c r="W6" i="6"/>
  <c r="V6" i="6"/>
  <c r="U6" i="6"/>
  <c r="AD5" i="6"/>
  <c r="AC5" i="6"/>
  <c r="AB5" i="6"/>
  <c r="AA5" i="6"/>
  <c r="AA5" i="7" s="1"/>
  <c r="Z5" i="6"/>
  <c r="Z5" i="7" s="1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P48" i="12" s="1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AG50" i="7"/>
  <c r="Z50" i="7"/>
  <c r="AG49" i="7"/>
  <c r="AG48" i="7"/>
  <c r="AG47" i="7"/>
  <c r="AA47" i="7"/>
  <c r="AG46" i="7"/>
  <c r="AA46" i="7"/>
  <c r="AG45" i="7"/>
  <c r="AG44" i="7"/>
  <c r="AG43" i="7"/>
  <c r="Z43" i="7"/>
  <c r="AG42" i="7"/>
  <c r="AG41" i="7"/>
  <c r="AG40" i="7"/>
  <c r="AG39" i="7"/>
  <c r="Z39" i="7"/>
  <c r="AG38" i="7"/>
  <c r="Z38" i="7"/>
  <c r="AG37" i="7"/>
  <c r="Z37" i="7"/>
  <c r="AG36" i="7"/>
  <c r="AA36" i="7"/>
  <c r="AG35" i="7"/>
  <c r="AA35" i="7"/>
  <c r="AG34" i="7"/>
  <c r="AA34" i="7"/>
  <c r="AG33" i="7"/>
  <c r="Z33" i="7"/>
  <c r="AG32" i="7"/>
  <c r="Z32" i="7"/>
  <c r="AG31" i="7"/>
  <c r="AA31" i="7"/>
  <c r="Z31" i="7"/>
  <c r="AG30" i="7"/>
  <c r="AG29" i="7"/>
  <c r="Z29" i="7"/>
  <c r="AG28" i="7"/>
  <c r="Z28" i="7"/>
  <c r="AG27" i="7"/>
  <c r="AA27" i="7"/>
  <c r="Z27" i="7"/>
  <c r="AG26" i="7"/>
  <c r="AA26" i="7"/>
  <c r="Z26" i="7"/>
  <c r="AG25" i="7"/>
  <c r="AG24" i="7"/>
  <c r="AG23" i="7"/>
  <c r="AG22" i="7"/>
  <c r="Z22" i="7"/>
  <c r="AG21" i="7"/>
  <c r="AG20" i="7"/>
  <c r="AG19" i="7"/>
  <c r="Z19" i="7"/>
  <c r="AG18" i="7"/>
  <c r="AG17" i="7"/>
  <c r="AG16" i="7"/>
  <c r="AA16" i="7"/>
  <c r="AG15" i="7"/>
  <c r="Z15" i="7"/>
  <c r="AG14" i="7"/>
  <c r="AG13" i="7"/>
  <c r="AG12" i="7"/>
  <c r="AG11" i="7"/>
  <c r="Z11" i="7"/>
  <c r="AG10" i="7"/>
  <c r="AG9" i="7"/>
  <c r="AG8" i="7"/>
  <c r="AG7" i="7"/>
  <c r="AA7" i="7"/>
  <c r="Z7" i="7"/>
  <c r="AG6" i="7"/>
  <c r="Z6" i="7"/>
  <c r="AG5" i="7"/>
  <c r="AK56" i="7"/>
  <c r="AJ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J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Z54" i="7" s="1"/>
  <c r="AK58" i="6"/>
  <c r="AK57" i="6"/>
  <c r="AK56" i="6"/>
  <c r="AI58" i="6"/>
  <c r="AF58" i="6"/>
  <c r="AF57" i="6"/>
  <c r="AF56" i="6"/>
  <c r="AE58" i="6"/>
  <c r="AE56" i="6"/>
  <c r="AE54" i="7" s="1"/>
  <c r="AC58" i="6"/>
  <c r="AC57" i="6"/>
  <c r="AC56" i="6"/>
  <c r="AA57" i="6"/>
  <c r="Z57" i="6"/>
  <c r="Y58" i="6"/>
  <c r="Y57" i="6"/>
  <c r="X58" i="6"/>
  <c r="X57" i="6"/>
  <c r="X56" i="6"/>
  <c r="X54" i="7" s="1"/>
  <c r="W58" i="6"/>
  <c r="W57" i="6"/>
  <c r="V57" i="6"/>
  <c r="U57" i="6"/>
  <c r="U56" i="6"/>
  <c r="S58" i="6"/>
  <c r="S57" i="6"/>
  <c r="S56" i="6"/>
  <c r="R58" i="6"/>
  <c r="R57" i="6"/>
  <c r="R56" i="6"/>
  <c r="R54" i="7" s="1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6"/>
  <c r="E28" i="5"/>
  <c r="AH56" i="6"/>
  <c r="W56" i="6"/>
  <c r="E45" i="5"/>
  <c r="F43" i="5"/>
  <c r="D43" i="5"/>
  <c r="E41" i="5"/>
  <c r="D41" i="5"/>
  <c r="F23" i="5"/>
  <c r="AG56" i="8" s="1"/>
  <c r="D23" i="5"/>
  <c r="AG56" i="6" s="1"/>
  <c r="F20" i="5"/>
  <c r="E20" i="5"/>
  <c r="D20" i="5"/>
  <c r="AD56" i="6" s="1"/>
  <c r="E18" i="5"/>
  <c r="AB57" i="6" s="1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U33" i="4" s="1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U25" i="4" s="1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U17" i="4" s="1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U9" i="4" s="1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T2" i="4"/>
  <c r="S2" i="4"/>
  <c r="R2" i="4"/>
  <c r="Q2" i="4"/>
  <c r="P2" i="4"/>
  <c r="O2" i="4"/>
  <c r="N2" i="4"/>
  <c r="M2" i="4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T47" i="3"/>
  <c r="S47" i="3"/>
  <c r="R47" i="3"/>
  <c r="Q47" i="3"/>
  <c r="P47" i="3"/>
  <c r="O47" i="3"/>
  <c r="N47" i="3"/>
  <c r="M47" i="3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T44" i="3"/>
  <c r="S44" i="3"/>
  <c r="R44" i="3"/>
  <c r="Q44" i="3"/>
  <c r="P44" i="3"/>
  <c r="O44" i="3"/>
  <c r="N44" i="3"/>
  <c r="M44" i="3"/>
  <c r="L44" i="3"/>
  <c r="K44" i="3"/>
  <c r="J44" i="3"/>
  <c r="I44" i="3"/>
  <c r="T43" i="3"/>
  <c r="S43" i="3"/>
  <c r="R43" i="3"/>
  <c r="Q43" i="3"/>
  <c r="P43" i="3"/>
  <c r="O43" i="3"/>
  <c r="N43" i="3"/>
  <c r="M43" i="3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U38" i="3" s="1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U30" i="3" s="1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U14" i="3" s="1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T8" i="3"/>
  <c r="S8" i="3"/>
  <c r="R8" i="3"/>
  <c r="Q8" i="3"/>
  <c r="P8" i="3"/>
  <c r="O8" i="3"/>
  <c r="N8" i="3"/>
  <c r="M8" i="3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T6" i="3"/>
  <c r="S6" i="3"/>
  <c r="R6" i="3"/>
  <c r="Q6" i="3"/>
  <c r="P6" i="3"/>
  <c r="O6" i="3"/>
  <c r="N6" i="3"/>
  <c r="M6" i="3"/>
  <c r="L6" i="3"/>
  <c r="U6" i="3" s="1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T4" i="3"/>
  <c r="S4" i="3"/>
  <c r="R4" i="3"/>
  <c r="Q4" i="3"/>
  <c r="P4" i="3"/>
  <c r="O4" i="3"/>
  <c r="N4" i="3"/>
  <c r="M4" i="3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AC9" i="17" l="1"/>
  <c r="AC13" i="17"/>
  <c r="AC49" i="17"/>
  <c r="AC57" i="17"/>
  <c r="AC8" i="17"/>
  <c r="AC110" i="17"/>
  <c r="AC115" i="17"/>
  <c r="AA12" i="21"/>
  <c r="AC97" i="17"/>
  <c r="AC164" i="17"/>
  <c r="U46" i="3"/>
  <c r="AC11" i="17"/>
  <c r="AC116" i="17"/>
  <c r="AC124" i="17"/>
  <c r="U21" i="3"/>
  <c r="U23" i="3"/>
  <c r="I26" i="9" s="1"/>
  <c r="AC103" i="17"/>
  <c r="AC76" i="17"/>
  <c r="AC80" i="17"/>
  <c r="AC88" i="17"/>
  <c r="AC92" i="17"/>
  <c r="AC10" i="17"/>
  <c r="AC117" i="17"/>
  <c r="D4" i="5"/>
  <c r="U7" i="3"/>
  <c r="U15" i="3"/>
  <c r="U29" i="3"/>
  <c r="U31" i="3"/>
  <c r="U37" i="3"/>
  <c r="U39" i="3"/>
  <c r="U45" i="3"/>
  <c r="U47" i="3"/>
  <c r="I50" i="6" s="1"/>
  <c r="U2" i="4"/>
  <c r="I5" i="10" s="1"/>
  <c r="U6" i="4"/>
  <c r="U7" i="4"/>
  <c r="U8" i="4"/>
  <c r="U10" i="4"/>
  <c r="U14" i="4"/>
  <c r="I17" i="13" s="1"/>
  <c r="U15" i="4"/>
  <c r="U16" i="4"/>
  <c r="I19" i="24" s="1"/>
  <c r="U18" i="4"/>
  <c r="I21" i="10" s="1"/>
  <c r="U20" i="4"/>
  <c r="U22" i="4"/>
  <c r="U23" i="4"/>
  <c r="I26" i="24" s="1"/>
  <c r="U24" i="4"/>
  <c r="U26" i="4"/>
  <c r="U28" i="4"/>
  <c r="U30" i="4"/>
  <c r="I33" i="24" s="1"/>
  <c r="U31" i="4"/>
  <c r="U32" i="4"/>
  <c r="U34" i="4"/>
  <c r="U36" i="4"/>
  <c r="U13" i="3"/>
  <c r="U19" i="3"/>
  <c r="I22" i="23" s="1"/>
  <c r="U35" i="3"/>
  <c r="U43" i="3"/>
  <c r="I46" i="8" s="1"/>
  <c r="AC20" i="17"/>
  <c r="AC128" i="17"/>
  <c r="AC136" i="17"/>
  <c r="AC12" i="17"/>
  <c r="AC102" i="17"/>
  <c r="AC105" i="17"/>
  <c r="AC123" i="17"/>
  <c r="AI4" i="21"/>
  <c r="U3" i="3"/>
  <c r="I6" i="6" s="1"/>
  <c r="U11" i="3"/>
  <c r="U4" i="4"/>
  <c r="U12" i="4"/>
  <c r="I15" i="24" s="1"/>
  <c r="AC18" i="17"/>
  <c r="AC75" i="17"/>
  <c r="AC79" i="17"/>
  <c r="AC83" i="17"/>
  <c r="AC87" i="17"/>
  <c r="AC91" i="17"/>
  <c r="AC95" i="17"/>
  <c r="AC125" i="17"/>
  <c r="AC129" i="17"/>
  <c r="AC133" i="17"/>
  <c r="AC137" i="17"/>
  <c r="AC141" i="17"/>
  <c r="AC145" i="17"/>
  <c r="AC149" i="17"/>
  <c r="AC167" i="17"/>
  <c r="AC175" i="17"/>
  <c r="AC183" i="17"/>
  <c r="AC207" i="17"/>
  <c r="AC215" i="17"/>
  <c r="AC108" i="17"/>
  <c r="AC118" i="17"/>
  <c r="AC160" i="17"/>
  <c r="AC350" i="17"/>
  <c r="AG5" i="21"/>
  <c r="U5" i="3"/>
  <c r="U2" i="3"/>
  <c r="P12" i="5" s="1"/>
  <c r="P15" i="5" s="1"/>
  <c r="U4" i="3"/>
  <c r="U8" i="3"/>
  <c r="I11" i="8" s="1"/>
  <c r="U9" i="3"/>
  <c r="I12" i="14" s="1"/>
  <c r="U10" i="3"/>
  <c r="U12" i="3"/>
  <c r="U16" i="3"/>
  <c r="U17" i="3"/>
  <c r="U18" i="3"/>
  <c r="U20" i="3"/>
  <c r="U22" i="3"/>
  <c r="I25" i="6" s="1"/>
  <c r="U24" i="3"/>
  <c r="U25" i="3"/>
  <c r="U26" i="3"/>
  <c r="U27" i="3"/>
  <c r="U32" i="3"/>
  <c r="U33" i="3"/>
  <c r="I36" i="14" s="1"/>
  <c r="U34" i="3"/>
  <c r="U36" i="3"/>
  <c r="I39" i="8" s="1"/>
  <c r="U40" i="3"/>
  <c r="I43" i="23" s="1"/>
  <c r="U41" i="3"/>
  <c r="U42" i="3"/>
  <c r="U44" i="3"/>
  <c r="I47" i="7" s="1"/>
  <c r="U48" i="3"/>
  <c r="U3" i="4"/>
  <c r="I6" i="12" s="1"/>
  <c r="U5" i="4"/>
  <c r="U11" i="4"/>
  <c r="I14" i="12" s="1"/>
  <c r="U13" i="4"/>
  <c r="U19" i="4"/>
  <c r="U21" i="4"/>
  <c r="U27" i="4"/>
  <c r="I30" i="24" s="1"/>
  <c r="U29" i="4"/>
  <c r="U35" i="4"/>
  <c r="I38" i="12" s="1"/>
  <c r="U37" i="4"/>
  <c r="AO4" i="16"/>
  <c r="AO8" i="16" s="1"/>
  <c r="AO9" i="16" s="1"/>
  <c r="AD11" i="21"/>
  <c r="AC96" i="17"/>
  <c r="AC126" i="17"/>
  <c r="AC130" i="17"/>
  <c r="AC134" i="17"/>
  <c r="AC142" i="17"/>
  <c r="AC113" i="17"/>
  <c r="AC121" i="17"/>
  <c r="X6" i="21"/>
  <c r="AF6" i="21" s="1"/>
  <c r="U28" i="3"/>
  <c r="AC43" i="17"/>
  <c r="AC51" i="17"/>
  <c r="AC184" i="17"/>
  <c r="AC216" i="17"/>
  <c r="AC224" i="17"/>
  <c r="AC232" i="17"/>
  <c r="AC2" i="17"/>
  <c r="AC101" i="17"/>
  <c r="AC163" i="17"/>
  <c r="AC77" i="17"/>
  <c r="AC81" i="17"/>
  <c r="AC85" i="17"/>
  <c r="AC89" i="17"/>
  <c r="AC127" i="17"/>
  <c r="AC131" i="17"/>
  <c r="AC135" i="17"/>
  <c r="AC143" i="17"/>
  <c r="AC4" i="17"/>
  <c r="AC122" i="17"/>
  <c r="AC156" i="17"/>
  <c r="AC346" i="17"/>
  <c r="I24" i="23"/>
  <c r="R76" i="23" s="1"/>
  <c r="I24" i="9"/>
  <c r="I24" i="7"/>
  <c r="I24" i="14"/>
  <c r="I24" i="6"/>
  <c r="I24" i="8"/>
  <c r="I32" i="23"/>
  <c r="I32" i="9"/>
  <c r="I32" i="7"/>
  <c r="I32" i="6"/>
  <c r="I32" i="14"/>
  <c r="I32" i="8"/>
  <c r="I5" i="24"/>
  <c r="I17" i="24"/>
  <c r="I17" i="12"/>
  <c r="I17" i="11"/>
  <c r="I17" i="10"/>
  <c r="I21" i="11"/>
  <c r="I26" i="12"/>
  <c r="I37" i="24"/>
  <c r="X79" i="24" s="1"/>
  <c r="I37" i="13"/>
  <c r="I37" i="12"/>
  <c r="I37" i="11"/>
  <c r="I37" i="10"/>
  <c r="I6" i="14"/>
  <c r="I14" i="23"/>
  <c r="AV66" i="23" s="1"/>
  <c r="I14" i="9"/>
  <c r="I14" i="7"/>
  <c r="I14" i="8"/>
  <c r="I14" i="14"/>
  <c r="I14" i="6"/>
  <c r="I22" i="6"/>
  <c r="I22" i="7"/>
  <c r="I22" i="9"/>
  <c r="I22" i="8"/>
  <c r="I22" i="14"/>
  <c r="I38" i="23"/>
  <c r="I38" i="6"/>
  <c r="I38" i="9"/>
  <c r="I38" i="7"/>
  <c r="I38" i="8"/>
  <c r="I38" i="14"/>
  <c r="I9" i="24"/>
  <c r="AG51" i="24" s="1"/>
  <c r="I9" i="12"/>
  <c r="I9" i="11"/>
  <c r="I9" i="10"/>
  <c r="I9" i="13"/>
  <c r="I7" i="24"/>
  <c r="AD49" i="24" s="1"/>
  <c r="I7" i="13"/>
  <c r="I7" i="12"/>
  <c r="I7" i="10"/>
  <c r="I7" i="11"/>
  <c r="I15" i="12"/>
  <c r="I15" i="10"/>
  <c r="I26" i="6"/>
  <c r="I40" i="23"/>
  <c r="AY92" i="23" s="1"/>
  <c r="I40" i="9"/>
  <c r="I40" i="8"/>
  <c r="I40" i="14"/>
  <c r="I40" i="7"/>
  <c r="I40" i="6"/>
  <c r="I13" i="24"/>
  <c r="Z55" i="24" s="1"/>
  <c r="I13" i="13"/>
  <c r="I13" i="12"/>
  <c r="I13" i="11"/>
  <c r="I13" i="10"/>
  <c r="I18" i="24"/>
  <c r="I18" i="12"/>
  <c r="I18" i="11"/>
  <c r="I18" i="10"/>
  <c r="I18" i="13"/>
  <c r="I31" i="24"/>
  <c r="AB73" i="24" s="1"/>
  <c r="I31" i="13"/>
  <c r="I31" i="12"/>
  <c r="I31" i="10"/>
  <c r="I31" i="11"/>
  <c r="I35" i="24"/>
  <c r="I35" i="12"/>
  <c r="I35" i="11"/>
  <c r="I35" i="10"/>
  <c r="I35" i="13"/>
  <c r="I7" i="23"/>
  <c r="AZ59" i="23" s="1"/>
  <c r="I7" i="9"/>
  <c r="I7" i="7"/>
  <c r="I7" i="8"/>
  <c r="I7" i="14"/>
  <c r="I7" i="6"/>
  <c r="I12" i="23"/>
  <c r="AY64" i="23" s="1"/>
  <c r="I12" i="6"/>
  <c r="I20" i="23"/>
  <c r="AI72" i="23" s="1"/>
  <c r="I20" i="8"/>
  <c r="I20" i="14"/>
  <c r="I20" i="6"/>
  <c r="I20" i="9"/>
  <c r="I20" i="7"/>
  <c r="I28" i="23"/>
  <c r="I28" i="8"/>
  <c r="I28" i="6"/>
  <c r="I28" i="9"/>
  <c r="I28" i="14"/>
  <c r="I28" i="7"/>
  <c r="I35" i="23"/>
  <c r="I35" i="8"/>
  <c r="I35" i="7"/>
  <c r="I35" i="14"/>
  <c r="I35" i="9"/>
  <c r="I35" i="6"/>
  <c r="I37" i="23"/>
  <c r="BA89" i="23" s="1"/>
  <c r="I37" i="6"/>
  <c r="I37" i="14"/>
  <c r="I37" i="7"/>
  <c r="I37" i="9"/>
  <c r="I37" i="8"/>
  <c r="I43" i="14"/>
  <c r="I43" i="9"/>
  <c r="I43" i="6"/>
  <c r="I45" i="23"/>
  <c r="I45" i="6"/>
  <c r="I45" i="14"/>
  <c r="I45" i="7"/>
  <c r="I45" i="9"/>
  <c r="I45" i="8"/>
  <c r="I47" i="23"/>
  <c r="I47" i="6"/>
  <c r="I47" i="9"/>
  <c r="I51" i="23"/>
  <c r="I51" i="8"/>
  <c r="I51" i="7"/>
  <c r="I51" i="14"/>
  <c r="I51" i="9"/>
  <c r="I51" i="6"/>
  <c r="I6" i="24"/>
  <c r="X48" i="24" s="1"/>
  <c r="I6" i="13"/>
  <c r="I8" i="24"/>
  <c r="I8" i="13"/>
  <c r="I8" i="12"/>
  <c r="I8" i="11"/>
  <c r="I8" i="10"/>
  <c r="I16" i="24"/>
  <c r="I16" i="13"/>
  <c r="I16" i="12"/>
  <c r="I16" i="11"/>
  <c r="I16" i="10"/>
  <c r="I22" i="24"/>
  <c r="AD64" i="24" s="1"/>
  <c r="I22" i="13"/>
  <c r="I22" i="12"/>
  <c r="I22" i="11"/>
  <c r="I22" i="10"/>
  <c r="I24" i="24"/>
  <c r="Z66" i="24" s="1"/>
  <c r="I24" i="13"/>
  <c r="I24" i="12"/>
  <c r="I24" i="11"/>
  <c r="I24" i="10"/>
  <c r="I30" i="13"/>
  <c r="I32" i="24"/>
  <c r="AB74" i="24" s="1"/>
  <c r="I32" i="13"/>
  <c r="I32" i="12"/>
  <c r="I32" i="11"/>
  <c r="I32" i="10"/>
  <c r="I38" i="24"/>
  <c r="AH80" i="24" s="1"/>
  <c r="I38" i="13"/>
  <c r="I40" i="24"/>
  <c r="I40" i="13"/>
  <c r="I40" i="12"/>
  <c r="I40" i="11"/>
  <c r="I40" i="10"/>
  <c r="I10" i="23"/>
  <c r="I10" i="8"/>
  <c r="I10" i="14"/>
  <c r="I10" i="6"/>
  <c r="I10" i="7"/>
  <c r="I10" i="9"/>
  <c r="I50" i="9"/>
  <c r="I25" i="24"/>
  <c r="I25" i="12"/>
  <c r="I25" i="11"/>
  <c r="I25" i="10"/>
  <c r="I25" i="13"/>
  <c r="I15" i="23"/>
  <c r="AU67" i="23" s="1"/>
  <c r="I15" i="9"/>
  <c r="I15" i="7"/>
  <c r="I15" i="8"/>
  <c r="I15" i="14"/>
  <c r="I15" i="6"/>
  <c r="I30" i="23"/>
  <c r="I30" i="6"/>
  <c r="I30" i="9"/>
  <c r="I30" i="7"/>
  <c r="I30" i="8"/>
  <c r="I30" i="14"/>
  <c r="I44" i="23"/>
  <c r="I44" i="8"/>
  <c r="I44" i="6"/>
  <c r="I44" i="9"/>
  <c r="I44" i="14"/>
  <c r="I44" i="7"/>
  <c r="I18" i="23"/>
  <c r="AV70" i="23" s="1"/>
  <c r="I18" i="8"/>
  <c r="I18" i="14"/>
  <c r="I18" i="9"/>
  <c r="I18" i="7"/>
  <c r="I18" i="6"/>
  <c r="I42" i="23"/>
  <c r="AI94" i="23" s="1"/>
  <c r="I42" i="8"/>
  <c r="I42" i="7"/>
  <c r="I42" i="14"/>
  <c r="I42" i="9"/>
  <c r="I42" i="6"/>
  <c r="I10" i="24"/>
  <c r="I10" i="12"/>
  <c r="I10" i="11"/>
  <c r="I10" i="10"/>
  <c r="I10" i="13"/>
  <c r="I27" i="24"/>
  <c r="AE69" i="24" s="1"/>
  <c r="I27" i="12"/>
  <c r="I27" i="11"/>
  <c r="I27" i="10"/>
  <c r="I27" i="13"/>
  <c r="I39" i="24"/>
  <c r="AH81" i="24" s="1"/>
  <c r="I39" i="13"/>
  <c r="I39" i="12"/>
  <c r="I39" i="10"/>
  <c r="I39" i="11"/>
  <c r="I19" i="23"/>
  <c r="AU71" i="23" s="1"/>
  <c r="I19" i="8"/>
  <c r="I19" i="14"/>
  <c r="I19" i="9"/>
  <c r="I19" i="7"/>
  <c r="I19" i="6"/>
  <c r="I23" i="23"/>
  <c r="I23" i="14"/>
  <c r="I23" i="7"/>
  <c r="I23" i="6"/>
  <c r="I23" i="9"/>
  <c r="I23" i="8"/>
  <c r="I27" i="23"/>
  <c r="AT79" i="23" s="1"/>
  <c r="I27" i="8"/>
  <c r="I27" i="7"/>
  <c r="I27" i="14"/>
  <c r="I27" i="9"/>
  <c r="I27" i="6"/>
  <c r="I36" i="23"/>
  <c r="I36" i="8"/>
  <c r="I36" i="6"/>
  <c r="I36" i="9"/>
  <c r="I36" i="7"/>
  <c r="I31" i="23"/>
  <c r="I31" i="6"/>
  <c r="I31" i="7"/>
  <c r="I31" i="9"/>
  <c r="I31" i="14"/>
  <c r="I31" i="8"/>
  <c r="I12" i="24"/>
  <c r="I12" i="13"/>
  <c r="I12" i="11"/>
  <c r="I12" i="12"/>
  <c r="I12" i="10"/>
  <c r="I20" i="24"/>
  <c r="Z62" i="24" s="1"/>
  <c r="I20" i="11"/>
  <c r="I20" i="12"/>
  <c r="I20" i="10"/>
  <c r="I20" i="13"/>
  <c r="I28" i="24"/>
  <c r="I28" i="12"/>
  <c r="I28" i="10"/>
  <c r="I28" i="13"/>
  <c r="I28" i="11"/>
  <c r="I36" i="24"/>
  <c r="I36" i="12"/>
  <c r="I36" i="10"/>
  <c r="I36" i="13"/>
  <c r="I36" i="11"/>
  <c r="I8" i="23"/>
  <c r="I8" i="9"/>
  <c r="I8" i="7"/>
  <c r="I8" i="14"/>
  <c r="I8" i="8"/>
  <c r="I8" i="6"/>
  <c r="I16" i="23"/>
  <c r="BD68" i="23" s="1"/>
  <c r="I16" i="9"/>
  <c r="I16" i="7"/>
  <c r="I16" i="14"/>
  <c r="I16" i="8"/>
  <c r="I16" i="6"/>
  <c r="I34" i="23"/>
  <c r="I34" i="8"/>
  <c r="I34" i="7"/>
  <c r="I34" i="6"/>
  <c r="I34" i="14"/>
  <c r="I34" i="9"/>
  <c r="I48" i="23"/>
  <c r="AT100" i="23" s="1"/>
  <c r="I48" i="9"/>
  <c r="I48" i="8"/>
  <c r="I48" i="14"/>
  <c r="I48" i="6"/>
  <c r="I48" i="7"/>
  <c r="I11" i="24"/>
  <c r="I11" i="12"/>
  <c r="I11" i="11"/>
  <c r="I11" i="10"/>
  <c r="I11" i="13"/>
  <c r="I23" i="24"/>
  <c r="AF65" i="24" s="1"/>
  <c r="I23" i="13"/>
  <c r="I23" i="11"/>
  <c r="I23" i="12"/>
  <c r="I23" i="10"/>
  <c r="I29" i="24"/>
  <c r="AD71" i="24" s="1"/>
  <c r="I29" i="13"/>
  <c r="I29" i="12"/>
  <c r="I29" i="11"/>
  <c r="I29" i="10"/>
  <c r="I34" i="24"/>
  <c r="AA76" i="24" s="1"/>
  <c r="I34" i="12"/>
  <c r="I34" i="11"/>
  <c r="I34" i="10"/>
  <c r="I34" i="13"/>
  <c r="I5" i="23"/>
  <c r="I5" i="14"/>
  <c r="I5" i="6"/>
  <c r="I5" i="7"/>
  <c r="I5" i="9"/>
  <c r="I5" i="8"/>
  <c r="I13" i="23"/>
  <c r="AX65" i="23" s="1"/>
  <c r="I13" i="14"/>
  <c r="I13" i="6"/>
  <c r="I13" i="7"/>
  <c r="I13" i="9"/>
  <c r="I13" i="8"/>
  <c r="I21" i="23"/>
  <c r="BA73" i="23" s="1"/>
  <c r="I21" i="14"/>
  <c r="I21" i="6"/>
  <c r="I21" i="7"/>
  <c r="I21" i="9"/>
  <c r="I21" i="8"/>
  <c r="I29" i="23"/>
  <c r="AN81" i="23" s="1"/>
  <c r="I29" i="6"/>
  <c r="I29" i="14"/>
  <c r="I29" i="7"/>
  <c r="I29" i="9"/>
  <c r="I29" i="8"/>
  <c r="I9" i="23"/>
  <c r="AZ61" i="23" s="1"/>
  <c r="I9" i="9"/>
  <c r="I9" i="7"/>
  <c r="I9" i="8"/>
  <c r="I9" i="14"/>
  <c r="I9" i="6"/>
  <c r="I17" i="23"/>
  <c r="AL69" i="23" s="1"/>
  <c r="I17" i="9"/>
  <c r="I17" i="7"/>
  <c r="I17" i="8"/>
  <c r="I17" i="6"/>
  <c r="I17" i="14"/>
  <c r="I33" i="23"/>
  <c r="BA85" i="23" s="1"/>
  <c r="I33" i="9"/>
  <c r="I33" i="14"/>
  <c r="I33" i="8"/>
  <c r="I33" i="7"/>
  <c r="I33" i="6"/>
  <c r="I41" i="23"/>
  <c r="I41" i="9"/>
  <c r="I41" i="14"/>
  <c r="I41" i="8"/>
  <c r="I41" i="7"/>
  <c r="I41" i="6"/>
  <c r="I49" i="23"/>
  <c r="I49" i="9"/>
  <c r="I49" i="14"/>
  <c r="I49" i="8"/>
  <c r="I49" i="7"/>
  <c r="I49" i="6"/>
  <c r="U38" i="4"/>
  <c r="AT4" i="16"/>
  <c r="AJ4" i="16"/>
  <c r="AO3" i="16"/>
  <c r="AO6" i="16"/>
  <c r="AM57" i="7"/>
  <c r="AC39" i="17"/>
  <c r="AC47" i="17"/>
  <c r="AC55" i="17"/>
  <c r="AT5" i="16"/>
  <c r="AO2" i="16"/>
  <c r="AO7" i="16" s="1"/>
  <c r="AJ3" i="16"/>
  <c r="AT3" i="16"/>
  <c r="AT6" i="16"/>
  <c r="AJ6" i="16"/>
  <c r="AC172" i="17"/>
  <c r="AC180" i="17"/>
  <c r="AC188" i="17"/>
  <c r="AC196" i="17"/>
  <c r="AT2" i="16"/>
  <c r="AT7" i="16" s="1"/>
  <c r="AC78" i="17"/>
  <c r="AC86" i="17"/>
  <c r="AC90" i="17"/>
  <c r="AC94" i="17"/>
  <c r="AC132" i="17"/>
  <c r="AC140" i="17"/>
  <c r="AC144" i="17"/>
  <c r="AC148" i="17"/>
  <c r="AC204" i="17"/>
  <c r="AC212" i="17"/>
  <c r="AC220" i="17"/>
  <c r="AC228" i="17"/>
  <c r="AC236" i="17"/>
  <c r="AC244" i="17"/>
  <c r="AA10" i="21"/>
  <c r="AA9" i="21"/>
  <c r="AA11" i="21"/>
  <c r="AC7" i="17"/>
  <c r="AO5" i="16"/>
  <c r="AC26" i="17"/>
  <c r="AC16" i="17"/>
  <c r="AC24" i="17"/>
  <c r="AC32" i="17"/>
  <c r="AC48" i="17"/>
  <c r="AC56" i="17"/>
  <c r="AC84" i="17"/>
  <c r="AC138" i="17"/>
  <c r="AC146" i="17"/>
  <c r="AC58" i="17"/>
  <c r="AC60" i="17"/>
  <c r="AC62" i="17"/>
  <c r="AC64" i="17"/>
  <c r="AC66" i="17"/>
  <c r="AC68" i="17"/>
  <c r="AC70" i="17"/>
  <c r="AC72" i="17"/>
  <c r="AC74" i="17"/>
  <c r="AC111" i="17"/>
  <c r="AC162" i="17"/>
  <c r="AI8" i="21"/>
  <c r="AC14" i="17"/>
  <c r="AC22" i="17"/>
  <c r="AC30" i="17"/>
  <c r="AC93" i="17"/>
  <c r="AC171" i="17"/>
  <c r="AC179" i="17"/>
  <c r="AC187" i="17"/>
  <c r="AC195" i="17"/>
  <c r="AC203" i="17"/>
  <c r="AC211" i="17"/>
  <c r="AC219" i="17"/>
  <c r="AC227" i="17"/>
  <c r="AC235" i="17"/>
  <c r="AC243" i="17"/>
  <c r="AD9" i="21"/>
  <c r="AC100" i="17"/>
  <c r="AC104" i="17"/>
  <c r="AC106" i="17"/>
  <c r="AC119" i="17"/>
  <c r="AC158" i="17"/>
  <c r="AC348" i="17"/>
  <c r="X5" i="21"/>
  <c r="AC28" i="17"/>
  <c r="AC82" i="17"/>
  <c r="AC169" i="17"/>
  <c r="AC177" i="17"/>
  <c r="AC185" i="17"/>
  <c r="AC193" i="17"/>
  <c r="AC201" i="17"/>
  <c r="AC209" i="17"/>
  <c r="AC217" i="17"/>
  <c r="AC225" i="17"/>
  <c r="AC233" i="17"/>
  <c r="AC241" i="17"/>
  <c r="AD10" i="21"/>
  <c r="AC59" i="17"/>
  <c r="AC61" i="17"/>
  <c r="AC63" i="17"/>
  <c r="AC65" i="17"/>
  <c r="AC67" i="17"/>
  <c r="AC69" i="17"/>
  <c r="AC71" i="17"/>
  <c r="AC73" i="17"/>
  <c r="AC112" i="17"/>
  <c r="AC154" i="17"/>
  <c r="AC114" i="17"/>
  <c r="AC152" i="17"/>
  <c r="AC342" i="17"/>
  <c r="AC98" i="17"/>
  <c r="AC109" i="17"/>
  <c r="AC120" i="17"/>
  <c r="AC151" i="17"/>
  <c r="AC153" i="17"/>
  <c r="AC155" i="17"/>
  <c r="AC157" i="17"/>
  <c r="AC159" i="17"/>
  <c r="AC161" i="17"/>
  <c r="AC339" i="17"/>
  <c r="AC345" i="17"/>
  <c r="AC347" i="17"/>
  <c r="AC349" i="17"/>
  <c r="X4" i="21"/>
  <c r="AF4" i="21" s="1"/>
  <c r="Y13" i="21"/>
  <c r="AG13" i="21" s="1"/>
  <c r="Y3" i="21"/>
  <c r="AG3" i="21" s="1"/>
  <c r="AJ4" i="21"/>
  <c r="BC60" i="23"/>
  <c r="AU60" i="23"/>
  <c r="AM60" i="23"/>
  <c r="BB60" i="23"/>
  <c r="AT60" i="23"/>
  <c r="AL60" i="23"/>
  <c r="BA60" i="23"/>
  <c r="AS60" i="23"/>
  <c r="AK60" i="23"/>
  <c r="AZ60" i="23"/>
  <c r="AR60" i="23"/>
  <c r="AJ60" i="23"/>
  <c r="AY60" i="23"/>
  <c r="AQ60" i="23"/>
  <c r="AI60" i="23"/>
  <c r="AX60" i="23"/>
  <c r="AP60" i="23"/>
  <c r="AW60" i="23"/>
  <c r="AO60" i="23"/>
  <c r="AY61" i="23"/>
  <c r="AQ61" i="23"/>
  <c r="AI61" i="23"/>
  <c r="AX61" i="23"/>
  <c r="AP61" i="23"/>
  <c r="AW61" i="23"/>
  <c r="AO61" i="23"/>
  <c r="BD61" i="23"/>
  <c r="AV61" i="23"/>
  <c r="AN61" i="23"/>
  <c r="BC61" i="23"/>
  <c r="AU61" i="23"/>
  <c r="AM61" i="23"/>
  <c r="BB61" i="23"/>
  <c r="AT61" i="23"/>
  <c r="AL61" i="23"/>
  <c r="BA61" i="23"/>
  <c r="AS61" i="23"/>
  <c r="AK61" i="23"/>
  <c r="AT69" i="23"/>
  <c r="AX69" i="23"/>
  <c r="AL85" i="23"/>
  <c r="AQ85" i="23"/>
  <c r="BD85" i="23"/>
  <c r="BC93" i="23"/>
  <c r="AU93" i="23"/>
  <c r="AM93" i="23"/>
  <c r="BB93" i="23"/>
  <c r="AT93" i="23"/>
  <c r="AL93" i="23"/>
  <c r="BA93" i="23"/>
  <c r="AS93" i="23"/>
  <c r="AK93" i="23"/>
  <c r="AZ93" i="23"/>
  <c r="AR93" i="23"/>
  <c r="AJ93" i="23"/>
  <c r="AY93" i="23"/>
  <c r="AQ93" i="23"/>
  <c r="AI93" i="23"/>
  <c r="AW93" i="23"/>
  <c r="AO93" i="23"/>
  <c r="AX93" i="23"/>
  <c r="AV93" i="23"/>
  <c r="AP93" i="23"/>
  <c r="AN93" i="23"/>
  <c r="BD93" i="23"/>
  <c r="AZ101" i="23"/>
  <c r="AR101" i="23"/>
  <c r="AJ101" i="23"/>
  <c r="AY101" i="23"/>
  <c r="AQ101" i="23"/>
  <c r="AI101" i="23"/>
  <c r="AX101" i="23"/>
  <c r="AP101" i="23"/>
  <c r="AW101" i="23"/>
  <c r="AO101" i="23"/>
  <c r="BD101" i="23"/>
  <c r="AV101" i="23"/>
  <c r="AN101" i="23"/>
  <c r="BC101" i="23"/>
  <c r="AU101" i="23"/>
  <c r="AM101" i="23"/>
  <c r="BB101" i="23"/>
  <c r="AT101" i="23"/>
  <c r="AL101" i="23"/>
  <c r="AS101" i="23"/>
  <c r="BA101" i="23"/>
  <c r="AK101" i="23"/>
  <c r="AR57" i="23"/>
  <c r="AN60" i="23"/>
  <c r="AZ68" i="23"/>
  <c r="AR68" i="23"/>
  <c r="AJ68" i="23"/>
  <c r="AX68" i="23"/>
  <c r="AP68" i="23"/>
  <c r="BC68" i="23"/>
  <c r="AS68" i="23"/>
  <c r="BB68" i="23"/>
  <c r="AQ68" i="23"/>
  <c r="BA68" i="23"/>
  <c r="AO68" i="23"/>
  <c r="AY68" i="23"/>
  <c r="AN68" i="23"/>
  <c r="AW68" i="23"/>
  <c r="AM68" i="23"/>
  <c r="AV68" i="23"/>
  <c r="AL68" i="23"/>
  <c r="AU68" i="23"/>
  <c r="AK68" i="23"/>
  <c r="BB100" i="23"/>
  <c r="AJ100" i="23"/>
  <c r="BC62" i="23"/>
  <c r="AU62" i="23"/>
  <c r="AM62" i="23"/>
  <c r="BB62" i="23"/>
  <c r="AT62" i="23"/>
  <c r="AL62" i="23"/>
  <c r="BA62" i="23"/>
  <c r="AS62" i="23"/>
  <c r="AK62" i="23"/>
  <c r="AZ62" i="23"/>
  <c r="AR62" i="23"/>
  <c r="AJ62" i="23"/>
  <c r="AY62" i="23"/>
  <c r="AQ62" i="23"/>
  <c r="AI62" i="23"/>
  <c r="AX62" i="23"/>
  <c r="AP62" i="23"/>
  <c r="AW62" i="23"/>
  <c r="AO62" i="23"/>
  <c r="AP70" i="23"/>
  <c r="AQ70" i="23"/>
  <c r="AY86" i="23"/>
  <c r="AQ86" i="23"/>
  <c r="AI86" i="23"/>
  <c r="AX86" i="23"/>
  <c r="AP86" i="23"/>
  <c r="AW86" i="23"/>
  <c r="AO86" i="23"/>
  <c r="BD86" i="23"/>
  <c r="AV86" i="23"/>
  <c r="AN86" i="23"/>
  <c r="BC86" i="23"/>
  <c r="AU86" i="23"/>
  <c r="AM86" i="23"/>
  <c r="BA86" i="23"/>
  <c r="AS86" i="23"/>
  <c r="AK86" i="23"/>
  <c r="AL86" i="23"/>
  <c r="AJ86" i="23"/>
  <c r="BB86" i="23"/>
  <c r="AZ86" i="23"/>
  <c r="AT86" i="23"/>
  <c r="AR86" i="23"/>
  <c r="AQ94" i="23"/>
  <c r="AN94" i="23"/>
  <c r="AJ94" i="23"/>
  <c r="AV60" i="23"/>
  <c r="BD92" i="23"/>
  <c r="AK92" i="23"/>
  <c r="AT68" i="23"/>
  <c r="BD71" i="23"/>
  <c r="AV71" i="23"/>
  <c r="AN71" i="23"/>
  <c r="BB71" i="23"/>
  <c r="AT71" i="23"/>
  <c r="AL71" i="23"/>
  <c r="BA71" i="23"/>
  <c r="AS71" i="23"/>
  <c r="AZ71" i="23"/>
  <c r="AR71" i="23"/>
  <c r="AJ71" i="23"/>
  <c r="AY71" i="23"/>
  <c r="AQ71" i="23"/>
  <c r="AI71" i="23"/>
  <c r="AX71" i="23"/>
  <c r="AP71" i="23"/>
  <c r="AO71" i="23"/>
  <c r="AM71" i="23"/>
  <c r="AK71" i="23"/>
  <c r="BC71" i="23"/>
  <c r="AW71" i="23"/>
  <c r="BB79" i="23"/>
  <c r="AJ79" i="23"/>
  <c r="AO79" i="23"/>
  <c r="BC87" i="23"/>
  <c r="AU87" i="23"/>
  <c r="AM87" i="23"/>
  <c r="BB87" i="23"/>
  <c r="AT87" i="23"/>
  <c r="AL87" i="23"/>
  <c r="BA87" i="23"/>
  <c r="AS87" i="23"/>
  <c r="AK87" i="23"/>
  <c r="AZ87" i="23"/>
  <c r="AR87" i="23"/>
  <c r="AJ87" i="23"/>
  <c r="AY87" i="23"/>
  <c r="AQ87" i="23"/>
  <c r="AI87" i="23"/>
  <c r="AW87" i="23"/>
  <c r="AO87" i="23"/>
  <c r="BD87" i="23"/>
  <c r="AX87" i="23"/>
  <c r="AV87" i="23"/>
  <c r="AP87" i="23"/>
  <c r="AN87" i="23"/>
  <c r="AZ103" i="23"/>
  <c r="AR103" i="23"/>
  <c r="AJ103" i="23"/>
  <c r="AY103" i="23"/>
  <c r="AQ103" i="23"/>
  <c r="AI103" i="23"/>
  <c r="AX103" i="23"/>
  <c r="AP103" i="23"/>
  <c r="AW103" i="23"/>
  <c r="AO103" i="23"/>
  <c r="BD103" i="23"/>
  <c r="AV103" i="23"/>
  <c r="AN103" i="23"/>
  <c r="BC103" i="23"/>
  <c r="AU103" i="23"/>
  <c r="AM103" i="23"/>
  <c r="BB103" i="23"/>
  <c r="AT103" i="23"/>
  <c r="AL103" i="23"/>
  <c r="BA103" i="23"/>
  <c r="AS103" i="23"/>
  <c r="AK103" i="23"/>
  <c r="AJ59" i="23"/>
  <c r="BD60" i="23"/>
  <c r="AM65" i="23"/>
  <c r="AZ64" i="23"/>
  <c r="AR64" i="23"/>
  <c r="AX64" i="23"/>
  <c r="AP64" i="23"/>
  <c r="AW64" i="23"/>
  <c r="AM64" i="23"/>
  <c r="AV64" i="23"/>
  <c r="AL64" i="23"/>
  <c r="AU64" i="23"/>
  <c r="AK64" i="23"/>
  <c r="BD64" i="23"/>
  <c r="AT64" i="23"/>
  <c r="AJ64" i="23"/>
  <c r="BC64" i="23"/>
  <c r="AS64" i="23"/>
  <c r="AI64" i="23"/>
  <c r="BB64" i="23"/>
  <c r="AQ64" i="23"/>
  <c r="BA64" i="23"/>
  <c r="AO64" i="23"/>
  <c r="AZ72" i="23"/>
  <c r="AR72" i="23"/>
  <c r="AJ72" i="23"/>
  <c r="AX72" i="23"/>
  <c r="AP72" i="23"/>
  <c r="AW72" i="23"/>
  <c r="AO72" i="23"/>
  <c r="BD72" i="23"/>
  <c r="AV72" i="23"/>
  <c r="AN72" i="23"/>
  <c r="BC72" i="23"/>
  <c r="AU72" i="23"/>
  <c r="AM72" i="23"/>
  <c r="BB72" i="23"/>
  <c r="AT72" i="23"/>
  <c r="AL72" i="23"/>
  <c r="BA72" i="23"/>
  <c r="AY72" i="23"/>
  <c r="AS72" i="23"/>
  <c r="AQ72" i="23"/>
  <c r="AK72" i="23"/>
  <c r="AZ80" i="23"/>
  <c r="AR80" i="23"/>
  <c r="AJ80" i="23"/>
  <c r="AY80" i="23"/>
  <c r="AQ80" i="23"/>
  <c r="AI80" i="23"/>
  <c r="R80" i="23"/>
  <c r="AX80" i="23"/>
  <c r="AP80" i="23"/>
  <c r="AW80" i="23"/>
  <c r="AO80" i="23"/>
  <c r="P80" i="23"/>
  <c r="BD80" i="23"/>
  <c r="AV80" i="23"/>
  <c r="AN80" i="23"/>
  <c r="BC80" i="23"/>
  <c r="AU80" i="23"/>
  <c r="AM80" i="23"/>
  <c r="BB80" i="23"/>
  <c r="AT80" i="23"/>
  <c r="AL80" i="23"/>
  <c r="BA80" i="23"/>
  <c r="AS80" i="23"/>
  <c r="AK80" i="23"/>
  <c r="AY88" i="23"/>
  <c r="AQ88" i="23"/>
  <c r="AI88" i="23"/>
  <c r="AX88" i="23"/>
  <c r="AP88" i="23"/>
  <c r="AW88" i="23"/>
  <c r="AO88" i="23"/>
  <c r="BD88" i="23"/>
  <c r="AV88" i="23"/>
  <c r="AN88" i="23"/>
  <c r="BC88" i="23"/>
  <c r="AU88" i="23"/>
  <c r="AM88" i="23"/>
  <c r="BA88" i="23"/>
  <c r="AS88" i="23"/>
  <c r="AK88" i="23"/>
  <c r="AT88" i="23"/>
  <c r="AR88" i="23"/>
  <c r="AL88" i="23"/>
  <c r="AJ88" i="23"/>
  <c r="BB88" i="23"/>
  <c r="AZ88" i="23"/>
  <c r="BD96" i="23"/>
  <c r="AV96" i="23"/>
  <c r="BC96" i="23"/>
  <c r="BB96" i="23"/>
  <c r="AX96" i="23"/>
  <c r="AP96" i="23"/>
  <c r="AS96" i="23"/>
  <c r="AJ96" i="23"/>
  <c r="AR96" i="23"/>
  <c r="AI96" i="23"/>
  <c r="BA96" i="23"/>
  <c r="AQ96" i="23"/>
  <c r="AZ96" i="23"/>
  <c r="AO96" i="23"/>
  <c r="AY96" i="23"/>
  <c r="AN96" i="23"/>
  <c r="AU96" i="23"/>
  <c r="AL96" i="23"/>
  <c r="AW96" i="23"/>
  <c r="AT96" i="23"/>
  <c r="AM96" i="23"/>
  <c r="AK96" i="23"/>
  <c r="AR59" i="23"/>
  <c r="AN62" i="23"/>
  <c r="AY84" i="23"/>
  <c r="AQ84" i="23"/>
  <c r="AI84" i="23"/>
  <c r="AX84" i="23"/>
  <c r="AP84" i="23"/>
  <c r="AW84" i="23"/>
  <c r="AO84" i="23"/>
  <c r="BD84" i="23"/>
  <c r="AV84" i="23"/>
  <c r="AN84" i="23"/>
  <c r="BC84" i="23"/>
  <c r="AU84" i="23"/>
  <c r="AM84" i="23"/>
  <c r="BA84" i="23"/>
  <c r="AS84" i="23"/>
  <c r="AK84" i="23"/>
  <c r="BB84" i="23"/>
  <c r="AZ84" i="23"/>
  <c r="AT84" i="23"/>
  <c r="AR84" i="23"/>
  <c r="AL84" i="23"/>
  <c r="AJ84" i="23"/>
  <c r="AY57" i="23"/>
  <c r="AQ57" i="23"/>
  <c r="AI57" i="23"/>
  <c r="AX57" i="23"/>
  <c r="AP57" i="23"/>
  <c r="AW57" i="23"/>
  <c r="AO57" i="23"/>
  <c r="BD57" i="23"/>
  <c r="AV57" i="23"/>
  <c r="AN57" i="23"/>
  <c r="BC57" i="23"/>
  <c r="AU57" i="23"/>
  <c r="AM57" i="23"/>
  <c r="BB57" i="23"/>
  <c r="AT57" i="23"/>
  <c r="AL57" i="23"/>
  <c r="BA57" i="23"/>
  <c r="AS57" i="23"/>
  <c r="AK57" i="23"/>
  <c r="AK65" i="23"/>
  <c r="AQ65" i="23"/>
  <c r="AL73" i="23"/>
  <c r="AQ73" i="23"/>
  <c r="AO73" i="23"/>
  <c r="AV81" i="23"/>
  <c r="BA81" i="23"/>
  <c r="AI81" i="23"/>
  <c r="AL89" i="23"/>
  <c r="AQ89" i="23"/>
  <c r="AN89" i="23"/>
  <c r="AZ97" i="23"/>
  <c r="AR97" i="23"/>
  <c r="AJ97" i="23"/>
  <c r="AY97" i="23"/>
  <c r="AQ97" i="23"/>
  <c r="AI97" i="23"/>
  <c r="AX97" i="23"/>
  <c r="AP97" i="23"/>
  <c r="AW97" i="23"/>
  <c r="AO97" i="23"/>
  <c r="BD97" i="23"/>
  <c r="AV97" i="23"/>
  <c r="AN97" i="23"/>
  <c r="BC97" i="23"/>
  <c r="AU97" i="23"/>
  <c r="AM97" i="23"/>
  <c r="BB97" i="23"/>
  <c r="AT97" i="23"/>
  <c r="AL97" i="23"/>
  <c r="BA97" i="23"/>
  <c r="AS97" i="23"/>
  <c r="AK97" i="23"/>
  <c r="AV62" i="23"/>
  <c r="AZ66" i="23"/>
  <c r="AR66" i="23"/>
  <c r="AJ66" i="23"/>
  <c r="AX66" i="23"/>
  <c r="AP66" i="23"/>
  <c r="AU66" i="23"/>
  <c r="AK66" i="23"/>
  <c r="BD66" i="23"/>
  <c r="AT66" i="23"/>
  <c r="AI66" i="23"/>
  <c r="BC66" i="23"/>
  <c r="AS66" i="23"/>
  <c r="BB66" i="23"/>
  <c r="AQ66" i="23"/>
  <c r="BA66" i="23"/>
  <c r="AO66" i="23"/>
  <c r="AY66" i="23"/>
  <c r="AN66" i="23"/>
  <c r="AW66" i="23"/>
  <c r="AM66" i="23"/>
  <c r="AY82" i="23"/>
  <c r="AQ82" i="23"/>
  <c r="AI82" i="23"/>
  <c r="AX82" i="23"/>
  <c r="AW82" i="23"/>
  <c r="AO82" i="23"/>
  <c r="BD82" i="23"/>
  <c r="AV82" i="23"/>
  <c r="AN82" i="23"/>
  <c r="BA82" i="23"/>
  <c r="AS82" i="23"/>
  <c r="AK82" i="23"/>
  <c r="AP82" i="23"/>
  <c r="AM82" i="23"/>
  <c r="BC82" i="23"/>
  <c r="AL82" i="23"/>
  <c r="BB82" i="23"/>
  <c r="AJ82" i="23"/>
  <c r="AZ82" i="23"/>
  <c r="AU82" i="23"/>
  <c r="AT82" i="23"/>
  <c r="AR82" i="23"/>
  <c r="AY90" i="23"/>
  <c r="AQ90" i="23"/>
  <c r="AI90" i="23"/>
  <c r="AX90" i="23"/>
  <c r="AP90" i="23"/>
  <c r="AW90" i="23"/>
  <c r="AO90" i="23"/>
  <c r="BD90" i="23"/>
  <c r="AV90" i="23"/>
  <c r="AN90" i="23"/>
  <c r="BC90" i="23"/>
  <c r="AU90" i="23"/>
  <c r="AM90" i="23"/>
  <c r="BA90" i="23"/>
  <c r="AS90" i="23"/>
  <c r="AK90" i="23"/>
  <c r="BB90" i="23"/>
  <c r="AZ90" i="23"/>
  <c r="AT90" i="23"/>
  <c r="AR90" i="23"/>
  <c r="AL90" i="23"/>
  <c r="AJ90" i="23"/>
  <c r="AJ61" i="23"/>
  <c r="BD62" i="23"/>
  <c r="AY59" i="23"/>
  <c r="AQ59" i="23"/>
  <c r="AI59" i="23"/>
  <c r="AX59" i="23"/>
  <c r="AP59" i="23"/>
  <c r="AW59" i="23"/>
  <c r="AO59" i="23"/>
  <c r="BD59" i="23"/>
  <c r="AV59" i="23"/>
  <c r="AN59" i="23"/>
  <c r="BC59" i="23"/>
  <c r="AU59" i="23"/>
  <c r="AM59" i="23"/>
  <c r="BB59" i="23"/>
  <c r="AT59" i="23"/>
  <c r="AL59" i="23"/>
  <c r="BA59" i="23"/>
  <c r="AS59" i="23"/>
  <c r="AK59" i="23"/>
  <c r="AL67" i="23"/>
  <c r="AP67" i="23"/>
  <c r="BD75" i="23"/>
  <c r="AV75" i="23"/>
  <c r="AN75" i="23"/>
  <c r="BB75" i="23"/>
  <c r="AT75" i="23"/>
  <c r="AL75" i="23"/>
  <c r="BA75" i="23"/>
  <c r="AS75" i="23"/>
  <c r="AK75" i="23"/>
  <c r="AZ75" i="23"/>
  <c r="AR75" i="23"/>
  <c r="AJ75" i="23"/>
  <c r="AY75" i="23"/>
  <c r="AQ75" i="23"/>
  <c r="AI75" i="23"/>
  <c r="R75" i="23"/>
  <c r="AX75" i="23"/>
  <c r="AP75" i="23"/>
  <c r="BC75" i="23"/>
  <c r="AW75" i="23"/>
  <c r="P75" i="23"/>
  <c r="AU75" i="23"/>
  <c r="AO75" i="23"/>
  <c r="AM75" i="23"/>
  <c r="BC83" i="23"/>
  <c r="AU83" i="23"/>
  <c r="AM83" i="23"/>
  <c r="BB83" i="23"/>
  <c r="AT83" i="23"/>
  <c r="AL83" i="23"/>
  <c r="BA83" i="23"/>
  <c r="AS83" i="23"/>
  <c r="AK83" i="23"/>
  <c r="AZ83" i="23"/>
  <c r="AR83" i="23"/>
  <c r="AJ83" i="23"/>
  <c r="AY83" i="23"/>
  <c r="AQ83" i="23"/>
  <c r="AI83" i="23"/>
  <c r="AW83" i="23"/>
  <c r="AO83" i="23"/>
  <c r="AP83" i="23"/>
  <c r="AN83" i="23"/>
  <c r="BD83" i="23"/>
  <c r="AX83" i="23"/>
  <c r="AV83" i="23"/>
  <c r="AZ99" i="23"/>
  <c r="AR99" i="23"/>
  <c r="AJ99" i="23"/>
  <c r="AY99" i="23"/>
  <c r="AQ99" i="23"/>
  <c r="AI99" i="23"/>
  <c r="AX99" i="23"/>
  <c r="AP99" i="23"/>
  <c r="AW99" i="23"/>
  <c r="AO99" i="23"/>
  <c r="BD99" i="23"/>
  <c r="AV99" i="23"/>
  <c r="AN99" i="23"/>
  <c r="BC99" i="23"/>
  <c r="AU99" i="23"/>
  <c r="AM99" i="23"/>
  <c r="BB99" i="23"/>
  <c r="AT99" i="23"/>
  <c r="AL99" i="23"/>
  <c r="BA99" i="23"/>
  <c r="AS99" i="23"/>
  <c r="AK99" i="23"/>
  <c r="AR61" i="23"/>
  <c r="AN64" i="23"/>
  <c r="AL66" i="23"/>
  <c r="AI68" i="23"/>
  <c r="Z51" i="24"/>
  <c r="AG59" i="24"/>
  <c r="Y59" i="24"/>
  <c r="AF59" i="24"/>
  <c r="X59" i="24"/>
  <c r="AE59" i="24"/>
  <c r="AA59" i="24"/>
  <c r="Z59" i="24"/>
  <c r="AH59" i="24"/>
  <c r="AD59" i="24"/>
  <c r="AC59" i="24"/>
  <c r="AB59" i="24"/>
  <c r="AG67" i="24"/>
  <c r="Y67" i="24"/>
  <c r="AF67" i="24"/>
  <c r="X67" i="24"/>
  <c r="AE67" i="24"/>
  <c r="AD67" i="24"/>
  <c r="AC67" i="24"/>
  <c r="AA67" i="24"/>
  <c r="AH67" i="24"/>
  <c r="AB67" i="24"/>
  <c r="Z67" i="24"/>
  <c r="AA60" i="24"/>
  <c r="AH60" i="24"/>
  <c r="Z60" i="24"/>
  <c r="AG60" i="24"/>
  <c r="Y60" i="24"/>
  <c r="AF60" i="24"/>
  <c r="X60" i="24"/>
  <c r="AC60" i="24"/>
  <c r="AE76" i="24"/>
  <c r="AC76" i="24"/>
  <c r="AD47" i="24"/>
  <c r="AB50" i="24"/>
  <c r="X52" i="24"/>
  <c r="AF52" i="24"/>
  <c r="Z53" i="24"/>
  <c r="AA54" i="24"/>
  <c r="Y69" i="24"/>
  <c r="X69" i="24"/>
  <c r="AG77" i="24"/>
  <c r="Y77" i="24"/>
  <c r="AC77" i="24"/>
  <c r="X77" i="24"/>
  <c r="AH77" i="24"/>
  <c r="AF77" i="24"/>
  <c r="AE77" i="24"/>
  <c r="AD77" i="24"/>
  <c r="AB77" i="24"/>
  <c r="AA77" i="24"/>
  <c r="AE47" i="24"/>
  <c r="AC50" i="24"/>
  <c r="Y52" i="24"/>
  <c r="AG52" i="24"/>
  <c r="AA53" i="24"/>
  <c r="AB60" i="24"/>
  <c r="X65" i="24"/>
  <c r="AE54" i="24"/>
  <c r="AD54" i="24"/>
  <c r="AC54" i="24"/>
  <c r="AG54" i="24"/>
  <c r="Y54" i="24"/>
  <c r="AC62" i="24"/>
  <c r="Y62" i="24"/>
  <c r="AA70" i="24"/>
  <c r="AE70" i="24"/>
  <c r="AC70" i="24"/>
  <c r="AB70" i="24"/>
  <c r="Z70" i="24"/>
  <c r="Y70" i="24"/>
  <c r="AH70" i="24"/>
  <c r="X70" i="24"/>
  <c r="AG70" i="24"/>
  <c r="AF70" i="24"/>
  <c r="AA78" i="24"/>
  <c r="AE78" i="24"/>
  <c r="AH78" i="24"/>
  <c r="X78" i="24"/>
  <c r="AG78" i="24"/>
  <c r="AF78" i="24"/>
  <c r="AD78" i="24"/>
  <c r="AC78" i="24"/>
  <c r="AB78" i="24"/>
  <c r="Z78" i="24"/>
  <c r="X47" i="24"/>
  <c r="AF47" i="24"/>
  <c r="AD50" i="24"/>
  <c r="Z52" i="24"/>
  <c r="AH52" i="24"/>
  <c r="AB53" i="24"/>
  <c r="AF54" i="24"/>
  <c r="X58" i="24"/>
  <c r="AD60" i="24"/>
  <c r="AD65" i="24"/>
  <c r="AG71" i="24"/>
  <c r="AE71" i="24"/>
  <c r="AH79" i="24"/>
  <c r="AD79" i="24"/>
  <c r="Y47" i="24"/>
  <c r="AG47" i="24"/>
  <c r="AE50" i="24"/>
  <c r="AA52" i="24"/>
  <c r="AD53" i="24"/>
  <c r="AH54" i="24"/>
  <c r="Z58" i="24"/>
  <c r="AE60" i="24"/>
  <c r="AF62" i="24"/>
  <c r="Z77" i="24"/>
  <c r="Z64" i="24"/>
  <c r="AG80" i="24"/>
  <c r="Z47" i="24"/>
  <c r="AH47" i="24"/>
  <c r="X50" i="24"/>
  <c r="AF50" i="24"/>
  <c r="AB52" i="24"/>
  <c r="AE53" i="24"/>
  <c r="AA58" i="24"/>
  <c r="AH62" i="24"/>
  <c r="AE64" i="24"/>
  <c r="AC65" i="24"/>
  <c r="AB65" i="24"/>
  <c r="AA65" i="24"/>
  <c r="AH65" i="24"/>
  <c r="Z65" i="24"/>
  <c r="AG65" i="24"/>
  <c r="Y65" i="24"/>
  <c r="AE65" i="24"/>
  <c r="AC73" i="24"/>
  <c r="X73" i="24"/>
  <c r="AG81" i="24"/>
  <c r="AF81" i="24"/>
  <c r="Z81" i="24"/>
  <c r="AA47" i="24"/>
  <c r="Y50" i="24"/>
  <c r="AG50" i="24"/>
  <c r="AC52" i="24"/>
  <c r="AF53" i="24"/>
  <c r="AD70" i="24"/>
  <c r="Y78" i="24"/>
  <c r="AE58" i="24"/>
  <c r="AD58" i="24"/>
  <c r="AC58" i="24"/>
  <c r="AG58" i="24"/>
  <c r="Y58" i="24"/>
  <c r="AC66" i="24"/>
  <c r="AA74" i="24"/>
  <c r="X74" i="24"/>
  <c r="AD74" i="24"/>
  <c r="AA82" i="24"/>
  <c r="AE82" i="24"/>
  <c r="AF82" i="24"/>
  <c r="AD82" i="24"/>
  <c r="AC82" i="24"/>
  <c r="AB82" i="24"/>
  <c r="Z82" i="24"/>
  <c r="Y82" i="24"/>
  <c r="AH82" i="24"/>
  <c r="X82" i="24"/>
  <c r="Z50" i="24"/>
  <c r="X53" i="24"/>
  <c r="AG53" i="24"/>
  <c r="X54" i="24"/>
  <c r="AF58" i="24"/>
  <c r="AG82" i="24"/>
  <c r="Z6" i="21"/>
  <c r="AH6" i="21" s="1"/>
  <c r="Z3" i="21"/>
  <c r="AH3" i="21" s="1"/>
  <c r="Z5" i="21"/>
  <c r="AH5" i="21" s="1"/>
  <c r="Z8" i="21"/>
  <c r="AH8" i="21" s="1"/>
  <c r="AJ13" i="21"/>
  <c r="Z4" i="21"/>
  <c r="AH4" i="21" s="1"/>
  <c r="AJ6" i="21"/>
  <c r="Z13" i="21"/>
  <c r="AH13" i="21" s="1"/>
  <c r="U9" i="21"/>
  <c r="AI9" i="21" s="1"/>
  <c r="R9" i="21"/>
  <c r="U11" i="21"/>
  <c r="AI11" i="21" s="1"/>
  <c r="M589" i="21"/>
  <c r="U12" i="21" s="1"/>
  <c r="AI12" i="21" s="1"/>
  <c r="R12" i="21"/>
  <c r="R10" i="21"/>
  <c r="U10" i="21"/>
  <c r="AI10" i="21" s="1"/>
  <c r="R11" i="21"/>
  <c r="AF5" i="21"/>
  <c r="AJ3" i="21"/>
  <c r="X13" i="21"/>
  <c r="AF13" i="21" s="1"/>
  <c r="AI5" i="21"/>
  <c r="Y6" i="21"/>
  <c r="AG6" i="21" s="1"/>
  <c r="AC344" i="17"/>
  <c r="AC341" i="17"/>
  <c r="AJ2" i="16"/>
  <c r="AJ7" i="16" s="1"/>
  <c r="AC343" i="17"/>
  <c r="AC340" i="17"/>
  <c r="AJ5" i="16"/>
  <c r="AJ8" i="16" s="1"/>
  <c r="AC247" i="17"/>
  <c r="AC279" i="17"/>
  <c r="AC53" i="17"/>
  <c r="AC231" i="17"/>
  <c r="AC251" i="17"/>
  <c r="AC268" i="17"/>
  <c r="AC300" i="17"/>
  <c r="AC15" i="17"/>
  <c r="AC17" i="17"/>
  <c r="AC19" i="17"/>
  <c r="AC21" i="17"/>
  <c r="AC23" i="17"/>
  <c r="AC25" i="17"/>
  <c r="AC27" i="17"/>
  <c r="AC29" i="17"/>
  <c r="AC31" i="17"/>
  <c r="AC33" i="17"/>
  <c r="AC35" i="17"/>
  <c r="AC37" i="17"/>
  <c r="AC41" i="17"/>
  <c r="AC45" i="17"/>
  <c r="AC50" i="17"/>
  <c r="AC191" i="17"/>
  <c r="AC255" i="17"/>
  <c r="AC287" i="17"/>
  <c r="AC276" i="17"/>
  <c r="AC308" i="17"/>
  <c r="AC52" i="17"/>
  <c r="AC239" i="17"/>
  <c r="AC263" i="17"/>
  <c r="AC295" i="17"/>
  <c r="AC316" i="17"/>
  <c r="AC260" i="17"/>
  <c r="AC292" i="17"/>
  <c r="AC170" i="17"/>
  <c r="AC199" i="17"/>
  <c r="AC252" i="17"/>
  <c r="AC284" i="17"/>
  <c r="AC324" i="17"/>
  <c r="AC34" i="17"/>
  <c r="AC36" i="17"/>
  <c r="AC38" i="17"/>
  <c r="AC40" i="17"/>
  <c r="AC42" i="17"/>
  <c r="AC44" i="17"/>
  <c r="AC46" i="17"/>
  <c r="AC54" i="17"/>
  <c r="AC165" i="17"/>
  <c r="AC223" i="17"/>
  <c r="AC271" i="17"/>
  <c r="AC303" i="17"/>
  <c r="AC332" i="17"/>
  <c r="AC249" i="17"/>
  <c r="AC257" i="17"/>
  <c r="AC265" i="17"/>
  <c r="AC273" i="17"/>
  <c r="AC281" i="17"/>
  <c r="AC289" i="17"/>
  <c r="AC297" i="17"/>
  <c r="AC305" i="17"/>
  <c r="AC313" i="17"/>
  <c r="AC321" i="17"/>
  <c r="AC329" i="17"/>
  <c r="AC337" i="17"/>
  <c r="AC166" i="17"/>
  <c r="AC174" i="17"/>
  <c r="AC182" i="17"/>
  <c r="AC190" i="17"/>
  <c r="AC198" i="17"/>
  <c r="AC206" i="17"/>
  <c r="AC214" i="17"/>
  <c r="AC222" i="17"/>
  <c r="AC230" i="17"/>
  <c r="AC238" i="17"/>
  <c r="AC246" i="17"/>
  <c r="AC254" i="17"/>
  <c r="AC262" i="17"/>
  <c r="AC270" i="17"/>
  <c r="AC278" i="17"/>
  <c r="AC286" i="17"/>
  <c r="AC294" i="17"/>
  <c r="AC302" i="17"/>
  <c r="AC310" i="17"/>
  <c r="AC318" i="17"/>
  <c r="AC326" i="17"/>
  <c r="AC334" i="17"/>
  <c r="AC259" i="17"/>
  <c r="AC267" i="17"/>
  <c r="AC275" i="17"/>
  <c r="AC283" i="17"/>
  <c r="AC291" i="17"/>
  <c r="AC299" i="17"/>
  <c r="AC307" i="17"/>
  <c r="AC315" i="17"/>
  <c r="AC323" i="17"/>
  <c r="AC331" i="17"/>
  <c r="AC168" i="17"/>
  <c r="AC176" i="17"/>
  <c r="AC192" i="17"/>
  <c r="AC200" i="17"/>
  <c r="AC208" i="17"/>
  <c r="AC240" i="17"/>
  <c r="AC248" i="17"/>
  <c r="AC256" i="17"/>
  <c r="AC264" i="17"/>
  <c r="AC272" i="17"/>
  <c r="AC280" i="17"/>
  <c r="AC288" i="17"/>
  <c r="AC296" i="17"/>
  <c r="AC304" i="17"/>
  <c r="AC312" i="17"/>
  <c r="AC320" i="17"/>
  <c r="AC328" i="17"/>
  <c r="AC336" i="17"/>
  <c r="AC173" i="17"/>
  <c r="AC181" i="17"/>
  <c r="AC189" i="17"/>
  <c r="AC197" i="17"/>
  <c r="AC205" i="17"/>
  <c r="AC213" i="17"/>
  <c r="AC221" i="17"/>
  <c r="AC229" i="17"/>
  <c r="AC237" i="17"/>
  <c r="AC245" i="17"/>
  <c r="AC253" i="17"/>
  <c r="AC261" i="17"/>
  <c r="AC269" i="17"/>
  <c r="AC277" i="17"/>
  <c r="AC285" i="17"/>
  <c r="AC293" i="17"/>
  <c r="AC301" i="17"/>
  <c r="AC309" i="17"/>
  <c r="AC317" i="17"/>
  <c r="AC325" i="17"/>
  <c r="AC333" i="17"/>
  <c r="AC178" i="17"/>
  <c r="AC186" i="17"/>
  <c r="AC194" i="17"/>
  <c r="AC202" i="17"/>
  <c r="AC210" i="17"/>
  <c r="AC218" i="17"/>
  <c r="AC226" i="17"/>
  <c r="AC234" i="17"/>
  <c r="AC242" i="17"/>
  <c r="AC250" i="17"/>
  <c r="AC258" i="17"/>
  <c r="AC266" i="17"/>
  <c r="AC274" i="17"/>
  <c r="AC282" i="17"/>
  <c r="AC290" i="17"/>
  <c r="AC298" i="17"/>
  <c r="AC306" i="17"/>
  <c r="AC314" i="17"/>
  <c r="AC322" i="17"/>
  <c r="AC330" i="17"/>
  <c r="AC338" i="17"/>
  <c r="AC311" i="17"/>
  <c r="AC319" i="17"/>
  <c r="AC327" i="17"/>
  <c r="AC335" i="17"/>
  <c r="AL55" i="9"/>
  <c r="AL57" i="6"/>
  <c r="AL55" i="8"/>
  <c r="AL55" i="7"/>
  <c r="W45" i="13"/>
  <c r="W45" i="11"/>
  <c r="W45" i="10"/>
  <c r="W45" i="12"/>
  <c r="AD54" i="8"/>
  <c r="AD54" i="9"/>
  <c r="AD54" i="7"/>
  <c r="AF54" i="8"/>
  <c r="AF54" i="9"/>
  <c r="AF54" i="7"/>
  <c r="AD55" i="9"/>
  <c r="AD55" i="8"/>
  <c r="AD57" i="6"/>
  <c r="AD55" i="7"/>
  <c r="Y46" i="13"/>
  <c r="Y46" i="12"/>
  <c r="Y46" i="10"/>
  <c r="Y46" i="11"/>
  <c r="F41" i="5"/>
  <c r="U46" i="12"/>
  <c r="U46" i="13"/>
  <c r="U46" i="10"/>
  <c r="U46" i="11"/>
  <c r="AJ54" i="8"/>
  <c r="AJ58" i="8" s="1"/>
  <c r="AJ54" i="9"/>
  <c r="AJ54" i="7"/>
  <c r="F18" i="5"/>
  <c r="Z56" i="9"/>
  <c r="Z56" i="8"/>
  <c r="Z58" i="6"/>
  <c r="Z56" i="7"/>
  <c r="AA45" i="13"/>
  <c r="AA45" i="12"/>
  <c r="AA45" i="10"/>
  <c r="AA45" i="11"/>
  <c r="AG54" i="8"/>
  <c r="AG54" i="9"/>
  <c r="AG54" i="7"/>
  <c r="AB55" i="9"/>
  <c r="AB55" i="8"/>
  <c r="AB55" i="7"/>
  <c r="W54" i="8"/>
  <c r="W58" i="8" s="1"/>
  <c r="W54" i="9"/>
  <c r="W54" i="7"/>
  <c r="U56" i="9"/>
  <c r="U56" i="8"/>
  <c r="U56" i="7"/>
  <c r="U58" i="6"/>
  <c r="AH56" i="9"/>
  <c r="AH58" i="6"/>
  <c r="AH56" i="7"/>
  <c r="AH56" i="8"/>
  <c r="Z45" i="13"/>
  <c r="Z45" i="12"/>
  <c r="Z45" i="10"/>
  <c r="Z45" i="11"/>
  <c r="AI55" i="9"/>
  <c r="AI55" i="7"/>
  <c r="AI57" i="6"/>
  <c r="AI55" i="8"/>
  <c r="AD56" i="9"/>
  <c r="AD56" i="8"/>
  <c r="AD58" i="6"/>
  <c r="AD56" i="7"/>
  <c r="AJ55" i="9"/>
  <c r="AJ55" i="8"/>
  <c r="AJ57" i="6"/>
  <c r="D18" i="5"/>
  <c r="AB56" i="6" s="1"/>
  <c r="W44" i="12"/>
  <c r="W44" i="13"/>
  <c r="W44" i="11"/>
  <c r="W44" i="10"/>
  <c r="V56" i="9"/>
  <c r="V56" i="8"/>
  <c r="V56" i="7"/>
  <c r="V58" i="6"/>
  <c r="D28" i="5"/>
  <c r="AL56" i="6" s="1"/>
  <c r="AI56" i="6"/>
  <c r="F45" i="5"/>
  <c r="Z46" i="13"/>
  <c r="Z46" i="12"/>
  <c r="Z46" i="10"/>
  <c r="Z46" i="11"/>
  <c r="O54" i="8"/>
  <c r="O58" i="8" s="1"/>
  <c r="O54" i="9"/>
  <c r="O54" i="7"/>
  <c r="Y44" i="13"/>
  <c r="Y44" i="11"/>
  <c r="Y44" i="12"/>
  <c r="Y44" i="10"/>
  <c r="AA56" i="9"/>
  <c r="AA56" i="7"/>
  <c r="AA56" i="8"/>
  <c r="F28" i="5"/>
  <c r="AI56" i="9"/>
  <c r="AI56" i="7"/>
  <c r="AI56" i="8"/>
  <c r="R54" i="8"/>
  <c r="R58" i="8" s="1"/>
  <c r="R54" i="9"/>
  <c r="AC54" i="8"/>
  <c r="AC58" i="8" s="1"/>
  <c r="AC54" i="9"/>
  <c r="AC54" i="7"/>
  <c r="Z54" i="8"/>
  <c r="Z58" i="8" s="1"/>
  <c r="Z21" i="9" s="1"/>
  <c r="Z54" i="9"/>
  <c r="L54" i="8"/>
  <c r="L58" i="8" s="1"/>
  <c r="L54" i="9"/>
  <c r="L54" i="7"/>
  <c r="P54" i="8"/>
  <c r="P58" i="8" s="1"/>
  <c r="P54" i="9"/>
  <c r="AK54" i="8"/>
  <c r="AK58" i="8" s="1"/>
  <c r="AK54" i="9"/>
  <c r="R44" i="13"/>
  <c r="R44" i="12"/>
  <c r="R44" i="10"/>
  <c r="R44" i="11"/>
  <c r="AH54" i="8"/>
  <c r="AH54" i="9"/>
  <c r="AH54" i="7"/>
  <c r="AJ56" i="9"/>
  <c r="AJ58" i="6"/>
  <c r="AJ56" i="8"/>
  <c r="S54" i="8"/>
  <c r="S54" i="9"/>
  <c r="S54" i="7"/>
  <c r="AG58" i="6"/>
  <c r="AG56" i="9"/>
  <c r="AG56" i="7"/>
  <c r="AH55" i="9"/>
  <c r="AH55" i="8"/>
  <c r="D45" i="5"/>
  <c r="Z44" i="13"/>
  <c r="Z44" i="12"/>
  <c r="Z48" i="12" s="1"/>
  <c r="Z44" i="10"/>
  <c r="Z44" i="11"/>
  <c r="Z48" i="11" s="1"/>
  <c r="M54" i="8"/>
  <c r="M58" i="8" s="1"/>
  <c r="M54" i="9"/>
  <c r="AH57" i="6"/>
  <c r="M54" i="7"/>
  <c r="Q54" i="8"/>
  <c r="Q58" i="8" s="1"/>
  <c r="Q54" i="9"/>
  <c r="Q54" i="7"/>
  <c r="AE54" i="8"/>
  <c r="AE54" i="9"/>
  <c r="AH55" i="7"/>
  <c r="AK54" i="7"/>
  <c r="U54" i="8"/>
  <c r="U58" i="8" s="1"/>
  <c r="U54" i="9"/>
  <c r="U54" i="7"/>
  <c r="X54" i="8"/>
  <c r="X58" i="8" s="1"/>
  <c r="X54" i="9"/>
  <c r="AA58" i="6"/>
  <c r="P54" i="7"/>
  <c r="AA54" i="8"/>
  <c r="AA58" i="8" s="1"/>
  <c r="AA36" i="9" s="1"/>
  <c r="AA54" i="9"/>
  <c r="AA54" i="7"/>
  <c r="Z39" i="9"/>
  <c r="D37" i="5"/>
  <c r="AW74" i="23" l="1"/>
  <c r="AM74" i="23"/>
  <c r="R74" i="23"/>
  <c r="AQ74" i="23"/>
  <c r="AO74" i="23"/>
  <c r="BB74" i="23"/>
  <c r="AS74" i="23"/>
  <c r="AP74" i="23"/>
  <c r="P74" i="23"/>
  <c r="AT74" i="23"/>
  <c r="AZ74" i="23"/>
  <c r="BD74" i="23"/>
  <c r="AL74" i="23"/>
  <c r="AU74" i="23"/>
  <c r="AR74" i="23"/>
  <c r="AV74" i="23"/>
  <c r="AK74" i="23"/>
  <c r="AY74" i="23"/>
  <c r="AJ74" i="23"/>
  <c r="AN74" i="23"/>
  <c r="AI74" i="23"/>
  <c r="AX74" i="23"/>
  <c r="BC74" i="23"/>
  <c r="BA74" i="23"/>
  <c r="AC48" i="24"/>
  <c r="AA80" i="24"/>
  <c r="AH64" i="24"/>
  <c r="AF71" i="24"/>
  <c r="AC71" i="24"/>
  <c r="AC51" i="24"/>
  <c r="AH51" i="24"/>
  <c r="AK76" i="23"/>
  <c r="AP89" i="23"/>
  <c r="AY89" i="23"/>
  <c r="AT89" i="23"/>
  <c r="BA65" i="23"/>
  <c r="AW65" i="23"/>
  <c r="AW79" i="23"/>
  <c r="AR79" i="23"/>
  <c r="AM79" i="23"/>
  <c r="AO100" i="23"/>
  <c r="AR100" i="23"/>
  <c r="AM100" i="23"/>
  <c r="I26" i="14"/>
  <c r="I46" i="7"/>
  <c r="P13" i="5"/>
  <c r="P16" i="5" s="1"/>
  <c r="Y80" i="24"/>
  <c r="AE80" i="24"/>
  <c r="AA64" i="24"/>
  <c r="AH71" i="24"/>
  <c r="AE55" i="24"/>
  <c r="AG48" i="24"/>
  <c r="AD51" i="24"/>
  <c r="AA51" i="24"/>
  <c r="AL76" i="23"/>
  <c r="AV89" i="23"/>
  <c r="AJ89" i="23"/>
  <c r="BB89" i="23"/>
  <c r="AR65" i="23"/>
  <c r="AL65" i="23"/>
  <c r="AP79" i="23"/>
  <c r="AZ79" i="23"/>
  <c r="AU79" i="23"/>
  <c r="AW100" i="23"/>
  <c r="AZ100" i="23"/>
  <c r="AU100" i="23"/>
  <c r="I11" i="23"/>
  <c r="I26" i="7"/>
  <c r="Z80" i="24"/>
  <c r="AC64" i="24"/>
  <c r="AA48" i="24"/>
  <c r="X71" i="24"/>
  <c r="X80" i="24"/>
  <c r="Y48" i="24"/>
  <c r="AE51" i="24"/>
  <c r="AB51" i="24"/>
  <c r="BC76" i="23"/>
  <c r="AX89" i="23"/>
  <c r="AR89" i="23"/>
  <c r="AM89" i="23"/>
  <c r="BC65" i="23"/>
  <c r="AT65" i="23"/>
  <c r="AX79" i="23"/>
  <c r="AK79" i="23"/>
  <c r="BC79" i="23"/>
  <c r="AP100" i="23"/>
  <c r="AK100" i="23"/>
  <c r="BC100" i="23"/>
  <c r="I26" i="8"/>
  <c r="AB80" i="24"/>
  <c r="X64" i="24"/>
  <c r="Z71" i="24"/>
  <c r="AB64" i="24"/>
  <c r="AH48" i="24"/>
  <c r="X51" i="24"/>
  <c r="BD76" i="23"/>
  <c r="BD89" i="23"/>
  <c r="AZ89" i="23"/>
  <c r="AU89" i="23"/>
  <c r="AO65" i="23"/>
  <c r="AI65" i="23"/>
  <c r="BB65" i="23"/>
  <c r="R79" i="23"/>
  <c r="AS79" i="23"/>
  <c r="AN79" i="23"/>
  <c r="AX100" i="23"/>
  <c r="AS100" i="23"/>
  <c r="AN100" i="23"/>
  <c r="I38" i="10"/>
  <c r="I6" i="10"/>
  <c r="I26" i="23"/>
  <c r="AC80" i="24"/>
  <c r="AF64" i="24"/>
  <c r="AA71" i="24"/>
  <c r="Z48" i="24"/>
  <c r="D8" i="26" s="1"/>
  <c r="AF51" i="24"/>
  <c r="AX76" i="23"/>
  <c r="AO89" i="23"/>
  <c r="AK89" i="23"/>
  <c r="BC89" i="23"/>
  <c r="AY65" i="23"/>
  <c r="AS65" i="23"/>
  <c r="AN65" i="23"/>
  <c r="AI79" i="23"/>
  <c r="BA79" i="23"/>
  <c r="AV79" i="23"/>
  <c r="AI100" i="23"/>
  <c r="BA100" i="23"/>
  <c r="AV100" i="23"/>
  <c r="I38" i="11"/>
  <c r="I6" i="11"/>
  <c r="I25" i="8"/>
  <c r="I12" i="8"/>
  <c r="I6" i="8"/>
  <c r="I21" i="12"/>
  <c r="AI5" i="17"/>
  <c r="J8" i="26"/>
  <c r="AF48" i="24"/>
  <c r="Y51" i="24"/>
  <c r="AZ76" i="23"/>
  <c r="AW89" i="23"/>
  <c r="AS89" i="23"/>
  <c r="AP65" i="23"/>
  <c r="AJ65" i="23"/>
  <c r="AV65" i="23"/>
  <c r="AQ79" i="23"/>
  <c r="AL79" i="23"/>
  <c r="BD79" i="23"/>
  <c r="AQ100" i="23"/>
  <c r="AL100" i="23"/>
  <c r="BD100" i="23"/>
  <c r="I39" i="14"/>
  <c r="I14" i="13"/>
  <c r="AD80" i="24"/>
  <c r="Y64" i="24"/>
  <c r="AB71" i="24"/>
  <c r="AB48" i="24"/>
  <c r="AF80" i="24"/>
  <c r="AG64" i="24"/>
  <c r="Y71" i="24"/>
  <c r="B8" i="26"/>
  <c r="AI89" i="23"/>
  <c r="AZ65" i="23"/>
  <c r="AU65" i="23"/>
  <c r="BD65" i="23"/>
  <c r="P79" i="23"/>
  <c r="AY79" i="23"/>
  <c r="AY100" i="23"/>
  <c r="I5" i="13"/>
  <c r="P14" i="5"/>
  <c r="P17" i="5" s="1"/>
  <c r="F4" i="5"/>
  <c r="E4" i="5"/>
  <c r="E30" i="5"/>
  <c r="F30" i="5"/>
  <c r="AA34" i="9"/>
  <c r="Z16" i="9"/>
  <c r="Z49" i="9"/>
  <c r="Z23" i="9"/>
  <c r="AH75" i="24"/>
  <c r="AF75" i="24"/>
  <c r="AE75" i="24"/>
  <c r="AC75" i="24"/>
  <c r="AD75" i="24"/>
  <c r="AG75" i="24"/>
  <c r="AB75" i="24"/>
  <c r="Y75" i="24"/>
  <c r="AA75" i="24"/>
  <c r="Z75" i="24"/>
  <c r="X75" i="24"/>
  <c r="X61" i="24"/>
  <c r="AC61" i="24"/>
  <c r="AB61" i="24"/>
  <c r="AF61" i="24"/>
  <c r="AA61" i="24"/>
  <c r="AH61" i="24"/>
  <c r="Z61" i="24"/>
  <c r="AD61" i="24"/>
  <c r="AE61" i="24"/>
  <c r="Y61" i="24"/>
  <c r="AG61" i="24"/>
  <c r="AC72" i="24"/>
  <c r="X72" i="24"/>
  <c r="AG72" i="24"/>
  <c r="AE72" i="24"/>
  <c r="AF72" i="24"/>
  <c r="AA72" i="24"/>
  <c r="AD72" i="24"/>
  <c r="AH72" i="24"/>
  <c r="AB72" i="24"/>
  <c r="Z72" i="24"/>
  <c r="Y72" i="24"/>
  <c r="AD57" i="24"/>
  <c r="AC57" i="24"/>
  <c r="AH57" i="24"/>
  <c r="AB57" i="24"/>
  <c r="Z57" i="24"/>
  <c r="AA57" i="24"/>
  <c r="AE57" i="24"/>
  <c r="Y57" i="24"/>
  <c r="AF57" i="24"/>
  <c r="Z68" i="24"/>
  <c r="AG68" i="24"/>
  <c r="Y68" i="24"/>
  <c r="AF68" i="24"/>
  <c r="AH68" i="24"/>
  <c r="X68" i="24"/>
  <c r="AC68" i="24"/>
  <c r="AB68" i="24"/>
  <c r="AE68" i="24"/>
  <c r="AA68" i="24"/>
  <c r="AD68" i="24"/>
  <c r="BB95" i="23"/>
  <c r="AJ95" i="23"/>
  <c r="AV95" i="23"/>
  <c r="AT95" i="23"/>
  <c r="AY95" i="23"/>
  <c r="AP95" i="23"/>
  <c r="AL95" i="23"/>
  <c r="AQ95" i="23"/>
  <c r="AN95" i="23"/>
  <c r="BA95" i="23"/>
  <c r="AI95" i="23"/>
  <c r="AS95" i="23"/>
  <c r="AW95" i="23"/>
  <c r="AR95" i="23"/>
  <c r="AX95" i="23"/>
  <c r="BC95" i="23"/>
  <c r="AK95" i="23"/>
  <c r="AO95" i="23"/>
  <c r="AU95" i="23"/>
  <c r="AZ95" i="23"/>
  <c r="BD95" i="23"/>
  <c r="AM95" i="23"/>
  <c r="Z33" i="9"/>
  <c r="AI7" i="17"/>
  <c r="X49" i="24"/>
  <c r="AH74" i="24"/>
  <c r="AA81" i="24"/>
  <c r="AD73" i="24"/>
  <c r="Y73" i="24"/>
  <c r="L8" i="26"/>
  <c r="Y79" i="24"/>
  <c r="AD62" i="24"/>
  <c r="X62" i="24"/>
  <c r="AH49" i="24"/>
  <c r="AT76" i="23"/>
  <c r="P76" i="23"/>
  <c r="AU73" i="23"/>
  <c r="AY73" i="23"/>
  <c r="AT73" i="23"/>
  <c r="AL63" i="23"/>
  <c r="BD63" i="23"/>
  <c r="AS92" i="23"/>
  <c r="AO92" i="23"/>
  <c r="AK70" i="23"/>
  <c r="AS70" i="23"/>
  <c r="AX70" i="23"/>
  <c r="AY76" i="23"/>
  <c r="AI69" i="23"/>
  <c r="AO69" i="23"/>
  <c r="BB69" i="23"/>
  <c r="I39" i="9"/>
  <c r="I33" i="13"/>
  <c r="I50" i="7"/>
  <c r="M69" i="6" s="1"/>
  <c r="I30" i="10"/>
  <c r="I14" i="24"/>
  <c r="I43" i="7"/>
  <c r="I25" i="9"/>
  <c r="I15" i="11"/>
  <c r="I46" i="9"/>
  <c r="I6" i="7"/>
  <c r="AE53" i="7" s="1"/>
  <c r="I26" i="13"/>
  <c r="I21" i="13"/>
  <c r="I5" i="11"/>
  <c r="Y74" i="24"/>
  <c r="AB81" i="24"/>
  <c r="AE73" i="24"/>
  <c r="AG73" i="24"/>
  <c r="Z79" i="24"/>
  <c r="AG79" i="24"/>
  <c r="AA62" i="24"/>
  <c r="AE62" i="24"/>
  <c r="AA49" i="24"/>
  <c r="Z49" i="24"/>
  <c r="BB76" i="23"/>
  <c r="AO76" i="23"/>
  <c r="P73" i="23"/>
  <c r="AJ73" i="23"/>
  <c r="BB73" i="23"/>
  <c r="AT63" i="23"/>
  <c r="AO63" i="23"/>
  <c r="AJ92" i="23"/>
  <c r="BA92" i="23"/>
  <c r="AW92" i="23"/>
  <c r="AW70" i="23"/>
  <c r="AU70" i="23"/>
  <c r="AJ70" i="23"/>
  <c r="AJ63" i="23"/>
  <c r="AS69" i="23"/>
  <c r="AY69" i="23"/>
  <c r="AN69" i="23"/>
  <c r="I39" i="7"/>
  <c r="I33" i="10"/>
  <c r="I50" i="8"/>
  <c r="I30" i="11"/>
  <c r="I47" i="8"/>
  <c r="M68" i="6"/>
  <c r="I43" i="8"/>
  <c r="I25" i="14"/>
  <c r="I12" i="7"/>
  <c r="I15" i="13"/>
  <c r="I46" i="6"/>
  <c r="M40" i="6" s="1"/>
  <c r="I6" i="9"/>
  <c r="I26" i="10"/>
  <c r="I21" i="24"/>
  <c r="I5" i="12"/>
  <c r="Z26" i="9"/>
  <c r="Z74" i="24"/>
  <c r="AD81" i="24"/>
  <c r="AF73" i="24"/>
  <c r="AA79" i="24"/>
  <c r="AC79" i="24"/>
  <c r="BA76" i="23"/>
  <c r="AM76" i="23"/>
  <c r="AW76" i="23"/>
  <c r="AW73" i="23"/>
  <c r="AR73" i="23"/>
  <c r="AN73" i="23"/>
  <c r="AR69" i="23"/>
  <c r="BB63" i="23"/>
  <c r="AW63" i="23"/>
  <c r="AL92" i="23"/>
  <c r="AM92" i="23"/>
  <c r="AP92" i="23"/>
  <c r="AM70" i="23"/>
  <c r="AL70" i="23"/>
  <c r="AR70" i="23"/>
  <c r="AJ69" i="23"/>
  <c r="AP69" i="23"/>
  <c r="AV69" i="23"/>
  <c r="AT8" i="16"/>
  <c r="I39" i="6"/>
  <c r="I33" i="11"/>
  <c r="I19" i="13"/>
  <c r="I11" i="7"/>
  <c r="I50" i="23"/>
  <c r="I30" i="12"/>
  <c r="I47" i="14"/>
  <c r="I25" i="23"/>
  <c r="I12" i="9"/>
  <c r="I46" i="23"/>
  <c r="I6" i="23"/>
  <c r="I26" i="11"/>
  <c r="AC74" i="24"/>
  <c r="AE74" i="24"/>
  <c r="AE49" i="24"/>
  <c r="AE81" i="24"/>
  <c r="AH73" i="24"/>
  <c r="AB79" i="24"/>
  <c r="AB49" i="24"/>
  <c r="AI76" i="23"/>
  <c r="AU76" i="23"/>
  <c r="AP76" i="23"/>
  <c r="AP73" i="23"/>
  <c r="AZ73" i="23"/>
  <c r="AV73" i="23"/>
  <c r="AZ63" i="23"/>
  <c r="AM63" i="23"/>
  <c r="AP63" i="23"/>
  <c r="AR92" i="23"/>
  <c r="AU92" i="23"/>
  <c r="AX92" i="23"/>
  <c r="AY70" i="23"/>
  <c r="AT70" i="23"/>
  <c r="AZ70" i="23"/>
  <c r="AU69" i="23"/>
  <c r="AZ69" i="23"/>
  <c r="BD69" i="23"/>
  <c r="I39" i="23"/>
  <c r="I33" i="12"/>
  <c r="I19" i="10"/>
  <c r="I11" i="9"/>
  <c r="BC73" i="23"/>
  <c r="AX73" i="23"/>
  <c r="AK73" i="23"/>
  <c r="BD73" i="23"/>
  <c r="AU63" i="23"/>
  <c r="AX63" i="23"/>
  <c r="AT92" i="23"/>
  <c r="BC92" i="23"/>
  <c r="AI92" i="23"/>
  <c r="AN70" i="23"/>
  <c r="BB70" i="23"/>
  <c r="AK69" i="23"/>
  <c r="AQ69" i="23"/>
  <c r="AI6" i="17"/>
  <c r="I19" i="11"/>
  <c r="I11" i="6"/>
  <c r="I14" i="10"/>
  <c r="AI8" i="17"/>
  <c r="AF74" i="24"/>
  <c r="AC81" i="24"/>
  <c r="Z73" i="24"/>
  <c r="AC49" i="24"/>
  <c r="AE79" i="24"/>
  <c r="AG62" i="24"/>
  <c r="AI70" i="23"/>
  <c r="AQ76" i="23"/>
  <c r="AN76" i="23"/>
  <c r="AJ76" i="23"/>
  <c r="BC69" i="23"/>
  <c r="R73" i="23"/>
  <c r="AS73" i="23"/>
  <c r="AK63" i="23"/>
  <c r="BC63" i="23"/>
  <c r="AI63" i="23"/>
  <c r="AZ92" i="23"/>
  <c r="AN92" i="23"/>
  <c r="AQ92" i="23"/>
  <c r="BA70" i="23"/>
  <c r="BC70" i="23"/>
  <c r="AW69" i="23"/>
  <c r="BA69" i="23"/>
  <c r="I19" i="12"/>
  <c r="I11" i="14"/>
  <c r="I50" i="14"/>
  <c r="I14" i="11"/>
  <c r="I25" i="7"/>
  <c r="M66" i="6" s="1"/>
  <c r="I46" i="14"/>
  <c r="AI2" i="17"/>
  <c r="AG74" i="24"/>
  <c r="X81" i="24"/>
  <c r="Y81" i="24"/>
  <c r="AA73" i="24"/>
  <c r="AF79" i="24"/>
  <c r="AB62" i="24"/>
  <c r="AS76" i="23"/>
  <c r="AV76" i="23"/>
  <c r="AR76" i="23"/>
  <c r="AM73" i="23"/>
  <c r="AI73" i="23"/>
  <c r="AS63" i="23"/>
  <c r="AN63" i="23"/>
  <c r="AQ63" i="23"/>
  <c r="BB92" i="23"/>
  <c r="AV92" i="23"/>
  <c r="AO70" i="23"/>
  <c r="BD70" i="23"/>
  <c r="AM69" i="23"/>
  <c r="Z12" i="9"/>
  <c r="Z30" i="9"/>
  <c r="Z42" i="9"/>
  <c r="Z36" i="9"/>
  <c r="Z11" i="9"/>
  <c r="AD66" i="24"/>
  <c r="AC55" i="24"/>
  <c r="AD63" i="24"/>
  <c r="X55" i="24"/>
  <c r="AH69" i="24"/>
  <c r="AG69" i="24"/>
  <c r="AF66" i="24"/>
  <c r="AD76" i="24"/>
  <c r="AZ67" i="23"/>
  <c r="AT67" i="23"/>
  <c r="AQ81" i="23"/>
  <c r="AL81" i="23"/>
  <c r="BD81" i="23"/>
  <c r="AL94" i="23"/>
  <c r="AV94" i="23"/>
  <c r="AY94" i="23"/>
  <c r="AN85" i="23"/>
  <c r="AY85" i="23"/>
  <c r="AT85" i="23"/>
  <c r="AD48" i="24"/>
  <c r="H8" i="26" s="1"/>
  <c r="AE48" i="24"/>
  <c r="I10" i="26" s="1"/>
  <c r="AG57" i="24"/>
  <c r="X57" i="24"/>
  <c r="Z25" i="9"/>
  <c r="Z34" i="9"/>
  <c r="Z32" i="9"/>
  <c r="Z22" i="9"/>
  <c r="AH55" i="24"/>
  <c r="AE66" i="24"/>
  <c r="AF55" i="24"/>
  <c r="Z69" i="24"/>
  <c r="AF76" i="24"/>
  <c r="AK67" i="23"/>
  <c r="AQ67" i="23"/>
  <c r="BB67" i="23"/>
  <c r="AY81" i="23"/>
  <c r="AT81" i="23"/>
  <c r="AK94" i="23"/>
  <c r="BD94" i="23"/>
  <c r="AP85" i="23"/>
  <c r="AJ85" i="23"/>
  <c r="BB85" i="23"/>
  <c r="AZ57" i="23"/>
  <c r="AJ57" i="23"/>
  <c r="AD52" i="24"/>
  <c r="AE52" i="24"/>
  <c r="AB58" i="24"/>
  <c r="AH58" i="24"/>
  <c r="AB47" i="24"/>
  <c r="F8" i="26" s="1"/>
  <c r="AC47" i="24"/>
  <c r="G10" i="26" s="1"/>
  <c r="M18" i="6"/>
  <c r="Z38" i="9"/>
  <c r="Z6" i="9"/>
  <c r="Z19" i="9"/>
  <c r="Z37" i="9"/>
  <c r="Z44" i="9"/>
  <c r="Z35" i="9"/>
  <c r="X11" i="21"/>
  <c r="AF11" i="21" s="1"/>
  <c r="AB55" i="24"/>
  <c r="Y55" i="24"/>
  <c r="AA69" i="24"/>
  <c r="AG76" i="24"/>
  <c r="AW67" i="23"/>
  <c r="BA67" i="23"/>
  <c r="AN67" i="23"/>
  <c r="P81" i="23"/>
  <c r="AJ81" i="23"/>
  <c r="BB81" i="23"/>
  <c r="AS94" i="23"/>
  <c r="AO94" i="23"/>
  <c r="AV85" i="23"/>
  <c r="AR85" i="23"/>
  <c r="AM85" i="23"/>
  <c r="AB54" i="24"/>
  <c r="Z54" i="24"/>
  <c r="Z10" i="9"/>
  <c r="Z40" i="9"/>
  <c r="Q55" i="6"/>
  <c r="Q60" i="6" s="1"/>
  <c r="Q22" i="7" s="1"/>
  <c r="Z28" i="9"/>
  <c r="Z13" i="9"/>
  <c r="Z24" i="9"/>
  <c r="Z43" i="9"/>
  <c r="Z48" i="9"/>
  <c r="Z14" i="9"/>
  <c r="Y66" i="24"/>
  <c r="AD55" i="24"/>
  <c r="AF69" i="24"/>
  <c r="AG55" i="24"/>
  <c r="AB69" i="24"/>
  <c r="X76" i="24"/>
  <c r="AM67" i="23"/>
  <c r="AR67" i="23"/>
  <c r="AV67" i="23"/>
  <c r="AO81" i="23"/>
  <c r="AR81" i="23"/>
  <c r="AM81" i="23"/>
  <c r="AR94" i="23"/>
  <c r="BA94" i="23"/>
  <c r="AW94" i="23"/>
  <c r="AX85" i="23"/>
  <c r="AZ85" i="23"/>
  <c r="AU85" i="23"/>
  <c r="AH50" i="24"/>
  <c r="AA50" i="24"/>
  <c r="M51" i="6"/>
  <c r="Z45" i="9"/>
  <c r="Z7" i="9"/>
  <c r="X10" i="21"/>
  <c r="AF10" i="21" s="1"/>
  <c r="AG66" i="24"/>
  <c r="AC69" i="24"/>
  <c r="AH76" i="24"/>
  <c r="AX67" i="23"/>
  <c r="BC67" i="23"/>
  <c r="BD67" i="23"/>
  <c r="AP81" i="23"/>
  <c r="AZ81" i="23"/>
  <c r="AU81" i="23"/>
  <c r="AT94" i="23"/>
  <c r="AM94" i="23"/>
  <c r="AP94" i="23"/>
  <c r="AO85" i="23"/>
  <c r="AK85" i="23"/>
  <c r="BC85" i="23"/>
  <c r="Z47" i="9"/>
  <c r="M50" i="6"/>
  <c r="M43" i="6"/>
  <c r="M63" i="6"/>
  <c r="Z9" i="9"/>
  <c r="Z17" i="9"/>
  <c r="Z29" i="9"/>
  <c r="Z46" i="9"/>
  <c r="Z18" i="9"/>
  <c r="Z27" i="9"/>
  <c r="M39" i="6"/>
  <c r="Z5" i="9"/>
  <c r="Z41" i="9"/>
  <c r="Z31" i="9"/>
  <c r="Z50" i="9"/>
  <c r="Z15" i="9"/>
  <c r="Z8" i="9"/>
  <c r="Z53" i="9" s="1"/>
  <c r="X12" i="21"/>
  <c r="AF12" i="21" s="1"/>
  <c r="AA66" i="24"/>
  <c r="Z76" i="24"/>
  <c r="AD69" i="24"/>
  <c r="Y76" i="24"/>
  <c r="AO67" i="23"/>
  <c r="AI67" i="23"/>
  <c r="AX81" i="23"/>
  <c r="AK81" i="23"/>
  <c r="BC81" i="23"/>
  <c r="AJ67" i="23"/>
  <c r="AZ94" i="23"/>
  <c r="AU94" i="23"/>
  <c r="AX94" i="23"/>
  <c r="AW85" i="23"/>
  <c r="AS85" i="23"/>
  <c r="I41" i="24"/>
  <c r="I41" i="12"/>
  <c r="I41" i="11"/>
  <c r="I41" i="10"/>
  <c r="S43" i="10" s="1"/>
  <c r="I41" i="13"/>
  <c r="AF49" i="24"/>
  <c r="AG49" i="24"/>
  <c r="Y49" i="24"/>
  <c r="X66" i="24"/>
  <c r="AB66" i="24"/>
  <c r="F10" i="26"/>
  <c r="AA55" i="24"/>
  <c r="AH66" i="24"/>
  <c r="AB76" i="24"/>
  <c r="AY67" i="23"/>
  <c r="AS67" i="23"/>
  <c r="AW81" i="23"/>
  <c r="R81" i="23"/>
  <c r="AS81" i="23"/>
  <c r="BB94" i="23"/>
  <c r="BC94" i="23"/>
  <c r="AI85" i="23"/>
  <c r="AC53" i="24"/>
  <c r="AH53" i="24"/>
  <c r="Y53" i="24"/>
  <c r="Z51" i="9"/>
  <c r="Z20" i="9"/>
  <c r="AA21" i="9"/>
  <c r="AA35" i="9"/>
  <c r="AH58" i="8"/>
  <c r="J10" i="26"/>
  <c r="K8" i="26"/>
  <c r="K10" i="26"/>
  <c r="B10" i="26"/>
  <c r="G8" i="26"/>
  <c r="C8" i="26"/>
  <c r="C10" i="26"/>
  <c r="E10" i="26"/>
  <c r="E8" i="26"/>
  <c r="L10" i="26"/>
  <c r="D10" i="26"/>
  <c r="H10" i="26"/>
  <c r="X9" i="21"/>
  <c r="AF9" i="21" s="1"/>
  <c r="AT9" i="16"/>
  <c r="AJ9" i="16"/>
  <c r="L44" i="13"/>
  <c r="L44" i="12"/>
  <c r="L48" i="12" s="1"/>
  <c r="L44" i="11"/>
  <c r="L48" i="11" s="1"/>
  <c r="L44" i="10"/>
  <c r="AA49" i="9"/>
  <c r="AA24" i="9"/>
  <c r="AA22" i="9"/>
  <c r="AA16" i="9"/>
  <c r="AA11" i="9"/>
  <c r="AA9" i="9"/>
  <c r="AA48" i="9"/>
  <c r="AA38" i="9"/>
  <c r="AA47" i="9"/>
  <c r="AA27" i="9"/>
  <c r="AA6" i="9"/>
  <c r="AA8" i="9"/>
  <c r="AA5" i="9"/>
  <c r="AA15" i="9"/>
  <c r="AA37" i="9"/>
  <c r="AA45" i="9"/>
  <c r="AA40" i="9"/>
  <c r="Q21" i="7"/>
  <c r="Q5" i="7"/>
  <c r="Q9" i="7"/>
  <c r="Q38" i="7"/>
  <c r="Q17" i="7"/>
  <c r="AA13" i="9"/>
  <c r="AA18" i="9"/>
  <c r="AA20" i="9"/>
  <c r="AA28" i="9"/>
  <c r="AA44" i="9"/>
  <c r="AA17" i="9"/>
  <c r="AA10" i="9"/>
  <c r="AA25" i="9"/>
  <c r="AA32" i="9"/>
  <c r="AA51" i="9"/>
  <c r="E37" i="5"/>
  <c r="R45" i="13"/>
  <c r="R45" i="12"/>
  <c r="R45" i="10"/>
  <c r="R45" i="11"/>
  <c r="R48" i="11" s="1"/>
  <c r="R47" i="11" s="1"/>
  <c r="AA23" i="9"/>
  <c r="AA12" i="9"/>
  <c r="AA26" i="9"/>
  <c r="AA43" i="9"/>
  <c r="F37" i="5"/>
  <c r="R46" i="13"/>
  <c r="R46" i="12"/>
  <c r="R48" i="12" s="1"/>
  <c r="R47" i="12" s="1"/>
  <c r="R46" i="11"/>
  <c r="R46" i="10"/>
  <c r="S44" i="13"/>
  <c r="S44" i="12"/>
  <c r="S44" i="10"/>
  <c r="S44" i="11"/>
  <c r="AA14" i="9"/>
  <c r="AA33" i="9"/>
  <c r="AA30" i="9"/>
  <c r="AA42" i="9"/>
  <c r="AA29" i="9"/>
  <c r="AA19" i="9"/>
  <c r="AA41" i="9"/>
  <c r="AA46" i="9"/>
  <c r="AA7" i="9"/>
  <c r="AA31" i="9"/>
  <c r="AA39" i="9"/>
  <c r="AA50" i="9"/>
  <c r="AA44" i="13"/>
  <c r="AA44" i="12"/>
  <c r="AA44" i="10"/>
  <c r="AA44" i="11"/>
  <c r="AL56" i="9"/>
  <c r="AL56" i="8"/>
  <c r="AL56" i="7"/>
  <c r="AL58" i="6"/>
  <c r="AA46" i="13"/>
  <c r="AA46" i="11"/>
  <c r="AA46" i="12"/>
  <c r="AA46" i="10"/>
  <c r="AB56" i="9"/>
  <c r="AB58" i="6"/>
  <c r="AB56" i="7"/>
  <c r="AB56" i="8"/>
  <c r="W46" i="13"/>
  <c r="W46" i="11"/>
  <c r="W46" i="12"/>
  <c r="W46" i="10"/>
  <c r="AI54" i="8"/>
  <c r="AI58" i="8" s="1"/>
  <c r="AI54" i="9"/>
  <c r="AI54" i="7"/>
  <c r="AL54" i="8"/>
  <c r="AL54" i="9"/>
  <c r="AL54" i="7"/>
  <c r="AB54" i="8"/>
  <c r="AB54" i="7"/>
  <c r="AB54" i="9"/>
  <c r="D35" i="5"/>
  <c r="N56" i="6"/>
  <c r="Q29" i="7" l="1"/>
  <c r="M23" i="6"/>
  <c r="AP78" i="23"/>
  <c r="AU78" i="23"/>
  <c r="AS78" i="23"/>
  <c r="AW78" i="23"/>
  <c r="AM78" i="23"/>
  <c r="AQ78" i="23"/>
  <c r="AO78" i="23"/>
  <c r="BB78" i="23"/>
  <c r="AK78" i="23"/>
  <c r="P78" i="23"/>
  <c r="AT78" i="23"/>
  <c r="AI78" i="23"/>
  <c r="AZ78" i="23"/>
  <c r="BD78" i="23"/>
  <c r="AL78" i="23"/>
  <c r="R78" i="23"/>
  <c r="AR78" i="23"/>
  <c r="AV78" i="23"/>
  <c r="BA78" i="23"/>
  <c r="BC78" i="23"/>
  <c r="AJ78" i="23"/>
  <c r="AN78" i="23"/>
  <c r="AY78" i="23"/>
  <c r="AX78" i="23"/>
  <c r="Q23" i="7"/>
  <c r="AC55" i="6"/>
  <c r="AC60" i="6" s="1"/>
  <c r="Q37" i="7"/>
  <c r="Q49" i="7"/>
  <c r="Q8" i="7"/>
  <c r="Q15" i="7"/>
  <c r="Q15" i="9" s="1"/>
  <c r="M37" i="6"/>
  <c r="M24" i="6"/>
  <c r="M49" i="6"/>
  <c r="M7" i="6"/>
  <c r="M32" i="6"/>
  <c r="M35" i="6"/>
  <c r="Q10" i="7"/>
  <c r="M44" i="6"/>
  <c r="M47" i="6"/>
  <c r="M42" i="6"/>
  <c r="Q32" i="7"/>
  <c r="Q7" i="7"/>
  <c r="Q16" i="7"/>
  <c r="Q18" i="7"/>
  <c r="O55" i="6"/>
  <c r="O60" i="6" s="1"/>
  <c r="M25" i="6"/>
  <c r="Y55" i="6"/>
  <c r="M46" i="6"/>
  <c r="M31" i="6"/>
  <c r="Q41" i="7"/>
  <c r="I8" i="26"/>
  <c r="M19" i="6"/>
  <c r="M34" i="6"/>
  <c r="M38" i="6"/>
  <c r="Z55" i="6"/>
  <c r="M8" i="6"/>
  <c r="M28" i="6"/>
  <c r="Q25" i="7"/>
  <c r="Q26" i="7"/>
  <c r="AA55" i="6"/>
  <c r="M45" i="6"/>
  <c r="L55" i="6"/>
  <c r="L60" i="6" s="1"/>
  <c r="M14" i="6"/>
  <c r="AF55" i="6"/>
  <c r="AF60" i="6" s="1"/>
  <c r="M36" i="6"/>
  <c r="M20" i="6"/>
  <c r="AR63" i="23"/>
  <c r="AY63" i="23"/>
  <c r="AV63" i="23"/>
  <c r="BA63" i="23"/>
  <c r="Q46" i="7"/>
  <c r="Q12" i="7"/>
  <c r="Q48" i="7"/>
  <c r="Q28" i="7"/>
  <c r="Q36" i="7"/>
  <c r="Q45" i="7"/>
  <c r="Q19" i="7"/>
  <c r="Q35" i="7"/>
  <c r="Q35" i="9" s="1"/>
  <c r="Q14" i="7"/>
  <c r="Q14" i="9" s="1"/>
  <c r="M21" i="6"/>
  <c r="M41" i="6"/>
  <c r="X55" i="6"/>
  <c r="X60" i="6" s="1"/>
  <c r="X45" i="7" s="1"/>
  <c r="X45" i="9" s="1"/>
  <c r="AE55" i="6"/>
  <c r="AE60" i="6" s="1"/>
  <c r="Q27" i="7"/>
  <c r="Q44" i="7"/>
  <c r="Q31" i="7"/>
  <c r="Q31" i="9" s="1"/>
  <c r="M33" i="6"/>
  <c r="Q51" i="7"/>
  <c r="Q11" i="7"/>
  <c r="Q33" i="7"/>
  <c r="Q6" i="7"/>
  <c r="M30" i="6"/>
  <c r="S55" i="6"/>
  <c r="S60" i="6" s="1"/>
  <c r="M48" i="6"/>
  <c r="X33" i="7"/>
  <c r="X33" i="9" s="1"/>
  <c r="X47" i="7"/>
  <c r="O17" i="7"/>
  <c r="O23" i="7"/>
  <c r="O10" i="7"/>
  <c r="O10" i="9" s="1"/>
  <c r="O21" i="7"/>
  <c r="O43" i="7"/>
  <c r="O49" i="7"/>
  <c r="O46" i="7"/>
  <c r="O46" i="9" s="1"/>
  <c r="O29" i="7"/>
  <c r="O29" i="9" s="1"/>
  <c r="O6" i="7"/>
  <c r="O6" i="9" s="1"/>
  <c r="O13" i="7"/>
  <c r="X11" i="7"/>
  <c r="X9" i="7"/>
  <c r="X34" i="7"/>
  <c r="X34" i="9" s="1"/>
  <c r="X28" i="7"/>
  <c r="X28" i="9" s="1"/>
  <c r="X20" i="7"/>
  <c r="X16" i="7"/>
  <c r="X50" i="7"/>
  <c r="X26" i="7"/>
  <c r="X26" i="9" s="1"/>
  <c r="X21" i="7"/>
  <c r="X32" i="7"/>
  <c r="X32" i="9" s="1"/>
  <c r="X27" i="7"/>
  <c r="X27" i="9" s="1"/>
  <c r="X49" i="7"/>
  <c r="X25" i="7"/>
  <c r="X46" i="7"/>
  <c r="X36" i="7"/>
  <c r="X7" i="7"/>
  <c r="X19" i="7"/>
  <c r="X19" i="9" s="1"/>
  <c r="X15" i="7"/>
  <c r="M67" i="6"/>
  <c r="M64" i="6" s="1"/>
  <c r="M70" i="6" s="1"/>
  <c r="AF53" i="7"/>
  <c r="X10" i="7"/>
  <c r="X37" i="7"/>
  <c r="X17" i="7"/>
  <c r="Q42" i="7"/>
  <c r="Q42" i="9" s="1"/>
  <c r="Q39" i="7"/>
  <c r="Q39" i="9" s="1"/>
  <c r="Q34" i="7"/>
  <c r="Q50" i="7"/>
  <c r="Q47" i="7"/>
  <c r="Q20" i="7"/>
  <c r="Q13" i="7"/>
  <c r="Q24" i="7"/>
  <c r="Q40" i="7"/>
  <c r="Q40" i="9" s="1"/>
  <c r="Q30" i="7"/>
  <c r="Q43" i="7"/>
  <c r="X5" i="7"/>
  <c r="X39" i="7"/>
  <c r="X13" i="7"/>
  <c r="X14" i="7"/>
  <c r="X14" i="9" s="1"/>
  <c r="X18" i="7"/>
  <c r="X18" i="9" s="1"/>
  <c r="AB63" i="24"/>
  <c r="AA63" i="24"/>
  <c r="Z63" i="24"/>
  <c r="X63" i="24"/>
  <c r="AF63" i="24"/>
  <c r="AH63" i="24"/>
  <c r="AC63" i="24"/>
  <c r="Y63" i="24"/>
  <c r="AG63" i="24"/>
  <c r="AE63" i="24"/>
  <c r="BD102" i="23"/>
  <c r="AL102" i="23"/>
  <c r="AQ102" i="23"/>
  <c r="AV102" i="23"/>
  <c r="BA102" i="23"/>
  <c r="AI102" i="23"/>
  <c r="AN102" i="23"/>
  <c r="AS102" i="23"/>
  <c r="AX102" i="23"/>
  <c r="BC102" i="23"/>
  <c r="AK102" i="23"/>
  <c r="AP102" i="23"/>
  <c r="AU102" i="23"/>
  <c r="AZ102" i="23"/>
  <c r="AW102" i="23"/>
  <c r="AT102" i="23"/>
  <c r="AY102" i="23"/>
  <c r="AM102" i="23"/>
  <c r="AR102" i="23"/>
  <c r="AO102" i="23"/>
  <c r="BB102" i="23"/>
  <c r="AJ102" i="23"/>
  <c r="M17" i="6"/>
  <c r="BD58" i="23"/>
  <c r="AL58" i="23"/>
  <c r="AQ58" i="23"/>
  <c r="BA58" i="23"/>
  <c r="AI58" i="23"/>
  <c r="AS58" i="23"/>
  <c r="AX58" i="23"/>
  <c r="BC58" i="23"/>
  <c r="AK58" i="23"/>
  <c r="AP58" i="23"/>
  <c r="I8" i="25" s="1"/>
  <c r="AN58" i="23"/>
  <c r="AU58" i="23"/>
  <c r="AZ58" i="23"/>
  <c r="AW58" i="23"/>
  <c r="AV58" i="23"/>
  <c r="AY58" i="23"/>
  <c r="AM58" i="23"/>
  <c r="AR58" i="23"/>
  <c r="AO58" i="23"/>
  <c r="BB58" i="23"/>
  <c r="AJ58" i="23"/>
  <c r="AT58" i="23"/>
  <c r="M22" i="6"/>
  <c r="M11" i="6"/>
  <c r="AH55" i="6"/>
  <c r="AH60" i="6" s="1"/>
  <c r="P55" i="6"/>
  <c r="P60" i="6" s="1"/>
  <c r="BC91" i="23"/>
  <c r="AK91" i="23"/>
  <c r="AO91" i="23"/>
  <c r="AU91" i="23"/>
  <c r="AZ91" i="23"/>
  <c r="AP91" i="23"/>
  <c r="AM91" i="23"/>
  <c r="AR91" i="23"/>
  <c r="AN91" i="23"/>
  <c r="BB91" i="23"/>
  <c r="AJ91" i="23"/>
  <c r="BD91" i="23"/>
  <c r="AT91" i="23"/>
  <c r="AY91" i="23"/>
  <c r="AX91" i="23"/>
  <c r="AW91" i="23"/>
  <c r="AL91" i="23"/>
  <c r="AQ91" i="23"/>
  <c r="AV91" i="23"/>
  <c r="BA91" i="23"/>
  <c r="AI91" i="23"/>
  <c r="AS91" i="23"/>
  <c r="BC98" i="23"/>
  <c r="AK98" i="23"/>
  <c r="AP98" i="23"/>
  <c r="AU98" i="23"/>
  <c r="AZ98" i="23"/>
  <c r="AW98" i="23"/>
  <c r="AM98" i="23"/>
  <c r="AR98" i="23"/>
  <c r="AO98" i="23"/>
  <c r="BB98" i="23"/>
  <c r="AJ98" i="23"/>
  <c r="AT98" i="23"/>
  <c r="AY98" i="23"/>
  <c r="AX98" i="23"/>
  <c r="BD98" i="23"/>
  <c r="AL98" i="23"/>
  <c r="AQ98" i="23"/>
  <c r="AN98" i="23"/>
  <c r="AV98" i="23"/>
  <c r="BA98" i="23"/>
  <c r="AI98" i="23"/>
  <c r="AS98" i="23"/>
  <c r="AD56" i="24"/>
  <c r="Y56" i="24"/>
  <c r="X56" i="24"/>
  <c r="B6" i="26" s="1"/>
  <c r="AC56" i="24"/>
  <c r="AF56" i="24"/>
  <c r="AB56" i="24"/>
  <c r="AE56" i="24"/>
  <c r="AA56" i="24"/>
  <c r="AG56" i="24"/>
  <c r="AH56" i="24"/>
  <c r="Z56" i="24"/>
  <c r="M29" i="6"/>
  <c r="O36" i="7"/>
  <c r="O27" i="7"/>
  <c r="O27" i="9" s="1"/>
  <c r="O12" i="7"/>
  <c r="O12" i="9" s="1"/>
  <c r="O9" i="7"/>
  <c r="O9" i="9" s="1"/>
  <c r="U55" i="6"/>
  <c r="U60" i="6" s="1"/>
  <c r="V55" i="6"/>
  <c r="M12" i="6"/>
  <c r="M26" i="6"/>
  <c r="AV77" i="23"/>
  <c r="AZ77" i="23"/>
  <c r="BC77" i="23"/>
  <c r="AN77" i="23"/>
  <c r="AR77" i="23"/>
  <c r="AW77" i="23"/>
  <c r="BB77" i="23"/>
  <c r="AJ77" i="23"/>
  <c r="AU77" i="23"/>
  <c r="AT77" i="23"/>
  <c r="AY77" i="23"/>
  <c r="AO77" i="23"/>
  <c r="AL77" i="23"/>
  <c r="AQ77" i="23"/>
  <c r="BD77" i="23"/>
  <c r="AP77" i="23"/>
  <c r="AM77" i="23"/>
  <c r="BA77" i="23"/>
  <c r="AI77" i="23"/>
  <c r="AS77" i="23"/>
  <c r="AX77" i="23"/>
  <c r="AK77" i="23"/>
  <c r="AG53" i="7"/>
  <c r="M13" i="6"/>
  <c r="M27" i="6"/>
  <c r="O30" i="7"/>
  <c r="O30" i="9" s="1"/>
  <c r="O35" i="7"/>
  <c r="O35" i="9" s="1"/>
  <c r="O48" i="7"/>
  <c r="O8" i="7"/>
  <c r="O8" i="9" s="1"/>
  <c r="O20" i="7"/>
  <c r="O51" i="7"/>
  <c r="L47" i="10"/>
  <c r="O34" i="7"/>
  <c r="O34" i="9" s="1"/>
  <c r="T43" i="10"/>
  <c r="F8" i="25"/>
  <c r="AI55" i="6"/>
  <c r="AI60" i="6" s="1"/>
  <c r="AA53" i="7"/>
  <c r="AA58" i="7" s="1"/>
  <c r="Z53" i="7"/>
  <c r="Z58" i="7" s="1"/>
  <c r="W55" i="6"/>
  <c r="W60" i="6" s="1"/>
  <c r="R55" i="6"/>
  <c r="R60" i="6" s="1"/>
  <c r="U9" i="7"/>
  <c r="U9" i="9" s="1"/>
  <c r="U11" i="7"/>
  <c r="U11" i="9" s="1"/>
  <c r="AB43" i="10"/>
  <c r="AA83" i="24"/>
  <c r="Z83" i="24"/>
  <c r="AB83" i="24"/>
  <c r="AC83" i="24"/>
  <c r="X83" i="24"/>
  <c r="AG83" i="24"/>
  <c r="AH83" i="24"/>
  <c r="L6" i="26" s="1"/>
  <c r="Y83" i="24"/>
  <c r="C6" i="26" s="1"/>
  <c r="AF83" i="24"/>
  <c r="J6" i="26" s="1"/>
  <c r="AE83" i="24"/>
  <c r="AD83" i="24"/>
  <c r="U43" i="10"/>
  <c r="O47" i="10"/>
  <c r="Z43" i="10"/>
  <c r="Y43" i="10"/>
  <c r="AA43" i="10"/>
  <c r="T47" i="10"/>
  <c r="M43" i="10"/>
  <c r="P47" i="10"/>
  <c r="R43" i="10"/>
  <c r="R48" i="10" s="1"/>
  <c r="N47" i="10"/>
  <c r="U47" i="10"/>
  <c r="Q43" i="10"/>
  <c r="W43" i="10"/>
  <c r="X47" i="10"/>
  <c r="N43" i="10"/>
  <c r="V47" i="10"/>
  <c r="O43" i="10"/>
  <c r="X43" i="10"/>
  <c r="X48" i="10" s="1"/>
  <c r="X43" i="11"/>
  <c r="Y43" i="11"/>
  <c r="P43" i="10"/>
  <c r="M47" i="10"/>
  <c r="V43" i="10"/>
  <c r="Z47" i="10"/>
  <c r="L43" i="10"/>
  <c r="L47" i="12"/>
  <c r="M8" i="26"/>
  <c r="M10" i="26"/>
  <c r="Q41" i="9"/>
  <c r="Q5" i="9"/>
  <c r="X36" i="9"/>
  <c r="Q46" i="9"/>
  <c r="Q11" i="9"/>
  <c r="Q48" i="9"/>
  <c r="Q16" i="9"/>
  <c r="Q10" i="9"/>
  <c r="Q22" i="9"/>
  <c r="O21" i="9"/>
  <c r="Q17" i="9"/>
  <c r="Q8" i="9"/>
  <c r="X7" i="9"/>
  <c r="N54" i="8"/>
  <c r="N58" i="8" s="1"/>
  <c r="N54" i="9"/>
  <c r="N54" i="7"/>
  <c r="O43" i="9"/>
  <c r="S45" i="13"/>
  <c r="S45" i="12"/>
  <c r="S45" i="10"/>
  <c r="S45" i="11"/>
  <c r="AA53" i="9"/>
  <c r="Q37" i="9"/>
  <c r="Q38" i="9"/>
  <c r="Q19" i="9"/>
  <c r="Q27" i="9"/>
  <c r="Q21" i="9"/>
  <c r="X17" i="9"/>
  <c r="X47" i="9"/>
  <c r="Q45" i="9"/>
  <c r="O23" i="9"/>
  <c r="O13" i="9"/>
  <c r="Q32" i="9"/>
  <c r="Q25" i="9"/>
  <c r="Q33" i="9"/>
  <c r="Q18" i="9"/>
  <c r="Q29" i="9"/>
  <c r="X25" i="9"/>
  <c r="X49" i="9"/>
  <c r="X21" i="9"/>
  <c r="O49" i="9"/>
  <c r="D46" i="5"/>
  <c r="Q44" i="13"/>
  <c r="Q44" i="11"/>
  <c r="Q44" i="10"/>
  <c r="Q44" i="12"/>
  <c r="O36" i="9"/>
  <c r="Q43" i="9"/>
  <c r="Q24" i="9"/>
  <c r="Q13" i="9"/>
  <c r="X10" i="9"/>
  <c r="X9" i="9"/>
  <c r="X46" i="9"/>
  <c r="F35" i="5"/>
  <c r="L46" i="13"/>
  <c r="L46" i="12"/>
  <c r="L46" i="10"/>
  <c r="L46" i="11"/>
  <c r="O17" i="9"/>
  <c r="Q36" i="9"/>
  <c r="Q12" i="9"/>
  <c r="Q49" i="9"/>
  <c r="Q9" i="9"/>
  <c r="Q26" i="9"/>
  <c r="X50" i="9"/>
  <c r="X16" i="9"/>
  <c r="X20" i="9"/>
  <c r="L47" i="11"/>
  <c r="S46" i="13"/>
  <c r="S46" i="12"/>
  <c r="S46" i="11"/>
  <c r="S46" i="10"/>
  <c r="O48" i="9"/>
  <c r="O20" i="9"/>
  <c r="O51" i="9"/>
  <c r="Q20" i="9"/>
  <c r="Q47" i="9"/>
  <c r="Q50" i="9"/>
  <c r="Q34" i="9"/>
  <c r="X5" i="9"/>
  <c r="X37" i="9"/>
  <c r="Q51" i="9"/>
  <c r="Q44" i="9"/>
  <c r="Q7" i="9"/>
  <c r="Q23" i="9"/>
  <c r="Q6" i="9"/>
  <c r="Q28" i="9"/>
  <c r="X11" i="9"/>
  <c r="X13" i="9"/>
  <c r="X39" i="9"/>
  <c r="D10" i="5"/>
  <c r="T56" i="6" s="1"/>
  <c r="L10" i="7" l="1"/>
  <c r="L10" i="9" s="1"/>
  <c r="L31" i="7"/>
  <c r="L31" i="9" s="1"/>
  <c r="L33" i="7"/>
  <c r="L33" i="9" s="1"/>
  <c r="L26" i="7"/>
  <c r="L26" i="9" s="1"/>
  <c r="L6" i="7"/>
  <c r="L6" i="9" s="1"/>
  <c r="L39" i="7"/>
  <c r="L39" i="9" s="1"/>
  <c r="L25" i="7"/>
  <c r="L25" i="9" s="1"/>
  <c r="L27" i="7"/>
  <c r="L27" i="9" s="1"/>
  <c r="L28" i="7"/>
  <c r="L28" i="9" s="1"/>
  <c r="L7" i="7"/>
  <c r="L7" i="9" s="1"/>
  <c r="L41" i="7"/>
  <c r="L41" i="9" s="1"/>
  <c r="L13" i="7"/>
  <c r="L13" i="9" s="1"/>
  <c r="L16" i="7"/>
  <c r="L16" i="9" s="1"/>
  <c r="L19" i="7"/>
  <c r="L19" i="9" s="1"/>
  <c r="L43" i="7"/>
  <c r="L43" i="9" s="1"/>
  <c r="L9" i="7"/>
  <c r="L9" i="9" s="1"/>
  <c r="L50" i="7"/>
  <c r="L50" i="9" s="1"/>
  <c r="L38" i="7"/>
  <c r="L38" i="9" s="1"/>
  <c r="L12" i="7"/>
  <c r="L12" i="9" s="1"/>
  <c r="L5" i="7"/>
  <c r="L5" i="9" s="1"/>
  <c r="L29" i="7"/>
  <c r="L29" i="9" s="1"/>
  <c r="L51" i="7"/>
  <c r="L51" i="9" s="1"/>
  <c r="L17" i="7"/>
  <c r="L17" i="9" s="1"/>
  <c r="L47" i="7"/>
  <c r="L47" i="9" s="1"/>
  <c r="L35" i="7"/>
  <c r="L35" i="9" s="1"/>
  <c r="L15" i="7"/>
  <c r="L15" i="9" s="1"/>
  <c r="L37" i="7"/>
  <c r="L37" i="9" s="1"/>
  <c r="L40" i="7"/>
  <c r="L40" i="9" s="1"/>
  <c r="L36" i="7"/>
  <c r="L36" i="9" s="1"/>
  <c r="L49" i="7"/>
  <c r="L49" i="9" s="1"/>
  <c r="L44" i="7"/>
  <c r="L44" i="9" s="1"/>
  <c r="L45" i="7"/>
  <c r="L45" i="9" s="1"/>
  <c r="S40" i="7"/>
  <c r="S20" i="7"/>
  <c r="S6" i="7"/>
  <c r="S9" i="7"/>
  <c r="S42" i="7"/>
  <c r="S45" i="7"/>
  <c r="S49" i="7"/>
  <c r="S5" i="7"/>
  <c r="S51" i="7"/>
  <c r="S26" i="7"/>
  <c r="S27" i="7"/>
  <c r="S33" i="7"/>
  <c r="S16" i="7"/>
  <c r="S17" i="7"/>
  <c r="S22" i="7"/>
  <c r="S30" i="7"/>
  <c r="S23" i="7"/>
  <c r="S21" i="7"/>
  <c r="S18" i="7"/>
  <c r="S50" i="7"/>
  <c r="S32" i="7"/>
  <c r="S12" i="7"/>
  <c r="S15" i="7"/>
  <c r="S14" i="7"/>
  <c r="S10" i="7"/>
  <c r="S29" i="7"/>
  <c r="S19" i="7"/>
  <c r="S7" i="7"/>
  <c r="S39" i="7"/>
  <c r="S37" i="7"/>
  <c r="S41" i="7"/>
  <c r="S28" i="7"/>
  <c r="S44" i="7"/>
  <c r="S13" i="7"/>
  <c r="S31" i="7"/>
  <c r="S34" i="7"/>
  <c r="S46" i="7"/>
  <c r="S48" i="7"/>
  <c r="S36" i="7"/>
  <c r="S25" i="7"/>
  <c r="S43" i="7"/>
  <c r="S38" i="7"/>
  <c r="S24" i="7"/>
  <c r="S8" i="7"/>
  <c r="S11" i="7"/>
  <c r="S47" i="7"/>
  <c r="S35" i="7"/>
  <c r="O41" i="7"/>
  <c r="O41" i="9" s="1"/>
  <c r="O14" i="7"/>
  <c r="O14" i="9" s="1"/>
  <c r="O50" i="7"/>
  <c r="O50" i="9" s="1"/>
  <c r="O18" i="7"/>
  <c r="O18" i="9" s="1"/>
  <c r="O40" i="7"/>
  <c r="O40" i="9" s="1"/>
  <c r="O28" i="7"/>
  <c r="O28" i="9" s="1"/>
  <c r="O32" i="7"/>
  <c r="O32" i="9" s="1"/>
  <c r="O5" i="7"/>
  <c r="O5" i="9" s="1"/>
  <c r="O19" i="7"/>
  <c r="O19" i="9" s="1"/>
  <c r="O53" i="9" s="1"/>
  <c r="O22" i="7"/>
  <c r="O22" i="9" s="1"/>
  <c r="O24" i="7"/>
  <c r="O24" i="9" s="1"/>
  <c r="O33" i="7"/>
  <c r="O33" i="9" s="1"/>
  <c r="O25" i="7"/>
  <c r="O25" i="9" s="1"/>
  <c r="O37" i="7"/>
  <c r="O37" i="9" s="1"/>
  <c r="O11" i="7"/>
  <c r="O11" i="9" s="1"/>
  <c r="O26" i="7"/>
  <c r="O26" i="9" s="1"/>
  <c r="O39" i="7"/>
  <c r="O39" i="9" s="1"/>
  <c r="O16" i="7"/>
  <c r="O16" i="9" s="1"/>
  <c r="L42" i="7"/>
  <c r="L42" i="9" s="1"/>
  <c r="G6" i="26"/>
  <c r="L34" i="7"/>
  <c r="L34" i="9" s="1"/>
  <c r="L20" i="7"/>
  <c r="L20" i="9" s="1"/>
  <c r="L8" i="7"/>
  <c r="L8" i="9" s="1"/>
  <c r="O15" i="7"/>
  <c r="O15" i="9" s="1"/>
  <c r="O45" i="7"/>
  <c r="O45" i="9" s="1"/>
  <c r="L11" i="7"/>
  <c r="L11" i="9" s="1"/>
  <c r="H6" i="26"/>
  <c r="U6" i="25"/>
  <c r="O42" i="7"/>
  <c r="O42" i="9" s="1"/>
  <c r="X12" i="7"/>
  <c r="X12" i="9" s="1"/>
  <c r="X8" i="7"/>
  <c r="X8" i="9" s="1"/>
  <c r="X44" i="7"/>
  <c r="X44" i="9" s="1"/>
  <c r="X6" i="7"/>
  <c r="X6" i="9" s="1"/>
  <c r="X53" i="9" s="1"/>
  <c r="L48" i="7"/>
  <c r="L48" i="9" s="1"/>
  <c r="L24" i="7"/>
  <c r="L24" i="9" s="1"/>
  <c r="O7" i="7"/>
  <c r="O7" i="9" s="1"/>
  <c r="O31" i="7"/>
  <c r="O31" i="9" s="1"/>
  <c r="I6" i="26"/>
  <c r="D6" i="26"/>
  <c r="P6" i="25"/>
  <c r="O38" i="7"/>
  <c r="O38" i="9" s="1"/>
  <c r="L14" i="7"/>
  <c r="L14" i="9" s="1"/>
  <c r="L22" i="7"/>
  <c r="L22" i="9" s="1"/>
  <c r="O44" i="7"/>
  <c r="O44" i="9" s="1"/>
  <c r="O47" i="7"/>
  <c r="O47" i="9" s="1"/>
  <c r="X38" i="7"/>
  <c r="X38" i="9" s="1"/>
  <c r="X31" i="7"/>
  <c r="X31" i="9" s="1"/>
  <c r="X48" i="7"/>
  <c r="X48" i="9" s="1"/>
  <c r="X24" i="7"/>
  <c r="X24" i="9" s="1"/>
  <c r="X29" i="7"/>
  <c r="X29" i="9" s="1"/>
  <c r="X35" i="7"/>
  <c r="X35" i="9" s="1"/>
  <c r="X42" i="7"/>
  <c r="X42" i="9" s="1"/>
  <c r="X51" i="7"/>
  <c r="X51" i="9" s="1"/>
  <c r="X30" i="7"/>
  <c r="X30" i="9" s="1"/>
  <c r="X43" i="7"/>
  <c r="X43" i="9" s="1"/>
  <c r="X22" i="7"/>
  <c r="X22" i="9" s="1"/>
  <c r="X41" i="7"/>
  <c r="X41" i="9" s="1"/>
  <c r="X23" i="7"/>
  <c r="X23" i="9" s="1"/>
  <c r="X40" i="7"/>
  <c r="X40" i="9" s="1"/>
  <c r="AC49" i="7"/>
  <c r="AC19" i="7"/>
  <c r="AC6" i="7"/>
  <c r="AC38" i="7"/>
  <c r="AC39" i="7"/>
  <c r="AC40" i="7"/>
  <c r="AC7" i="7"/>
  <c r="AC24" i="7"/>
  <c r="AC37" i="7"/>
  <c r="AC44" i="7"/>
  <c r="AC30" i="7"/>
  <c r="AC34" i="7"/>
  <c r="AC25" i="7"/>
  <c r="AC48" i="7"/>
  <c r="AC42" i="7"/>
  <c r="AC36" i="7"/>
  <c r="AC13" i="7"/>
  <c r="AC20" i="7"/>
  <c r="AC10" i="7"/>
  <c r="AC17" i="7"/>
  <c r="AC28" i="7"/>
  <c r="AC26" i="7"/>
  <c r="AC22" i="7"/>
  <c r="AC50" i="7"/>
  <c r="AC16" i="7"/>
  <c r="AC5" i="7"/>
  <c r="AC8" i="7"/>
  <c r="AC33" i="7"/>
  <c r="AC23" i="7"/>
  <c r="AC29" i="7"/>
  <c r="AC18" i="7"/>
  <c r="AC45" i="7"/>
  <c r="AC14" i="7"/>
  <c r="AC11" i="7"/>
  <c r="AC27" i="7"/>
  <c r="AC31" i="7"/>
  <c r="AC51" i="7"/>
  <c r="AC47" i="7"/>
  <c r="AC12" i="7"/>
  <c r="AC9" i="7"/>
  <c r="AC32" i="7"/>
  <c r="AC43" i="7"/>
  <c r="AC15" i="7"/>
  <c r="AC35" i="7"/>
  <c r="AC21" i="7"/>
  <c r="AC41" i="7"/>
  <c r="AC46" i="7"/>
  <c r="L21" i="7"/>
  <c r="L21" i="9" s="1"/>
  <c r="L30" i="7"/>
  <c r="L30" i="9" s="1"/>
  <c r="L23" i="7"/>
  <c r="L23" i="9" s="1"/>
  <c r="L46" i="7"/>
  <c r="L46" i="9" s="1"/>
  <c r="L32" i="7"/>
  <c r="L32" i="9" s="1"/>
  <c r="L18" i="7"/>
  <c r="L18" i="9" s="1"/>
  <c r="O48" i="10"/>
  <c r="O22" i="11" s="1"/>
  <c r="O22" i="12" s="1"/>
  <c r="Q53" i="7"/>
  <c r="Q58" i="7" s="1"/>
  <c r="Q40" i="8" s="1"/>
  <c r="Q40" i="23" s="1"/>
  <c r="Q92" i="23" s="1"/>
  <c r="Q30" i="9"/>
  <c r="P48" i="10"/>
  <c r="V48" i="10"/>
  <c r="M55" i="6"/>
  <c r="M60" i="6" s="1"/>
  <c r="M13" i="7" s="1"/>
  <c r="M13" i="9" s="1"/>
  <c r="Q11" i="8"/>
  <c r="Q24" i="8"/>
  <c r="Q24" i="23" s="1"/>
  <c r="Q76" i="23" s="1"/>
  <c r="X15" i="9"/>
  <c r="E6" i="26"/>
  <c r="C10" i="25"/>
  <c r="C6" i="25"/>
  <c r="C8" i="25"/>
  <c r="S10" i="25"/>
  <c r="S6" i="25"/>
  <c r="S8" i="25"/>
  <c r="B8" i="25"/>
  <c r="B6" i="25"/>
  <c r="B10" i="25"/>
  <c r="Z28" i="8"/>
  <c r="Y28" i="23" s="1"/>
  <c r="Y80" i="23" s="1"/>
  <c r="Z33" i="8"/>
  <c r="Y33" i="23" s="1"/>
  <c r="Y85" i="23" s="1"/>
  <c r="Z37" i="8"/>
  <c r="Y37" i="23" s="1"/>
  <c r="Y89" i="23" s="1"/>
  <c r="Z22" i="8"/>
  <c r="Y22" i="23" s="1"/>
  <c r="Y74" i="23" s="1"/>
  <c r="Z18" i="8"/>
  <c r="Y18" i="23" s="1"/>
  <c r="Y70" i="23" s="1"/>
  <c r="Z9" i="8"/>
  <c r="Y9" i="23" s="1"/>
  <c r="Y61" i="23" s="1"/>
  <c r="Z47" i="8"/>
  <c r="Y47" i="23" s="1"/>
  <c r="Y99" i="23" s="1"/>
  <c r="Z15" i="8"/>
  <c r="Y15" i="23" s="1"/>
  <c r="Y67" i="23" s="1"/>
  <c r="Z19" i="8"/>
  <c r="Y19" i="23" s="1"/>
  <c r="Y71" i="23" s="1"/>
  <c r="Z11" i="8"/>
  <c r="Y11" i="23" s="1"/>
  <c r="Y63" i="23" s="1"/>
  <c r="Z8" i="8"/>
  <c r="Y8" i="23" s="1"/>
  <c r="Y60" i="23" s="1"/>
  <c r="Z16" i="8"/>
  <c r="Y16" i="23" s="1"/>
  <c r="Y68" i="23" s="1"/>
  <c r="Z21" i="8"/>
  <c r="Y21" i="23" s="1"/>
  <c r="Y73" i="23" s="1"/>
  <c r="Z39" i="8"/>
  <c r="Y39" i="23" s="1"/>
  <c r="Y91" i="23" s="1"/>
  <c r="Z29" i="8"/>
  <c r="Y29" i="23" s="1"/>
  <c r="Y81" i="23" s="1"/>
  <c r="Z35" i="8"/>
  <c r="Y35" i="23" s="1"/>
  <c r="Y87" i="23" s="1"/>
  <c r="Z46" i="8"/>
  <c r="Y46" i="23" s="1"/>
  <c r="Y98" i="23" s="1"/>
  <c r="Z36" i="8"/>
  <c r="Y36" i="23" s="1"/>
  <c r="Y88" i="23" s="1"/>
  <c r="Z27" i="8"/>
  <c r="Y27" i="23" s="1"/>
  <c r="Y79" i="23" s="1"/>
  <c r="Z13" i="8"/>
  <c r="Y13" i="23" s="1"/>
  <c r="Y65" i="23" s="1"/>
  <c r="Z42" i="8"/>
  <c r="Y42" i="23" s="1"/>
  <c r="Y94" i="23" s="1"/>
  <c r="Z10" i="8"/>
  <c r="Y10" i="23" s="1"/>
  <c r="Y62" i="23" s="1"/>
  <c r="Z20" i="8"/>
  <c r="Y20" i="23" s="1"/>
  <c r="Y72" i="23" s="1"/>
  <c r="Z31" i="8"/>
  <c r="Y31" i="23" s="1"/>
  <c r="Y83" i="23" s="1"/>
  <c r="Z12" i="8"/>
  <c r="Y12" i="23" s="1"/>
  <c r="Y64" i="23" s="1"/>
  <c r="Z50" i="8"/>
  <c r="Y50" i="23" s="1"/>
  <c r="Y102" i="23" s="1"/>
  <c r="Z24" i="8"/>
  <c r="Y24" i="23" s="1"/>
  <c r="Y76" i="23" s="1"/>
  <c r="Z14" i="8"/>
  <c r="Y14" i="23" s="1"/>
  <c r="Y66" i="23" s="1"/>
  <c r="Z38" i="8"/>
  <c r="Y38" i="23" s="1"/>
  <c r="Y90" i="23" s="1"/>
  <c r="Z34" i="8"/>
  <c r="Y34" i="23" s="1"/>
  <c r="Y86" i="23" s="1"/>
  <c r="Z51" i="8"/>
  <c r="Y51" i="23" s="1"/>
  <c r="Y103" i="23" s="1"/>
  <c r="Z41" i="8"/>
  <c r="Y41" i="23" s="1"/>
  <c r="Y93" i="23" s="1"/>
  <c r="Z48" i="8"/>
  <c r="Y48" i="23" s="1"/>
  <c r="Y100" i="23" s="1"/>
  <c r="Z17" i="8"/>
  <c r="Y17" i="23" s="1"/>
  <c r="Y69" i="23" s="1"/>
  <c r="Z40" i="8"/>
  <c r="Y40" i="23" s="1"/>
  <c r="Y92" i="23" s="1"/>
  <c r="Z5" i="8"/>
  <c r="Z6" i="8"/>
  <c r="Y6" i="23" s="1"/>
  <c r="Y58" i="23" s="1"/>
  <c r="Z7" i="8"/>
  <c r="Y7" i="23" s="1"/>
  <c r="Y59" i="23" s="1"/>
  <c r="Z45" i="8"/>
  <c r="Y45" i="23" s="1"/>
  <c r="Y97" i="23" s="1"/>
  <c r="Z30" i="8"/>
  <c r="Y30" i="23" s="1"/>
  <c r="Y82" i="23" s="1"/>
  <c r="Z23" i="8"/>
  <c r="Y23" i="23" s="1"/>
  <c r="Y75" i="23" s="1"/>
  <c r="Z49" i="8"/>
  <c r="Y49" i="23" s="1"/>
  <c r="Y101" i="23" s="1"/>
  <c r="Z44" i="8"/>
  <c r="Y44" i="23" s="1"/>
  <c r="Y96" i="23" s="1"/>
  <c r="Z26" i="8"/>
  <c r="Y26" i="23" s="1"/>
  <c r="Y78" i="23" s="1"/>
  <c r="Z43" i="8"/>
  <c r="Y43" i="23" s="1"/>
  <c r="Y95" i="23" s="1"/>
  <c r="Z25" i="8"/>
  <c r="Y25" i="23" s="1"/>
  <c r="Y77" i="23" s="1"/>
  <c r="Z32" i="8"/>
  <c r="Y32" i="23" s="1"/>
  <c r="Y84" i="23" s="1"/>
  <c r="L48" i="10"/>
  <c r="AA51" i="8"/>
  <c r="Z51" i="23" s="1"/>
  <c r="Z103" i="23" s="1"/>
  <c r="AA20" i="8"/>
  <c r="Z20" i="23" s="1"/>
  <c r="Z72" i="23" s="1"/>
  <c r="AA24" i="8"/>
  <c r="Z24" i="23" s="1"/>
  <c r="Z76" i="23" s="1"/>
  <c r="AA44" i="8"/>
  <c r="Z44" i="23" s="1"/>
  <c r="Z96" i="23" s="1"/>
  <c r="AA31" i="8"/>
  <c r="Z31" i="23" s="1"/>
  <c r="Z83" i="23" s="1"/>
  <c r="AA10" i="8"/>
  <c r="Z10" i="23" s="1"/>
  <c r="Z62" i="23" s="1"/>
  <c r="AA50" i="8"/>
  <c r="Z50" i="23" s="1"/>
  <c r="Z102" i="23" s="1"/>
  <c r="AA25" i="8"/>
  <c r="Z25" i="23" s="1"/>
  <c r="Z77" i="23" s="1"/>
  <c r="AA11" i="8"/>
  <c r="Z11" i="23" s="1"/>
  <c r="Z63" i="23" s="1"/>
  <c r="AA42" i="8"/>
  <c r="Z42" i="23" s="1"/>
  <c r="Z94" i="23" s="1"/>
  <c r="AA23" i="8"/>
  <c r="Z23" i="23" s="1"/>
  <c r="Z75" i="23" s="1"/>
  <c r="AA13" i="8"/>
  <c r="Z13" i="23" s="1"/>
  <c r="Z65" i="23" s="1"/>
  <c r="AA27" i="8"/>
  <c r="Z27" i="23" s="1"/>
  <c r="Z79" i="23" s="1"/>
  <c r="AA6" i="8"/>
  <c r="Z6" i="23" s="1"/>
  <c r="Z58" i="23" s="1"/>
  <c r="AA35" i="8"/>
  <c r="Z35" i="23" s="1"/>
  <c r="Z87" i="23" s="1"/>
  <c r="AA15" i="8"/>
  <c r="Z15" i="23" s="1"/>
  <c r="Z67" i="23" s="1"/>
  <c r="AA32" i="8"/>
  <c r="Z32" i="23" s="1"/>
  <c r="Z84" i="23" s="1"/>
  <c r="AA29" i="8"/>
  <c r="Z29" i="23" s="1"/>
  <c r="Z81" i="23" s="1"/>
  <c r="AA30" i="8"/>
  <c r="Z30" i="23" s="1"/>
  <c r="Z82" i="23" s="1"/>
  <c r="AA12" i="8"/>
  <c r="Z12" i="23" s="1"/>
  <c r="Z64" i="23" s="1"/>
  <c r="AA36" i="8"/>
  <c r="Z36" i="23" s="1"/>
  <c r="Z88" i="23" s="1"/>
  <c r="AA9" i="8"/>
  <c r="Z9" i="23" s="1"/>
  <c r="Z61" i="23" s="1"/>
  <c r="AA19" i="8"/>
  <c r="Z19" i="23" s="1"/>
  <c r="Z71" i="23" s="1"/>
  <c r="AA17" i="8"/>
  <c r="Z17" i="23" s="1"/>
  <c r="Z69" i="23" s="1"/>
  <c r="AA41" i="8"/>
  <c r="Z41" i="23" s="1"/>
  <c r="Z93" i="23" s="1"/>
  <c r="AA16" i="8"/>
  <c r="Z16" i="23" s="1"/>
  <c r="Z68" i="23" s="1"/>
  <c r="AA14" i="8"/>
  <c r="Z14" i="23" s="1"/>
  <c r="Z66" i="23" s="1"/>
  <c r="AA47" i="8"/>
  <c r="Z47" i="23" s="1"/>
  <c r="Z99" i="23" s="1"/>
  <c r="AA22" i="8"/>
  <c r="Z22" i="23" s="1"/>
  <c r="Z74" i="23" s="1"/>
  <c r="AA48" i="8"/>
  <c r="Z48" i="23" s="1"/>
  <c r="Z100" i="23" s="1"/>
  <c r="AA38" i="8"/>
  <c r="Z38" i="23" s="1"/>
  <c r="Z90" i="23" s="1"/>
  <c r="AA46" i="8"/>
  <c r="Z46" i="23" s="1"/>
  <c r="Z98" i="23" s="1"/>
  <c r="AA28" i="8"/>
  <c r="Z28" i="23" s="1"/>
  <c r="Z80" i="23" s="1"/>
  <c r="AA5" i="8"/>
  <c r="AA7" i="8"/>
  <c r="Z7" i="23" s="1"/>
  <c r="Z59" i="23" s="1"/>
  <c r="AA37" i="8"/>
  <c r="Z37" i="23" s="1"/>
  <c r="Z89" i="23" s="1"/>
  <c r="AA18" i="8"/>
  <c r="Z18" i="23" s="1"/>
  <c r="Z70" i="23" s="1"/>
  <c r="AA45" i="8"/>
  <c r="Z45" i="23" s="1"/>
  <c r="Z97" i="23" s="1"/>
  <c r="AA33" i="8"/>
  <c r="Z33" i="23" s="1"/>
  <c r="Z85" i="23" s="1"/>
  <c r="AA39" i="8"/>
  <c r="Z39" i="23" s="1"/>
  <c r="Z91" i="23" s="1"/>
  <c r="AA49" i="8"/>
  <c r="Z49" i="23" s="1"/>
  <c r="Z101" i="23" s="1"/>
  <c r="AA8" i="8"/>
  <c r="Z8" i="23" s="1"/>
  <c r="Z60" i="23" s="1"/>
  <c r="AA43" i="8"/>
  <c r="Z43" i="23" s="1"/>
  <c r="Z95" i="23" s="1"/>
  <c r="AA34" i="8"/>
  <c r="Z34" i="23" s="1"/>
  <c r="Z86" i="23" s="1"/>
  <c r="AA40" i="8"/>
  <c r="Z40" i="23" s="1"/>
  <c r="Z92" i="23" s="1"/>
  <c r="AA26" i="8"/>
  <c r="Z26" i="23" s="1"/>
  <c r="Z78" i="23" s="1"/>
  <c r="AA21" i="8"/>
  <c r="Z21" i="23" s="1"/>
  <c r="Z73" i="23" s="1"/>
  <c r="Y56" i="6"/>
  <c r="V60" i="6"/>
  <c r="V56" i="6"/>
  <c r="U8" i="25"/>
  <c r="U10" i="25"/>
  <c r="N8" i="25"/>
  <c r="N6" i="25"/>
  <c r="N10" i="25"/>
  <c r="T10" i="25"/>
  <c r="T6" i="25"/>
  <c r="T8" i="25"/>
  <c r="AI38" i="7"/>
  <c r="AI38" i="9" s="1"/>
  <c r="AI6" i="7"/>
  <c r="AI6" i="9" s="1"/>
  <c r="AI17" i="7"/>
  <c r="AI17" i="9" s="1"/>
  <c r="AI49" i="7"/>
  <c r="AI49" i="9" s="1"/>
  <c r="AI36" i="7"/>
  <c r="AI36" i="9" s="1"/>
  <c r="AI44" i="7"/>
  <c r="AI30" i="7"/>
  <c r="AI30" i="9" s="1"/>
  <c r="AI41" i="7"/>
  <c r="AI41" i="9" s="1"/>
  <c r="AI9" i="7"/>
  <c r="AI9" i="9" s="1"/>
  <c r="AI19" i="7"/>
  <c r="AI19" i="9" s="1"/>
  <c r="AI47" i="7"/>
  <c r="AI47" i="9" s="1"/>
  <c r="AI23" i="7"/>
  <c r="AI23" i="9" s="1"/>
  <c r="AI50" i="7"/>
  <c r="AI50" i="9" s="1"/>
  <c r="AI18" i="7"/>
  <c r="AI18" i="9" s="1"/>
  <c r="AI29" i="7"/>
  <c r="AI29" i="9" s="1"/>
  <c r="AI27" i="7"/>
  <c r="AI27" i="9" s="1"/>
  <c r="AI40" i="7"/>
  <c r="AI40" i="9" s="1"/>
  <c r="AI39" i="7"/>
  <c r="AI39" i="9" s="1"/>
  <c r="AI34" i="7"/>
  <c r="AI34" i="9" s="1"/>
  <c r="AI25" i="7"/>
  <c r="AI25" i="9" s="1"/>
  <c r="AI15" i="7"/>
  <c r="AI15" i="9" s="1"/>
  <c r="AI16" i="7"/>
  <c r="AI26" i="7"/>
  <c r="AI26" i="9" s="1"/>
  <c r="AI21" i="7"/>
  <c r="AI7" i="7"/>
  <c r="AI7" i="9" s="1"/>
  <c r="AI31" i="7"/>
  <c r="AI31" i="9" s="1"/>
  <c r="AI11" i="7"/>
  <c r="AI11" i="9" s="1"/>
  <c r="AI22" i="7"/>
  <c r="AI22" i="9" s="1"/>
  <c r="AI13" i="7"/>
  <c r="AI12" i="7"/>
  <c r="AI12" i="9" s="1"/>
  <c r="AI10" i="7"/>
  <c r="AI43" i="7"/>
  <c r="AI43" i="9" s="1"/>
  <c r="AI32" i="7"/>
  <c r="AI32" i="9" s="1"/>
  <c r="AI14" i="7"/>
  <c r="AI14" i="9" s="1"/>
  <c r="AI5" i="7"/>
  <c r="AI8" i="7"/>
  <c r="AI45" i="7"/>
  <c r="AI45" i="9" s="1"/>
  <c r="AI48" i="7"/>
  <c r="AI48" i="9" s="1"/>
  <c r="AI28" i="7"/>
  <c r="AI28" i="9" s="1"/>
  <c r="AI46" i="7"/>
  <c r="AI46" i="9" s="1"/>
  <c r="AI37" i="7"/>
  <c r="AI37" i="9" s="1"/>
  <c r="AI51" i="7"/>
  <c r="AI24" i="7"/>
  <c r="AI24" i="9" s="1"/>
  <c r="AI42" i="7"/>
  <c r="AI33" i="7"/>
  <c r="AI33" i="9" s="1"/>
  <c r="AI35" i="7"/>
  <c r="AI35" i="9" s="1"/>
  <c r="AI20" i="7"/>
  <c r="AI20" i="9" s="1"/>
  <c r="U43" i="7"/>
  <c r="U31" i="7"/>
  <c r="U31" i="9" s="1"/>
  <c r="U38" i="7"/>
  <c r="U38" i="9" s="1"/>
  <c r="U41" i="7"/>
  <c r="U41" i="9" s="1"/>
  <c r="U21" i="7"/>
  <c r="U21" i="9" s="1"/>
  <c r="U16" i="7"/>
  <c r="U23" i="7"/>
  <c r="U23" i="9" s="1"/>
  <c r="U30" i="7"/>
  <c r="U30" i="9" s="1"/>
  <c r="U48" i="7"/>
  <c r="U28" i="7"/>
  <c r="U28" i="9" s="1"/>
  <c r="U13" i="7"/>
  <c r="U13" i="9" s="1"/>
  <c r="U47" i="7"/>
  <c r="U7" i="7"/>
  <c r="U7" i="9" s="1"/>
  <c r="U14" i="7"/>
  <c r="U29" i="7"/>
  <c r="U29" i="9" s="1"/>
  <c r="U24" i="7"/>
  <c r="U24" i="9" s="1"/>
  <c r="U15" i="7"/>
  <c r="U25" i="7"/>
  <c r="U25" i="9" s="1"/>
  <c r="U20" i="7"/>
  <c r="U20" i="9" s="1"/>
  <c r="U46" i="7"/>
  <c r="U46" i="9" s="1"/>
  <c r="U33" i="7"/>
  <c r="U8" i="7"/>
  <c r="U17" i="7"/>
  <c r="U17" i="9" s="1"/>
  <c r="U50" i="7"/>
  <c r="U50" i="9" s="1"/>
  <c r="U42" i="7"/>
  <c r="U42" i="9" s="1"/>
  <c r="U39" i="7"/>
  <c r="U36" i="7"/>
  <c r="U36" i="9" s="1"/>
  <c r="U37" i="7"/>
  <c r="U37" i="9" s="1"/>
  <c r="U51" i="7"/>
  <c r="U51" i="9" s="1"/>
  <c r="U34" i="7"/>
  <c r="U40" i="7"/>
  <c r="U40" i="9" s="1"/>
  <c r="U5" i="7"/>
  <c r="U26" i="7"/>
  <c r="U35" i="7"/>
  <c r="U35" i="9" s="1"/>
  <c r="U18" i="7"/>
  <c r="U18" i="9" s="1"/>
  <c r="U12" i="7"/>
  <c r="U27" i="7"/>
  <c r="U27" i="9" s="1"/>
  <c r="U10" i="7"/>
  <c r="U45" i="7"/>
  <c r="U45" i="9" s="1"/>
  <c r="U19" i="7"/>
  <c r="U19" i="9" s="1"/>
  <c r="U6" i="7"/>
  <c r="U6" i="9" s="1"/>
  <c r="U44" i="7"/>
  <c r="U44" i="9" s="1"/>
  <c r="P9" i="7"/>
  <c r="P9" i="9" s="1"/>
  <c r="P23" i="7"/>
  <c r="P23" i="9" s="1"/>
  <c r="P14" i="7"/>
  <c r="P14" i="9" s="1"/>
  <c r="P37" i="7"/>
  <c r="P49" i="7"/>
  <c r="P49" i="9" s="1"/>
  <c r="P41" i="7"/>
  <c r="P41" i="9" s="1"/>
  <c r="P28" i="7"/>
  <c r="P28" i="9" s="1"/>
  <c r="P22" i="7"/>
  <c r="P22" i="9" s="1"/>
  <c r="P27" i="7"/>
  <c r="P27" i="9" s="1"/>
  <c r="P43" i="7"/>
  <c r="P43" i="9" s="1"/>
  <c r="P32" i="7"/>
  <c r="P32" i="9" s="1"/>
  <c r="P29" i="7"/>
  <c r="P29" i="9" s="1"/>
  <c r="P16" i="7"/>
  <c r="P16" i="9" s="1"/>
  <c r="P6" i="7"/>
  <c r="P6" i="9" s="1"/>
  <c r="P45" i="7"/>
  <c r="P45" i="9" s="1"/>
  <c r="P33" i="7"/>
  <c r="P33" i="9" s="1"/>
  <c r="P25" i="7"/>
  <c r="P25" i="9" s="1"/>
  <c r="P12" i="7"/>
  <c r="P12" i="9" s="1"/>
  <c r="P7" i="7"/>
  <c r="P7" i="9" s="1"/>
  <c r="P42" i="7"/>
  <c r="P31" i="7"/>
  <c r="P31" i="9" s="1"/>
  <c r="P8" i="7"/>
  <c r="P51" i="7"/>
  <c r="P51" i="9" s="1"/>
  <c r="P40" i="7"/>
  <c r="P40" i="9" s="1"/>
  <c r="P21" i="7"/>
  <c r="P21" i="9" s="1"/>
  <c r="P30" i="7"/>
  <c r="P30" i="9" s="1"/>
  <c r="P26" i="7"/>
  <c r="P26" i="9" s="1"/>
  <c r="P46" i="7"/>
  <c r="P13" i="7"/>
  <c r="P13" i="9" s="1"/>
  <c r="P18" i="7"/>
  <c r="P18" i="9" s="1"/>
  <c r="P39" i="7"/>
  <c r="P39" i="9" s="1"/>
  <c r="P44" i="7"/>
  <c r="P44" i="9" s="1"/>
  <c r="P17" i="7"/>
  <c r="P17" i="9" s="1"/>
  <c r="P38" i="7"/>
  <c r="P38" i="9" s="1"/>
  <c r="P48" i="7"/>
  <c r="P48" i="9" s="1"/>
  <c r="P19" i="7"/>
  <c r="P50" i="7"/>
  <c r="P50" i="9" s="1"/>
  <c r="P20" i="7"/>
  <c r="P20" i="9" s="1"/>
  <c r="P5" i="7"/>
  <c r="P15" i="7"/>
  <c r="P15" i="9" s="1"/>
  <c r="P47" i="7"/>
  <c r="P47" i="9" s="1"/>
  <c r="P11" i="7"/>
  <c r="P11" i="9" s="1"/>
  <c r="P24" i="7"/>
  <c r="P24" i="9" s="1"/>
  <c r="P10" i="7"/>
  <c r="P35" i="7"/>
  <c r="P35" i="9" s="1"/>
  <c r="P36" i="7"/>
  <c r="P36" i="9" s="1"/>
  <c r="P34" i="7"/>
  <c r="P34" i="9" s="1"/>
  <c r="H8" i="25"/>
  <c r="H10" i="25"/>
  <c r="H6" i="25"/>
  <c r="G8" i="25"/>
  <c r="G10" i="25"/>
  <c r="G6" i="25"/>
  <c r="J6" i="25"/>
  <c r="J8" i="25"/>
  <c r="J10" i="25"/>
  <c r="Z48" i="10"/>
  <c r="K6" i="26"/>
  <c r="U22" i="7"/>
  <c r="AH47" i="7"/>
  <c r="AH47" i="9" s="1"/>
  <c r="AH37" i="7"/>
  <c r="AH37" i="9" s="1"/>
  <c r="AH12" i="7"/>
  <c r="AH12" i="9" s="1"/>
  <c r="AH38" i="7"/>
  <c r="AH38" i="9" s="1"/>
  <c r="AH42" i="7"/>
  <c r="AH42" i="9" s="1"/>
  <c r="AH40" i="7"/>
  <c r="AH40" i="9" s="1"/>
  <c r="AH44" i="7"/>
  <c r="AH44" i="9" s="1"/>
  <c r="AH18" i="7"/>
  <c r="AH24" i="7"/>
  <c r="AH36" i="7"/>
  <c r="AH45" i="7"/>
  <c r="AH35" i="7"/>
  <c r="AH15" i="7"/>
  <c r="AH15" i="9" s="1"/>
  <c r="AH16" i="7"/>
  <c r="AH16" i="9" s="1"/>
  <c r="AH32" i="7"/>
  <c r="AH32" i="9" s="1"/>
  <c r="AH28" i="7"/>
  <c r="AH28" i="9" s="1"/>
  <c r="AH6" i="7"/>
  <c r="AH5" i="7"/>
  <c r="AH51" i="7"/>
  <c r="AH51" i="9" s="1"/>
  <c r="AH29" i="7"/>
  <c r="AH29" i="9" s="1"/>
  <c r="AH10" i="7"/>
  <c r="AH10" i="9" s="1"/>
  <c r="AH30" i="7"/>
  <c r="AH30" i="9" s="1"/>
  <c r="AH7" i="7"/>
  <c r="AH7" i="9" s="1"/>
  <c r="AH9" i="7"/>
  <c r="AH25" i="7"/>
  <c r="AH46" i="7"/>
  <c r="AH19" i="7"/>
  <c r="AH19" i="9" s="1"/>
  <c r="AH48" i="7"/>
  <c r="AH48" i="9" s="1"/>
  <c r="AH50" i="7"/>
  <c r="AH50" i="9" s="1"/>
  <c r="AH20" i="7"/>
  <c r="AH20" i="9" s="1"/>
  <c r="AH31" i="7"/>
  <c r="AH43" i="7"/>
  <c r="AH43" i="9" s="1"/>
  <c r="AH8" i="7"/>
  <c r="AH8" i="9" s="1"/>
  <c r="AH34" i="7"/>
  <c r="AH34" i="9" s="1"/>
  <c r="AH17" i="7"/>
  <c r="AH17" i="9" s="1"/>
  <c r="AH41" i="7"/>
  <c r="AH13" i="7"/>
  <c r="AH13" i="9" s="1"/>
  <c r="AH39" i="7"/>
  <c r="AH23" i="7"/>
  <c r="AH23" i="9" s="1"/>
  <c r="AH33" i="7"/>
  <c r="AH33" i="9" s="1"/>
  <c r="AH22" i="7"/>
  <c r="AH22" i="9" s="1"/>
  <c r="AH21" i="7"/>
  <c r="AH21" i="9" s="1"/>
  <c r="AH11" i="7"/>
  <c r="AH11" i="9" s="1"/>
  <c r="AH14" i="7"/>
  <c r="AH26" i="7"/>
  <c r="AH26" i="9" s="1"/>
  <c r="AH49" i="7"/>
  <c r="AH49" i="9" s="1"/>
  <c r="AH27" i="7"/>
  <c r="AH27" i="9" s="1"/>
  <c r="K8" i="25"/>
  <c r="K10" i="25"/>
  <c r="K6" i="25"/>
  <c r="I6" i="25"/>
  <c r="I10" i="25"/>
  <c r="E6" i="25"/>
  <c r="E8" i="25"/>
  <c r="E10" i="25"/>
  <c r="O8" i="11"/>
  <c r="O8" i="13" s="1"/>
  <c r="U49" i="7"/>
  <c r="F6" i="25"/>
  <c r="F10" i="25"/>
  <c r="D10" i="25"/>
  <c r="D6" i="25"/>
  <c r="D8" i="25"/>
  <c r="W8" i="25"/>
  <c r="W6" i="25"/>
  <c r="W10" i="25"/>
  <c r="N48" i="10"/>
  <c r="M48" i="10"/>
  <c r="M21" i="11" s="1"/>
  <c r="U32" i="7"/>
  <c r="R6" i="25"/>
  <c r="R10" i="25"/>
  <c r="R8" i="25"/>
  <c r="V10" i="25"/>
  <c r="V6" i="25"/>
  <c r="V8" i="25"/>
  <c r="F6" i="26"/>
  <c r="R39" i="7"/>
  <c r="R39" i="9" s="1"/>
  <c r="R16" i="7"/>
  <c r="R16" i="9" s="1"/>
  <c r="R7" i="7"/>
  <c r="R7" i="9" s="1"/>
  <c r="R49" i="7"/>
  <c r="R49" i="9" s="1"/>
  <c r="R26" i="7"/>
  <c r="R26" i="9" s="1"/>
  <c r="R31" i="7"/>
  <c r="R31" i="9" s="1"/>
  <c r="R8" i="7"/>
  <c r="R8" i="9" s="1"/>
  <c r="R21" i="7"/>
  <c r="R21" i="9" s="1"/>
  <c r="R25" i="7"/>
  <c r="R25" i="9" s="1"/>
  <c r="R13" i="7"/>
  <c r="R13" i="9" s="1"/>
  <c r="R50" i="7"/>
  <c r="R50" i="9" s="1"/>
  <c r="R44" i="7"/>
  <c r="R44" i="9" s="1"/>
  <c r="R28" i="7"/>
  <c r="R28" i="9" s="1"/>
  <c r="R11" i="7"/>
  <c r="R11" i="9" s="1"/>
  <c r="R6" i="7"/>
  <c r="R6" i="9" s="1"/>
  <c r="R51" i="7"/>
  <c r="R51" i="9" s="1"/>
  <c r="R43" i="7"/>
  <c r="R43" i="9" s="1"/>
  <c r="R24" i="7"/>
  <c r="R24" i="9" s="1"/>
  <c r="R29" i="7"/>
  <c r="R29" i="9" s="1"/>
  <c r="R17" i="7"/>
  <c r="R17" i="9" s="1"/>
  <c r="R46" i="7"/>
  <c r="R46" i="9" s="1"/>
  <c r="R47" i="7"/>
  <c r="R47" i="9" s="1"/>
  <c r="R41" i="7"/>
  <c r="R41" i="9" s="1"/>
  <c r="R14" i="7"/>
  <c r="R14" i="9" s="1"/>
  <c r="R48" i="7"/>
  <c r="R48" i="9" s="1"/>
  <c r="R22" i="7"/>
  <c r="R22" i="9" s="1"/>
  <c r="R15" i="7"/>
  <c r="R15" i="9" s="1"/>
  <c r="R36" i="7"/>
  <c r="R36" i="9" s="1"/>
  <c r="R20" i="7"/>
  <c r="R20" i="9" s="1"/>
  <c r="R32" i="7"/>
  <c r="R32" i="9" s="1"/>
  <c r="R12" i="7"/>
  <c r="R12" i="9" s="1"/>
  <c r="R9" i="7"/>
  <c r="R9" i="9" s="1"/>
  <c r="R27" i="7"/>
  <c r="R27" i="9" s="1"/>
  <c r="R30" i="7"/>
  <c r="R30" i="9" s="1"/>
  <c r="R38" i="7"/>
  <c r="R38" i="9" s="1"/>
  <c r="R37" i="7"/>
  <c r="R37" i="9" s="1"/>
  <c r="R40" i="7"/>
  <c r="R40" i="9" s="1"/>
  <c r="R18" i="7"/>
  <c r="R18" i="9" s="1"/>
  <c r="R35" i="7"/>
  <c r="R35" i="9" s="1"/>
  <c r="R10" i="7"/>
  <c r="R10" i="9" s="1"/>
  <c r="R34" i="7"/>
  <c r="R34" i="9" s="1"/>
  <c r="R42" i="7"/>
  <c r="R42" i="9" s="1"/>
  <c r="R23" i="7"/>
  <c r="R23" i="9" s="1"/>
  <c r="R19" i="7"/>
  <c r="R19" i="9" s="1"/>
  <c r="R5" i="7"/>
  <c r="R45" i="7"/>
  <c r="R45" i="9" s="1"/>
  <c r="R33" i="7"/>
  <c r="R33" i="9" s="1"/>
  <c r="O8" i="25"/>
  <c r="O6" i="25"/>
  <c r="O10" i="25"/>
  <c r="Q8" i="25"/>
  <c r="Q6" i="25"/>
  <c r="Q10" i="25"/>
  <c r="W22" i="7"/>
  <c r="W22" i="9" s="1"/>
  <c r="W37" i="7"/>
  <c r="W37" i="9" s="1"/>
  <c r="W5" i="7"/>
  <c r="W20" i="7"/>
  <c r="W20" i="9" s="1"/>
  <c r="W27" i="7"/>
  <c r="W27" i="9" s="1"/>
  <c r="W46" i="7"/>
  <c r="W46" i="9" s="1"/>
  <c r="W14" i="7"/>
  <c r="W14" i="9" s="1"/>
  <c r="W29" i="7"/>
  <c r="W29" i="9" s="1"/>
  <c r="W44" i="7"/>
  <c r="W44" i="9" s="1"/>
  <c r="W7" i="7"/>
  <c r="W7" i="9" s="1"/>
  <c r="W51" i="7"/>
  <c r="W42" i="7"/>
  <c r="W42" i="9" s="1"/>
  <c r="W49" i="7"/>
  <c r="W9" i="7"/>
  <c r="W9" i="9" s="1"/>
  <c r="W39" i="7"/>
  <c r="W39" i="9" s="1"/>
  <c r="W36" i="7"/>
  <c r="W38" i="7"/>
  <c r="W38" i="9" s="1"/>
  <c r="W45" i="7"/>
  <c r="W45" i="9" s="1"/>
  <c r="W12" i="7"/>
  <c r="W12" i="9" s="1"/>
  <c r="W24" i="7"/>
  <c r="W24" i="9" s="1"/>
  <c r="W15" i="7"/>
  <c r="W15" i="9" s="1"/>
  <c r="W34" i="7"/>
  <c r="W34" i="9" s="1"/>
  <c r="W48" i="7"/>
  <c r="W48" i="9" s="1"/>
  <c r="W35" i="7"/>
  <c r="W35" i="9" s="1"/>
  <c r="W6" i="7"/>
  <c r="W6" i="9" s="1"/>
  <c r="W41" i="7"/>
  <c r="W41" i="9" s="1"/>
  <c r="W11" i="7"/>
  <c r="W11" i="9" s="1"/>
  <c r="W30" i="7"/>
  <c r="W30" i="9" s="1"/>
  <c r="W40" i="7"/>
  <c r="W40" i="9" s="1"/>
  <c r="W31" i="7"/>
  <c r="W31" i="9" s="1"/>
  <c r="W26" i="7"/>
  <c r="W26" i="9" s="1"/>
  <c r="W28" i="7"/>
  <c r="W28" i="9" s="1"/>
  <c r="W18" i="7"/>
  <c r="W18" i="9" s="1"/>
  <c r="W23" i="7"/>
  <c r="W23" i="9" s="1"/>
  <c r="W13" i="7"/>
  <c r="W13" i="9" s="1"/>
  <c r="W33" i="7"/>
  <c r="W33" i="9" s="1"/>
  <c r="W25" i="7"/>
  <c r="W25" i="9" s="1"/>
  <c r="W16" i="7"/>
  <c r="W16" i="9" s="1"/>
  <c r="W47" i="7"/>
  <c r="W47" i="9" s="1"/>
  <c r="W8" i="7"/>
  <c r="W8" i="9" s="1"/>
  <c r="W50" i="7"/>
  <c r="W50" i="9" s="1"/>
  <c r="W21" i="7"/>
  <c r="W21" i="9" s="1"/>
  <c r="W19" i="7"/>
  <c r="W10" i="7"/>
  <c r="W10" i="9" s="1"/>
  <c r="W17" i="7"/>
  <c r="W32" i="7"/>
  <c r="W32" i="9" s="1"/>
  <c r="W43" i="7"/>
  <c r="W43" i="9" s="1"/>
  <c r="M8" i="25"/>
  <c r="M6" i="25"/>
  <c r="M10" i="25"/>
  <c r="P8" i="25"/>
  <c r="P10" i="25"/>
  <c r="L8" i="25"/>
  <c r="L6" i="25"/>
  <c r="L10" i="25"/>
  <c r="L21" i="11"/>
  <c r="L26" i="11"/>
  <c r="L26" i="13" s="1"/>
  <c r="L29" i="11"/>
  <c r="L29" i="12" s="1"/>
  <c r="L24" i="11"/>
  <c r="L6" i="11"/>
  <c r="P27" i="11"/>
  <c r="P27" i="13" s="1"/>
  <c r="P32" i="11"/>
  <c r="P37" i="11"/>
  <c r="P37" i="13" s="1"/>
  <c r="P17" i="11"/>
  <c r="P6" i="11"/>
  <c r="O17" i="11"/>
  <c r="O17" i="12" s="1"/>
  <c r="M47" i="11"/>
  <c r="M47" i="12"/>
  <c r="V47" i="11"/>
  <c r="V47" i="12"/>
  <c r="P47" i="12"/>
  <c r="P47" i="11"/>
  <c r="O47" i="11"/>
  <c r="O47" i="12"/>
  <c r="U48" i="10"/>
  <c r="L13" i="11"/>
  <c r="L37" i="11"/>
  <c r="L32" i="11"/>
  <c r="L39" i="11"/>
  <c r="L39" i="13" s="1"/>
  <c r="L10" i="11"/>
  <c r="P30" i="11"/>
  <c r="P16" i="11"/>
  <c r="P16" i="12" s="1"/>
  <c r="P36" i="11"/>
  <c r="P36" i="13" s="1"/>
  <c r="P5" i="11"/>
  <c r="P22" i="11"/>
  <c r="P39" i="11"/>
  <c r="P34" i="11"/>
  <c r="P34" i="12" s="1"/>
  <c r="P8" i="11"/>
  <c r="P8" i="13" s="1"/>
  <c r="T47" i="11"/>
  <c r="T48" i="10"/>
  <c r="T47" i="12"/>
  <c r="U47" i="11"/>
  <c r="U47" i="12"/>
  <c r="L36" i="11"/>
  <c r="L36" i="12" s="1"/>
  <c r="L31" i="11"/>
  <c r="L31" i="13" s="1"/>
  <c r="L35" i="11"/>
  <c r="L35" i="13" s="1"/>
  <c r="P29" i="11"/>
  <c r="P29" i="12" s="1"/>
  <c r="P41" i="11"/>
  <c r="P35" i="11"/>
  <c r="P35" i="13" s="1"/>
  <c r="P14" i="11"/>
  <c r="P14" i="12" s="1"/>
  <c r="Z47" i="12"/>
  <c r="Z47" i="11"/>
  <c r="N47" i="12"/>
  <c r="N47" i="11"/>
  <c r="R21" i="11"/>
  <c r="R34" i="11"/>
  <c r="R23" i="11"/>
  <c r="R37" i="11"/>
  <c r="R19" i="11"/>
  <c r="R10" i="11"/>
  <c r="R32" i="11"/>
  <c r="R22" i="11"/>
  <c r="R12" i="11"/>
  <c r="R38" i="11"/>
  <c r="R33" i="11"/>
  <c r="R6" i="11"/>
  <c r="R40" i="11"/>
  <c r="R36" i="11"/>
  <c r="R31" i="11"/>
  <c r="R9" i="11"/>
  <c r="R14" i="11"/>
  <c r="R17" i="11"/>
  <c r="R16" i="11"/>
  <c r="R41" i="11"/>
  <c r="R15" i="11"/>
  <c r="R39" i="11"/>
  <c r="R27" i="11"/>
  <c r="R29" i="11"/>
  <c r="R18" i="11"/>
  <c r="R30" i="11"/>
  <c r="R35" i="11"/>
  <c r="R13" i="11"/>
  <c r="R7" i="11"/>
  <c r="R11" i="11"/>
  <c r="R20" i="11"/>
  <c r="R24" i="11"/>
  <c r="R26" i="11"/>
  <c r="R5" i="11"/>
  <c r="R28" i="11"/>
  <c r="R8" i="11"/>
  <c r="R25" i="11"/>
  <c r="Q11" i="23"/>
  <c r="Q63" i="23" s="1"/>
  <c r="Q27" i="8"/>
  <c r="Q27" i="23" s="1"/>
  <c r="Q79" i="23" s="1"/>
  <c r="Q10" i="8"/>
  <c r="Q10" i="23" s="1"/>
  <c r="Q62" i="23" s="1"/>
  <c r="Q46" i="8"/>
  <c r="Q46" i="23" s="1"/>
  <c r="Q98" i="23" s="1"/>
  <c r="Q5" i="8"/>
  <c r="Q5" i="23" s="1"/>
  <c r="Q57" i="23" s="1"/>
  <c r="F46" i="5"/>
  <c r="Q46" i="13"/>
  <c r="Q46" i="12"/>
  <c r="Q46" i="10"/>
  <c r="Q46" i="11"/>
  <c r="Q29" i="8"/>
  <c r="Q29" i="23" s="1"/>
  <c r="Q81" i="23" s="1"/>
  <c r="Q25" i="8"/>
  <c r="Q25" i="23" s="1"/>
  <c r="Q77" i="23" s="1"/>
  <c r="P41" i="12"/>
  <c r="P41" i="13"/>
  <c r="N55" i="9"/>
  <c r="N55" i="8"/>
  <c r="N55" i="7"/>
  <c r="Q14" i="8"/>
  <c r="Q14" i="23" s="1"/>
  <c r="Q66" i="23" s="1"/>
  <c r="Q19" i="8"/>
  <c r="Q19" i="23" s="1"/>
  <c r="Q71" i="23" s="1"/>
  <c r="L36" i="13"/>
  <c r="L53" i="9"/>
  <c r="Q16" i="8"/>
  <c r="Q16" i="23" s="1"/>
  <c r="Q68" i="23" s="1"/>
  <c r="Q41" i="8"/>
  <c r="Q41" i="23" s="1"/>
  <c r="Q93" i="23" s="1"/>
  <c r="T54" i="8"/>
  <c r="T54" i="9"/>
  <c r="T54" i="7"/>
  <c r="N56" i="9"/>
  <c r="N56" i="8"/>
  <c r="N56" i="7"/>
  <c r="Q26" i="8"/>
  <c r="Q26" i="23" s="1"/>
  <c r="Q78" i="23" s="1"/>
  <c r="Q12" i="8"/>
  <c r="Q12" i="23" s="1"/>
  <c r="Q64" i="23" s="1"/>
  <c r="Q30" i="8"/>
  <c r="Q30" i="23" s="1"/>
  <c r="Q82" i="23" s="1"/>
  <c r="Q18" i="8"/>
  <c r="Q18" i="23" s="1"/>
  <c r="Q70" i="23" s="1"/>
  <c r="Q32" i="8"/>
  <c r="Q32" i="23" s="1"/>
  <c r="Q84" i="23" s="1"/>
  <c r="P32" i="12"/>
  <c r="P32" i="13"/>
  <c r="P17" i="12"/>
  <c r="P17" i="13"/>
  <c r="P6" i="12"/>
  <c r="P6" i="13"/>
  <c r="E35" i="5"/>
  <c r="L45" i="13"/>
  <c r="L45" i="11"/>
  <c r="L45" i="12"/>
  <c r="L45" i="10"/>
  <c r="Q21" i="8"/>
  <c r="Q21" i="23" s="1"/>
  <c r="Q73" i="23" s="1"/>
  <c r="Q38" i="8"/>
  <c r="Q38" i="23" s="1"/>
  <c r="Q90" i="23" s="1"/>
  <c r="L21" i="12"/>
  <c r="L21" i="13"/>
  <c r="L26" i="12"/>
  <c r="L26" i="24" s="1"/>
  <c r="L68" i="24" s="1"/>
  <c r="L29" i="13"/>
  <c r="L24" i="12"/>
  <c r="L24" i="13"/>
  <c r="L6" i="12"/>
  <c r="L6" i="13"/>
  <c r="Q48" i="8"/>
  <c r="Q48" i="23" s="1"/>
  <c r="Q100" i="23" s="1"/>
  <c r="Q50" i="8"/>
  <c r="Q50" i="23" s="1"/>
  <c r="Q102" i="23" s="1"/>
  <c r="Q35" i="8"/>
  <c r="Q35" i="23" s="1"/>
  <c r="Q87" i="23" s="1"/>
  <c r="Q36" i="8"/>
  <c r="Q36" i="23" s="1"/>
  <c r="Q88" i="23" s="1"/>
  <c r="Q13" i="8"/>
  <c r="Q13" i="23" s="1"/>
  <c r="Q65" i="23" s="1"/>
  <c r="Q43" i="8"/>
  <c r="Q43" i="23" s="1"/>
  <c r="Q95" i="23" s="1"/>
  <c r="Q31" i="8"/>
  <c r="Q31" i="23" s="1"/>
  <c r="Q83" i="23" s="1"/>
  <c r="Q8" i="8"/>
  <c r="Q8" i="23" s="1"/>
  <c r="Q60" i="23" s="1"/>
  <c r="P30" i="12"/>
  <c r="P30" i="13"/>
  <c r="P5" i="12"/>
  <c r="P5" i="13"/>
  <c r="Q53" i="9"/>
  <c r="AB44" i="13"/>
  <c r="AB44" i="12"/>
  <c r="X48" i="12" s="1"/>
  <c r="AB44" i="11"/>
  <c r="AB44" i="10"/>
  <c r="Q45" i="8"/>
  <c r="Q45" i="23" s="1"/>
  <c r="Q97" i="23" s="1"/>
  <c r="Q15" i="8"/>
  <c r="Q15" i="23" s="1"/>
  <c r="Q67" i="23" s="1"/>
  <c r="Q37" i="8"/>
  <c r="Q37" i="23" s="1"/>
  <c r="Q89" i="23" s="1"/>
  <c r="L13" i="12"/>
  <c r="L13" i="13"/>
  <c r="L37" i="12"/>
  <c r="L37" i="13"/>
  <c r="L32" i="12"/>
  <c r="L32" i="13"/>
  <c r="L39" i="12"/>
  <c r="L10" i="12"/>
  <c r="L10" i="13"/>
  <c r="Q22" i="8"/>
  <c r="Q22" i="23" s="1"/>
  <c r="Q74" i="23" s="1"/>
  <c r="P22" i="12"/>
  <c r="P22" i="13"/>
  <c r="P39" i="12"/>
  <c r="P39" i="13"/>
  <c r="P8" i="12"/>
  <c r="F10" i="5"/>
  <c r="F47" i="5" s="1"/>
  <c r="N58" i="6"/>
  <c r="E10" i="5"/>
  <c r="N57" i="6"/>
  <c r="D47" i="5"/>
  <c r="D29" i="5"/>
  <c r="AC26" i="9" l="1"/>
  <c r="AD26" i="9" s="1"/>
  <c r="AD26" i="7"/>
  <c r="L31" i="12"/>
  <c r="O23" i="11"/>
  <c r="O30" i="11"/>
  <c r="AD21" i="7"/>
  <c r="AC21" i="9"/>
  <c r="AD21" i="9" s="1"/>
  <c r="AD51" i="7"/>
  <c r="AC51" i="9"/>
  <c r="AD51" i="9" s="1"/>
  <c r="AD23" i="7"/>
  <c r="AC23" i="9"/>
  <c r="AD23" i="9" s="1"/>
  <c r="AD28" i="7"/>
  <c r="AC28" i="9"/>
  <c r="AD28" i="9" s="1"/>
  <c r="AD25" i="7"/>
  <c r="AC25" i="9"/>
  <c r="AD25" i="9" s="1"/>
  <c r="AC39" i="9"/>
  <c r="AD39" i="9" s="1"/>
  <c r="AD39" i="7"/>
  <c r="S53" i="7"/>
  <c r="O8" i="12"/>
  <c r="O39" i="11"/>
  <c r="O31" i="11"/>
  <c r="O31" i="12" s="1"/>
  <c r="O53" i="7"/>
  <c r="O58" i="7" s="1"/>
  <c r="O39" i="8" s="1"/>
  <c r="O39" i="23" s="1"/>
  <c r="O91" i="23" s="1"/>
  <c r="AD35" i="7"/>
  <c r="AC35" i="9"/>
  <c r="AD35" i="9" s="1"/>
  <c r="AD31" i="7"/>
  <c r="AC31" i="9"/>
  <c r="AD31" i="9" s="1"/>
  <c r="AD33" i="7"/>
  <c r="AC33" i="9"/>
  <c r="AD33" i="9" s="1"/>
  <c r="AD17" i="7"/>
  <c r="AC17" i="9"/>
  <c r="AD17" i="9" s="1"/>
  <c r="AD34" i="7"/>
  <c r="AC34" i="9"/>
  <c r="AD34" i="9" s="1"/>
  <c r="AC38" i="9"/>
  <c r="AD38" i="9" s="1"/>
  <c r="AD38" i="7"/>
  <c r="AD47" i="7"/>
  <c r="AC47" i="9"/>
  <c r="AD47" i="9" s="1"/>
  <c r="AD48" i="7"/>
  <c r="AC48" i="9"/>
  <c r="AD48" i="9" s="1"/>
  <c r="O28" i="11"/>
  <c r="O28" i="13" s="1"/>
  <c r="O24" i="11"/>
  <c r="O34" i="11"/>
  <c r="AC15" i="9"/>
  <c r="AD15" i="9" s="1"/>
  <c r="AD15" i="7"/>
  <c r="AD27" i="7"/>
  <c r="AC27" i="9"/>
  <c r="AD27" i="9" s="1"/>
  <c r="AD8" i="7"/>
  <c r="AC8" i="9"/>
  <c r="AD8" i="9" s="1"/>
  <c r="AD10" i="7"/>
  <c r="AC10" i="9"/>
  <c r="AD10" i="9" s="1"/>
  <c r="AD30" i="7"/>
  <c r="AC30" i="9"/>
  <c r="AD30" i="9" s="1"/>
  <c r="I3" i="28"/>
  <c r="I2" i="28" s="1"/>
  <c r="AD6" i="7"/>
  <c r="AC6" i="9"/>
  <c r="AD6" i="9" s="1"/>
  <c r="AC41" i="9"/>
  <c r="AD41" i="9" s="1"/>
  <c r="AD41" i="7"/>
  <c r="AD29" i="7"/>
  <c r="AC29" i="9"/>
  <c r="AD29" i="9" s="1"/>
  <c r="AD40" i="7"/>
  <c r="AC40" i="9"/>
  <c r="AD40" i="9" s="1"/>
  <c r="O45" i="8"/>
  <c r="O45" i="23" s="1"/>
  <c r="O97" i="23" s="1"/>
  <c r="O41" i="11"/>
  <c r="O32" i="11"/>
  <c r="L53" i="7"/>
  <c r="L58" i="7" s="1"/>
  <c r="O35" i="11"/>
  <c r="AC43" i="9"/>
  <c r="AD43" i="9" s="1"/>
  <c r="AD43" i="7"/>
  <c r="AD11" i="7"/>
  <c r="AC11" i="9"/>
  <c r="AD11" i="9" s="1"/>
  <c r="AD5" i="7"/>
  <c r="AC5" i="9"/>
  <c r="AC53" i="7"/>
  <c r="AC58" i="7" s="1"/>
  <c r="AC47" i="8" s="1"/>
  <c r="AC20" i="9"/>
  <c r="AD20" i="9" s="1"/>
  <c r="AD20" i="7"/>
  <c r="AD44" i="7"/>
  <c r="AC44" i="9"/>
  <c r="AD44" i="9" s="1"/>
  <c r="AC19" i="9"/>
  <c r="AD19" i="9" s="1"/>
  <c r="AD19" i="7"/>
  <c r="X6" i="8"/>
  <c r="W6" i="23" s="1"/>
  <c r="W58" i="23" s="1"/>
  <c r="O12" i="11"/>
  <c r="O33" i="11"/>
  <c r="O16" i="11"/>
  <c r="AD32" i="7"/>
  <c r="AC32" i="9"/>
  <c r="AD32" i="9" s="1"/>
  <c r="AD14" i="7"/>
  <c r="AC14" i="9"/>
  <c r="AD14" i="9" s="1"/>
  <c r="AD16" i="7"/>
  <c r="AC16" i="9"/>
  <c r="AD16" i="9" s="1"/>
  <c r="AD13" i="7"/>
  <c r="AC13" i="9"/>
  <c r="AD13" i="9" s="1"/>
  <c r="AD37" i="7"/>
  <c r="AC37" i="9"/>
  <c r="AD37" i="9" s="1"/>
  <c r="AD49" i="7"/>
  <c r="AC49" i="9"/>
  <c r="AD49" i="9" s="1"/>
  <c r="X41" i="8"/>
  <c r="W41" i="23" s="1"/>
  <c r="W93" i="23" s="1"/>
  <c r="X53" i="7"/>
  <c r="X58" i="7" s="1"/>
  <c r="AD9" i="7"/>
  <c r="AC9" i="9"/>
  <c r="AD9" i="9" s="1"/>
  <c r="AC45" i="9"/>
  <c r="AD45" i="9" s="1"/>
  <c r="AD45" i="7"/>
  <c r="AC50" i="9"/>
  <c r="AD50" i="9" s="1"/>
  <c r="AD50" i="7"/>
  <c r="AD36" i="7"/>
  <c r="AC36" i="9"/>
  <c r="AD36" i="9" s="1"/>
  <c r="AC24" i="9"/>
  <c r="AD24" i="9" s="1"/>
  <c r="AD24" i="7"/>
  <c r="L27" i="8"/>
  <c r="L27" i="23" s="1"/>
  <c r="L79" i="23" s="1"/>
  <c r="AD46" i="7"/>
  <c r="AC46" i="9"/>
  <c r="AD46" i="9" s="1"/>
  <c r="AD12" i="7"/>
  <c r="AC12" i="9"/>
  <c r="AD12" i="9" s="1"/>
  <c r="AD18" i="7"/>
  <c r="AC18" i="9"/>
  <c r="AD18" i="9" s="1"/>
  <c r="AC22" i="9"/>
  <c r="AD22" i="9" s="1"/>
  <c r="AD22" i="7"/>
  <c r="AD42" i="7"/>
  <c r="AC42" i="9"/>
  <c r="AD42" i="9" s="1"/>
  <c r="AD7" i="7"/>
  <c r="AC7" i="9"/>
  <c r="AD7" i="9" s="1"/>
  <c r="M6" i="26"/>
  <c r="Q34" i="8"/>
  <c r="Q34" i="23" s="1"/>
  <c r="Q86" i="23" s="1"/>
  <c r="P41" i="24"/>
  <c r="P83" i="24" s="1"/>
  <c r="Q9" i="8"/>
  <c r="Q9" i="23" s="1"/>
  <c r="Q61" i="23" s="1"/>
  <c r="P27" i="12"/>
  <c r="P16" i="13"/>
  <c r="P29" i="13"/>
  <c r="Q7" i="8"/>
  <c r="Q7" i="23" s="1"/>
  <c r="Q59" i="23" s="1"/>
  <c r="O17" i="13"/>
  <c r="O17" i="24" s="1"/>
  <c r="O59" i="24" s="1"/>
  <c r="P34" i="13"/>
  <c r="Q28" i="8"/>
  <c r="Q28" i="23" s="1"/>
  <c r="Q80" i="23" s="1"/>
  <c r="Q47" i="8"/>
  <c r="Q47" i="23" s="1"/>
  <c r="Q99" i="23" s="1"/>
  <c r="Q51" i="8"/>
  <c r="Q51" i="23" s="1"/>
  <c r="Q103" i="23" s="1"/>
  <c r="Q6" i="8"/>
  <c r="Q6" i="23" s="1"/>
  <c r="Q58" i="23" s="1"/>
  <c r="Q49" i="8"/>
  <c r="Q49" i="23" s="1"/>
  <c r="Q101" i="23" s="1"/>
  <c r="Q33" i="8"/>
  <c r="Q33" i="23" s="1"/>
  <c r="Q85" i="23" s="1"/>
  <c r="Q44" i="8"/>
  <c r="Q44" i="23" s="1"/>
  <c r="Q96" i="23" s="1"/>
  <c r="G7" i="25" s="1"/>
  <c r="Q39" i="8"/>
  <c r="Q39" i="23" s="1"/>
  <c r="Q91" i="23" s="1"/>
  <c r="Q23" i="8"/>
  <c r="Q23" i="23" s="1"/>
  <c r="Q75" i="23" s="1"/>
  <c r="Q17" i="8"/>
  <c r="Q17" i="23" s="1"/>
  <c r="Q69" i="23" s="1"/>
  <c r="O5" i="11"/>
  <c r="O14" i="11"/>
  <c r="O19" i="11"/>
  <c r="O21" i="11"/>
  <c r="O20" i="11"/>
  <c r="O6" i="11"/>
  <c r="O36" i="11"/>
  <c r="O27" i="11"/>
  <c r="O9" i="11"/>
  <c r="O15" i="11"/>
  <c r="O25" i="11"/>
  <c r="O37" i="11"/>
  <c r="O11" i="11"/>
  <c r="O43" i="11" s="1"/>
  <c r="O7" i="11"/>
  <c r="O29" i="11"/>
  <c r="O38" i="11"/>
  <c r="O10" i="11"/>
  <c r="O13" i="11"/>
  <c r="O40" i="11"/>
  <c r="O18" i="11"/>
  <c r="O26" i="11"/>
  <c r="E42" i="5"/>
  <c r="E21" i="5"/>
  <c r="Q20" i="8"/>
  <c r="Q20" i="23" s="1"/>
  <c r="Q72" i="23" s="1"/>
  <c r="Q42" i="8"/>
  <c r="Q42" i="23" s="1"/>
  <c r="Q94" i="23" s="1"/>
  <c r="P36" i="12"/>
  <c r="O28" i="12"/>
  <c r="O22" i="13"/>
  <c r="V37" i="11"/>
  <c r="V26" i="11"/>
  <c r="V41" i="11"/>
  <c r="V16" i="11"/>
  <c r="V20" i="11"/>
  <c r="V23" i="11"/>
  <c r="V14" i="11"/>
  <c r="V10" i="11"/>
  <c r="V21" i="11"/>
  <c r="V17" i="11"/>
  <c r="V34" i="11"/>
  <c r="V32" i="11"/>
  <c r="V30" i="11"/>
  <c r="V31" i="11"/>
  <c r="V7" i="11"/>
  <c r="V28" i="11"/>
  <c r="V11" i="11"/>
  <c r="V22" i="11"/>
  <c r="V18" i="11"/>
  <c r="V40" i="11"/>
  <c r="V29" i="11"/>
  <c r="V33" i="11"/>
  <c r="V15" i="11"/>
  <c r="V6" i="11"/>
  <c r="V19" i="11"/>
  <c r="V27" i="11"/>
  <c r="V36" i="11"/>
  <c r="V5" i="11"/>
  <c r="V13" i="11"/>
  <c r="V35" i="11"/>
  <c r="V38" i="11"/>
  <c r="V8" i="11"/>
  <c r="V12" i="11"/>
  <c r="V9" i="11"/>
  <c r="V24" i="11"/>
  <c r="V39" i="11"/>
  <c r="V25" i="11"/>
  <c r="P14" i="13"/>
  <c r="P37" i="12"/>
  <c r="L35" i="12"/>
  <c r="P15" i="11"/>
  <c r="P10" i="11"/>
  <c r="P26" i="11"/>
  <c r="P40" i="11"/>
  <c r="P24" i="11"/>
  <c r="P25" i="11"/>
  <c r="P33" i="11"/>
  <c r="P12" i="11"/>
  <c r="P20" i="11"/>
  <c r="P21" i="11"/>
  <c r="P9" i="11"/>
  <c r="P18" i="11"/>
  <c r="P13" i="11"/>
  <c r="P19" i="11"/>
  <c r="P28" i="11"/>
  <c r="P23" i="11"/>
  <c r="P7" i="11"/>
  <c r="P31" i="11"/>
  <c r="P11" i="11"/>
  <c r="P38" i="11"/>
  <c r="P29" i="24"/>
  <c r="P71" i="24" s="1"/>
  <c r="P16" i="24"/>
  <c r="P58" i="24" s="1"/>
  <c r="M32" i="11"/>
  <c r="M32" i="12" s="1"/>
  <c r="M39" i="11"/>
  <c r="M39" i="12" s="1"/>
  <c r="M31" i="11"/>
  <c r="M22" i="11"/>
  <c r="M29" i="11"/>
  <c r="M34" i="11"/>
  <c r="M34" i="12" s="1"/>
  <c r="M23" i="11"/>
  <c r="M17" i="11"/>
  <c r="M6" i="11"/>
  <c r="M6" i="12" s="1"/>
  <c r="M37" i="11"/>
  <c r="M37" i="12" s="1"/>
  <c r="M24" i="11"/>
  <c r="M41" i="11"/>
  <c r="M26" i="11"/>
  <c r="M40" i="11"/>
  <c r="M25" i="11"/>
  <c r="M38" i="11"/>
  <c r="M10" i="11"/>
  <c r="M10" i="12" s="1"/>
  <c r="M19" i="11"/>
  <c r="M19" i="12" s="1"/>
  <c r="M30" i="11"/>
  <c r="M30" i="12" s="1"/>
  <c r="M7" i="11"/>
  <c r="M14" i="11"/>
  <c r="M14" i="12" s="1"/>
  <c r="M15" i="11"/>
  <c r="M8" i="11"/>
  <c r="M33" i="11"/>
  <c r="M18" i="11"/>
  <c r="M18" i="12" s="1"/>
  <c r="M5" i="11"/>
  <c r="M5" i="13" s="1"/>
  <c r="M27" i="11"/>
  <c r="M27" i="12" s="1"/>
  <c r="M11" i="11"/>
  <c r="M35" i="11"/>
  <c r="M16" i="11"/>
  <c r="M36" i="11"/>
  <c r="M12" i="11"/>
  <c r="AH25" i="9"/>
  <c r="AH6" i="9"/>
  <c r="AH24" i="9"/>
  <c r="P10" i="9"/>
  <c r="P19" i="9"/>
  <c r="P46" i="9"/>
  <c r="P42" i="9"/>
  <c r="P37" i="9"/>
  <c r="U10" i="9"/>
  <c r="U34" i="9"/>
  <c r="U8" i="9"/>
  <c r="U14" i="9"/>
  <c r="U16" i="9"/>
  <c r="AI13" i="9"/>
  <c r="O21" i="8"/>
  <c r="O21" i="23" s="1"/>
  <c r="O73" i="23" s="1"/>
  <c r="O7" i="8"/>
  <c r="O7" i="23" s="1"/>
  <c r="O59" i="23" s="1"/>
  <c r="O30" i="8"/>
  <c r="O30" i="23" s="1"/>
  <c r="O82" i="23" s="1"/>
  <c r="O24" i="8"/>
  <c r="O24" i="23" s="1"/>
  <c r="O76" i="23" s="1"/>
  <c r="O8" i="8"/>
  <c r="O8" i="23" s="1"/>
  <c r="O60" i="23" s="1"/>
  <c r="O29" i="8"/>
  <c r="O29" i="23" s="1"/>
  <c r="O81" i="23" s="1"/>
  <c r="O22" i="8"/>
  <c r="O22" i="23" s="1"/>
  <c r="O74" i="23" s="1"/>
  <c r="O14" i="8"/>
  <c r="O14" i="23" s="1"/>
  <c r="O66" i="23" s="1"/>
  <c r="O10" i="8"/>
  <c r="O10" i="23" s="1"/>
  <c r="O62" i="23" s="1"/>
  <c r="O9" i="8"/>
  <c r="O9" i="23" s="1"/>
  <c r="O61" i="23" s="1"/>
  <c r="O51" i="8"/>
  <c r="O51" i="23" s="1"/>
  <c r="O103" i="23" s="1"/>
  <c r="O31" i="8"/>
  <c r="O31" i="23" s="1"/>
  <c r="O83" i="23" s="1"/>
  <c r="O35" i="8"/>
  <c r="O35" i="23" s="1"/>
  <c r="O87" i="23" s="1"/>
  <c r="O19" i="8"/>
  <c r="O19" i="23" s="1"/>
  <c r="O71" i="23" s="1"/>
  <c r="O18" i="8"/>
  <c r="O18" i="23" s="1"/>
  <c r="O70" i="23" s="1"/>
  <c r="O48" i="8"/>
  <c r="O48" i="23" s="1"/>
  <c r="O100" i="23" s="1"/>
  <c r="O26" i="8"/>
  <c r="O26" i="23" s="1"/>
  <c r="O78" i="23" s="1"/>
  <c r="O36" i="8"/>
  <c r="O36" i="23" s="1"/>
  <c r="O88" i="23" s="1"/>
  <c r="O49" i="8"/>
  <c r="O49" i="23" s="1"/>
  <c r="O101" i="23" s="1"/>
  <c r="O11" i="8"/>
  <c r="O11" i="23" s="1"/>
  <c r="O63" i="23" s="1"/>
  <c r="O33" i="8"/>
  <c r="O33" i="23" s="1"/>
  <c r="O85" i="23" s="1"/>
  <c r="O5" i="8"/>
  <c r="O5" i="23" s="1"/>
  <c r="O57" i="23" s="1"/>
  <c r="O41" i="8"/>
  <c r="O41" i="23" s="1"/>
  <c r="O93" i="23" s="1"/>
  <c r="O34" i="8"/>
  <c r="O34" i="23" s="1"/>
  <c r="O86" i="23" s="1"/>
  <c r="O17" i="8"/>
  <c r="O17" i="23" s="1"/>
  <c r="O69" i="23" s="1"/>
  <c r="O15" i="8"/>
  <c r="O15" i="23" s="1"/>
  <c r="O67" i="23" s="1"/>
  <c r="O27" i="8"/>
  <c r="O27" i="23" s="1"/>
  <c r="O79" i="23" s="1"/>
  <c r="O44" i="8"/>
  <c r="O44" i="23" s="1"/>
  <c r="O96" i="23" s="1"/>
  <c r="O47" i="8"/>
  <c r="O47" i="23" s="1"/>
  <c r="O99" i="23" s="1"/>
  <c r="O12" i="8"/>
  <c r="O12" i="23" s="1"/>
  <c r="O64" i="23" s="1"/>
  <c r="O42" i="8"/>
  <c r="O42" i="23" s="1"/>
  <c r="O94" i="23" s="1"/>
  <c r="O20" i="8"/>
  <c r="O20" i="23" s="1"/>
  <c r="O72" i="23" s="1"/>
  <c r="O38" i="8"/>
  <c r="O38" i="23" s="1"/>
  <c r="O90" i="23" s="1"/>
  <c r="O23" i="8"/>
  <c r="O23" i="23" s="1"/>
  <c r="O75" i="23" s="1"/>
  <c r="O37" i="8"/>
  <c r="O37" i="23" s="1"/>
  <c r="O89" i="23" s="1"/>
  <c r="O25" i="8"/>
  <c r="O25" i="23" s="1"/>
  <c r="O77" i="23" s="1"/>
  <c r="W53" i="7"/>
  <c r="W58" i="7" s="1"/>
  <c r="W17" i="8" s="1"/>
  <c r="W5" i="9"/>
  <c r="M13" i="11"/>
  <c r="L29" i="24"/>
  <c r="L71" i="24" s="1"/>
  <c r="W19" i="9"/>
  <c r="P35" i="12"/>
  <c r="M28" i="11"/>
  <c r="W51" i="9"/>
  <c r="M20" i="11"/>
  <c r="M9" i="11"/>
  <c r="N8" i="11"/>
  <c r="N24" i="11"/>
  <c r="N28" i="11"/>
  <c r="N40" i="11"/>
  <c r="N23" i="11"/>
  <c r="N9" i="11"/>
  <c r="N33" i="11"/>
  <c r="N37" i="11"/>
  <c r="N26" i="11"/>
  <c r="N21" i="11"/>
  <c r="N7" i="11"/>
  <c r="N20" i="11"/>
  <c r="N25" i="11"/>
  <c r="N19" i="11"/>
  <c r="N10" i="11"/>
  <c r="N35" i="11"/>
  <c r="N36" i="11"/>
  <c r="N17" i="11"/>
  <c r="N15" i="11"/>
  <c r="N30" i="11"/>
  <c r="N12" i="11"/>
  <c r="N18" i="11"/>
  <c r="N32" i="11"/>
  <c r="N38" i="11"/>
  <c r="N39" i="11"/>
  <c r="N34" i="11"/>
  <c r="N31" i="11"/>
  <c r="N11" i="11"/>
  <c r="N13" i="11"/>
  <c r="N29" i="11"/>
  <c r="N41" i="11"/>
  <c r="N27" i="11"/>
  <c r="N22" i="11"/>
  <c r="N5" i="11"/>
  <c r="N16" i="11"/>
  <c r="N14" i="11"/>
  <c r="N6" i="11"/>
  <c r="AH9" i="9"/>
  <c r="AH18" i="9"/>
  <c r="U22" i="9"/>
  <c r="U33" i="9"/>
  <c r="AI42" i="9"/>
  <c r="AI8" i="9"/>
  <c r="AH31" i="9"/>
  <c r="U12" i="9"/>
  <c r="U47" i="9"/>
  <c r="AI53" i="7"/>
  <c r="AI58" i="7" s="1"/>
  <c r="AI15" i="8" s="1"/>
  <c r="AE15" i="23" s="1"/>
  <c r="AE67" i="23" s="1"/>
  <c r="AI5" i="9"/>
  <c r="X10" i="25"/>
  <c r="W36" i="9"/>
  <c r="R5" i="9"/>
  <c r="R53" i="9" s="1"/>
  <c r="R53" i="7"/>
  <c r="AH39" i="9"/>
  <c r="Z15" i="11"/>
  <c r="Z12" i="11"/>
  <c r="Z27" i="11"/>
  <c r="Z37" i="11"/>
  <c r="Z33" i="11"/>
  <c r="Z10" i="11"/>
  <c r="Z29" i="11"/>
  <c r="Z41" i="11"/>
  <c r="Z14" i="11"/>
  <c r="Z25" i="11"/>
  <c r="Z24" i="11"/>
  <c r="Z20" i="11"/>
  <c r="Z35" i="11"/>
  <c r="Z23" i="11"/>
  <c r="Z8" i="11"/>
  <c r="Z13" i="11"/>
  <c r="Z17" i="11"/>
  <c r="Z18" i="11"/>
  <c r="Z6" i="11"/>
  <c r="Z5" i="11"/>
  <c r="Z30" i="11"/>
  <c r="Z39" i="11"/>
  <c r="Z32" i="11"/>
  <c r="Z28" i="11"/>
  <c r="Z22" i="11"/>
  <c r="Z16" i="11"/>
  <c r="Z19" i="11"/>
  <c r="Z36" i="11"/>
  <c r="Z40" i="11"/>
  <c r="Z38" i="11"/>
  <c r="Z31" i="11"/>
  <c r="Z21" i="11"/>
  <c r="Z26" i="11"/>
  <c r="Z9" i="11"/>
  <c r="Z34" i="11"/>
  <c r="Z7" i="11"/>
  <c r="Z11" i="11"/>
  <c r="AI51" i="8"/>
  <c r="AE51" i="23" s="1"/>
  <c r="AE103" i="23" s="1"/>
  <c r="AI51" i="9"/>
  <c r="X6" i="25"/>
  <c r="U39" i="9"/>
  <c r="U49" i="9"/>
  <c r="AH14" i="9"/>
  <c r="AH41" i="9"/>
  <c r="AH35" i="9"/>
  <c r="P53" i="7"/>
  <c r="P58" i="7" s="1"/>
  <c r="P5" i="9"/>
  <c r="U26" i="9"/>
  <c r="U15" i="9"/>
  <c r="U48" i="9"/>
  <c r="U43" i="9"/>
  <c r="AI21" i="9"/>
  <c r="V54" i="8"/>
  <c r="V58" i="8" s="1"/>
  <c r="V54" i="7"/>
  <c r="V54" i="9"/>
  <c r="Z5" i="23"/>
  <c r="Z57" i="23" s="1"/>
  <c r="AA53" i="8"/>
  <c r="Y5" i="23"/>
  <c r="Y57" i="23" s="1"/>
  <c r="Z53" i="8"/>
  <c r="L16" i="8"/>
  <c r="L16" i="23" s="1"/>
  <c r="L68" i="23" s="1"/>
  <c r="L49" i="8"/>
  <c r="L49" i="23" s="1"/>
  <c r="L101" i="23" s="1"/>
  <c r="L28" i="8"/>
  <c r="L28" i="23" s="1"/>
  <c r="L80" i="23" s="1"/>
  <c r="L14" i="8"/>
  <c r="L14" i="23" s="1"/>
  <c r="L66" i="23" s="1"/>
  <c r="L39" i="8"/>
  <c r="L39" i="23" s="1"/>
  <c r="L91" i="23" s="1"/>
  <c r="L7" i="8"/>
  <c r="L7" i="23" s="1"/>
  <c r="L59" i="23" s="1"/>
  <c r="L42" i="8"/>
  <c r="L42" i="23" s="1"/>
  <c r="L94" i="23" s="1"/>
  <c r="L30" i="8"/>
  <c r="L30" i="23" s="1"/>
  <c r="L82" i="23" s="1"/>
  <c r="L45" i="8"/>
  <c r="L45" i="23" s="1"/>
  <c r="L97" i="23" s="1"/>
  <c r="L9" i="8"/>
  <c r="L9" i="23" s="1"/>
  <c r="L61" i="23" s="1"/>
  <c r="L12" i="8"/>
  <c r="L12" i="23" s="1"/>
  <c r="L64" i="23" s="1"/>
  <c r="L10" i="8"/>
  <c r="L10" i="23" s="1"/>
  <c r="L62" i="23" s="1"/>
  <c r="L33" i="8"/>
  <c r="L33" i="23" s="1"/>
  <c r="L85" i="23" s="1"/>
  <c r="L37" i="8"/>
  <c r="L37" i="23" s="1"/>
  <c r="L89" i="23" s="1"/>
  <c r="L18" i="8"/>
  <c r="L18" i="23" s="1"/>
  <c r="L70" i="23" s="1"/>
  <c r="L19" i="8"/>
  <c r="L19" i="23" s="1"/>
  <c r="L71" i="23" s="1"/>
  <c r="L50" i="8"/>
  <c r="L50" i="23" s="1"/>
  <c r="L102" i="23" s="1"/>
  <c r="L15" i="8"/>
  <c r="L15" i="23" s="1"/>
  <c r="L67" i="23" s="1"/>
  <c r="L46" i="8"/>
  <c r="L46" i="23" s="1"/>
  <c r="L98" i="23" s="1"/>
  <c r="L11" i="8"/>
  <c r="L11" i="23" s="1"/>
  <c r="L63" i="23" s="1"/>
  <c r="L51" i="8"/>
  <c r="L51" i="23" s="1"/>
  <c r="L103" i="23" s="1"/>
  <c r="L43" i="8"/>
  <c r="L43" i="23" s="1"/>
  <c r="L95" i="23" s="1"/>
  <c r="L13" i="8"/>
  <c r="L13" i="23" s="1"/>
  <c r="L65" i="23" s="1"/>
  <c r="L26" i="8"/>
  <c r="L26" i="23" s="1"/>
  <c r="L78" i="23" s="1"/>
  <c r="L8" i="8"/>
  <c r="L8" i="23" s="1"/>
  <c r="L60" i="23" s="1"/>
  <c r="L35" i="8"/>
  <c r="L35" i="23" s="1"/>
  <c r="L87" i="23" s="1"/>
  <c r="P17" i="24"/>
  <c r="P59" i="24" s="1"/>
  <c r="X8" i="25"/>
  <c r="W17" i="9"/>
  <c r="W49" i="9"/>
  <c r="AH45" i="9"/>
  <c r="P8" i="9"/>
  <c r="U5" i="9"/>
  <c r="U53" i="7"/>
  <c r="U58" i="7" s="1"/>
  <c r="U34" i="8" s="1"/>
  <c r="T34" i="23" s="1"/>
  <c r="T86" i="23" s="1"/>
  <c r="AI10" i="9"/>
  <c r="V27" i="7"/>
  <c r="V51" i="7"/>
  <c r="V11" i="7"/>
  <c r="V8" i="7"/>
  <c r="V42" i="7"/>
  <c r="V33" i="7"/>
  <c r="V23" i="7"/>
  <c r="V40" i="7"/>
  <c r="V6" i="7"/>
  <c r="V7" i="7"/>
  <c r="V37" i="7"/>
  <c r="V18" i="7"/>
  <c r="V43" i="7"/>
  <c r="V48" i="7"/>
  <c r="V25" i="7"/>
  <c r="V45" i="7"/>
  <c r="V34" i="7"/>
  <c r="V10" i="7"/>
  <c r="V31" i="7"/>
  <c r="V21" i="7"/>
  <c r="V9" i="7"/>
  <c r="V29" i="7"/>
  <c r="V15" i="7"/>
  <c r="V41" i="7"/>
  <c r="V19" i="7"/>
  <c r="V38" i="7"/>
  <c r="V50" i="7"/>
  <c r="V12" i="7"/>
  <c r="V30" i="7"/>
  <c r="V5" i="7"/>
  <c r="V36" i="7"/>
  <c r="V32" i="7"/>
  <c r="V28" i="7"/>
  <c r="V13" i="7"/>
  <c r="V16" i="7"/>
  <c r="V49" i="7"/>
  <c r="V17" i="7"/>
  <c r="V35" i="7"/>
  <c r="V47" i="7"/>
  <c r="V46" i="7"/>
  <c r="V44" i="7"/>
  <c r="V26" i="7"/>
  <c r="V24" i="7"/>
  <c r="V39" i="7"/>
  <c r="V20" i="7"/>
  <c r="V22" i="7"/>
  <c r="V14" i="7"/>
  <c r="U32" i="9"/>
  <c r="AH46" i="9"/>
  <c r="AH5" i="9"/>
  <c r="AH53" i="7"/>
  <c r="AH58" i="7" s="1"/>
  <c r="AH36" i="9"/>
  <c r="AI16" i="9"/>
  <c r="AI44" i="9"/>
  <c r="Y60" i="6"/>
  <c r="Y54" i="8"/>
  <c r="Y58" i="8" s="1"/>
  <c r="Y54" i="7"/>
  <c r="Y54" i="9"/>
  <c r="L40" i="11"/>
  <c r="L20" i="11"/>
  <c r="L17" i="11"/>
  <c r="L7" i="11"/>
  <c r="L38" i="11"/>
  <c r="L25" i="11"/>
  <c r="L5" i="11"/>
  <c r="L14" i="11"/>
  <c r="L19" i="11"/>
  <c r="L8" i="11"/>
  <c r="L28" i="11"/>
  <c r="L33" i="11"/>
  <c r="L18" i="11"/>
  <c r="L30" i="11"/>
  <c r="L27" i="11"/>
  <c r="L41" i="11"/>
  <c r="L23" i="11"/>
  <c r="L16" i="11"/>
  <c r="L11" i="11"/>
  <c r="L12" i="11"/>
  <c r="L34" i="11"/>
  <c r="L15" i="11"/>
  <c r="L22" i="11"/>
  <c r="L9" i="11"/>
  <c r="M44" i="7"/>
  <c r="M44" i="9" s="1"/>
  <c r="M14" i="7"/>
  <c r="M14" i="9" s="1"/>
  <c r="M47" i="7"/>
  <c r="M47" i="9" s="1"/>
  <c r="M51" i="7"/>
  <c r="M42" i="7"/>
  <c r="M42" i="9" s="1"/>
  <c r="M29" i="7"/>
  <c r="M29" i="9" s="1"/>
  <c r="M8" i="7"/>
  <c r="M8" i="9" s="1"/>
  <c r="M5" i="7"/>
  <c r="M16" i="7"/>
  <c r="M16" i="9" s="1"/>
  <c r="M45" i="7"/>
  <c r="M45" i="9" s="1"/>
  <c r="M36" i="7"/>
  <c r="M36" i="9" s="1"/>
  <c r="M46" i="7"/>
  <c r="M46" i="9" s="1"/>
  <c r="M19" i="7"/>
  <c r="M19" i="9" s="1"/>
  <c r="M21" i="7"/>
  <c r="M49" i="7"/>
  <c r="M49" i="9" s="1"/>
  <c r="M25" i="7"/>
  <c r="M25" i="9" s="1"/>
  <c r="M30" i="7"/>
  <c r="M30" i="9" s="1"/>
  <c r="M43" i="7"/>
  <c r="M43" i="9" s="1"/>
  <c r="M28" i="7"/>
  <c r="M28" i="9" s="1"/>
  <c r="M40" i="7"/>
  <c r="M40" i="9" s="1"/>
  <c r="M7" i="7"/>
  <c r="M7" i="9" s="1"/>
  <c r="M38" i="7"/>
  <c r="M38" i="9" s="1"/>
  <c r="M10" i="7"/>
  <c r="M10" i="9" s="1"/>
  <c r="M24" i="7"/>
  <c r="M24" i="9" s="1"/>
  <c r="M11" i="7"/>
  <c r="M11" i="9" s="1"/>
  <c r="M33" i="7"/>
  <c r="M33" i="9" s="1"/>
  <c r="M39" i="7"/>
  <c r="M39" i="9" s="1"/>
  <c r="M27" i="7"/>
  <c r="M41" i="7"/>
  <c r="M41" i="9" s="1"/>
  <c r="M6" i="7"/>
  <c r="M12" i="7"/>
  <c r="M12" i="9" s="1"/>
  <c r="M34" i="7"/>
  <c r="M34" i="9" s="1"/>
  <c r="M9" i="7"/>
  <c r="M9" i="9" s="1"/>
  <c r="M20" i="7"/>
  <c r="M20" i="9" s="1"/>
  <c r="M32" i="7"/>
  <c r="M32" i="9" s="1"/>
  <c r="M35" i="7"/>
  <c r="M35" i="9" s="1"/>
  <c r="M26" i="7"/>
  <c r="M26" i="9" s="1"/>
  <c r="M18" i="7"/>
  <c r="M18" i="9" s="1"/>
  <c r="M31" i="7"/>
  <c r="M31" i="9" s="1"/>
  <c r="M48" i="7"/>
  <c r="M48" i="9" s="1"/>
  <c r="M15" i="7"/>
  <c r="M15" i="9" s="1"/>
  <c r="M50" i="7"/>
  <c r="M50" i="9" s="1"/>
  <c r="M22" i="7"/>
  <c r="M22" i="9" s="1"/>
  <c r="M17" i="7"/>
  <c r="M17" i="9" s="1"/>
  <c r="M23" i="7"/>
  <c r="M23" i="9" s="1"/>
  <c r="M37" i="7"/>
  <c r="P36" i="24"/>
  <c r="P78" i="24" s="1"/>
  <c r="L24" i="24"/>
  <c r="L66" i="24" s="1"/>
  <c r="L21" i="24"/>
  <c r="L63" i="24" s="1"/>
  <c r="L35" i="24"/>
  <c r="L77" i="24" s="1"/>
  <c r="S8" i="11"/>
  <c r="R8" i="12"/>
  <c r="R8" i="13"/>
  <c r="S8" i="13" s="1"/>
  <c r="R13" i="13"/>
  <c r="S13" i="13" s="1"/>
  <c r="R13" i="12"/>
  <c r="S13" i="11"/>
  <c r="R41" i="12"/>
  <c r="S41" i="11"/>
  <c r="R41" i="13"/>
  <c r="S41" i="13" s="1"/>
  <c r="R6" i="12"/>
  <c r="S6" i="11"/>
  <c r="R6" i="13"/>
  <c r="S6" i="13" s="1"/>
  <c r="S37" i="11"/>
  <c r="R37" i="12"/>
  <c r="R37" i="13"/>
  <c r="S37" i="13" s="1"/>
  <c r="M41" i="13"/>
  <c r="M41" i="12"/>
  <c r="S28" i="11"/>
  <c r="R28" i="13"/>
  <c r="S28" i="13" s="1"/>
  <c r="R28" i="12"/>
  <c r="S35" i="11"/>
  <c r="R35" i="12"/>
  <c r="R35" i="13"/>
  <c r="S35" i="13" s="1"/>
  <c r="R16" i="12"/>
  <c r="S16" i="11"/>
  <c r="R16" i="13"/>
  <c r="S16" i="13" s="1"/>
  <c r="S33" i="11"/>
  <c r="R33" i="13"/>
  <c r="S33" i="13" s="1"/>
  <c r="R33" i="12"/>
  <c r="R23" i="12"/>
  <c r="S23" i="11"/>
  <c r="R23" i="13"/>
  <c r="S23" i="13" s="1"/>
  <c r="M17" i="12"/>
  <c r="M17" i="13"/>
  <c r="M23" i="12"/>
  <c r="M23" i="13"/>
  <c r="M34" i="13"/>
  <c r="M29" i="12"/>
  <c r="R5" i="12"/>
  <c r="S5" i="11"/>
  <c r="R5" i="13"/>
  <c r="R43" i="11"/>
  <c r="R30" i="12"/>
  <c r="S30" i="11"/>
  <c r="R30" i="13"/>
  <c r="S30" i="13" s="1"/>
  <c r="R17" i="12"/>
  <c r="S17" i="11"/>
  <c r="R17" i="13"/>
  <c r="S17" i="13" s="1"/>
  <c r="R38" i="12"/>
  <c r="S38" i="11"/>
  <c r="R38" i="13"/>
  <c r="S38" i="13" s="1"/>
  <c r="S34" i="11"/>
  <c r="R34" i="12"/>
  <c r="R34" i="13"/>
  <c r="S34" i="13" s="1"/>
  <c r="U5" i="11"/>
  <c r="U23" i="11"/>
  <c r="U13" i="11"/>
  <c r="U38" i="11"/>
  <c r="U33" i="11"/>
  <c r="U8" i="11"/>
  <c r="U18" i="11"/>
  <c r="U14" i="11"/>
  <c r="U39" i="11"/>
  <c r="U29" i="11"/>
  <c r="U6" i="11"/>
  <c r="U19" i="11"/>
  <c r="U32" i="11"/>
  <c r="U34" i="11"/>
  <c r="U40" i="11"/>
  <c r="U9" i="11"/>
  <c r="U27" i="11"/>
  <c r="U25" i="11"/>
  <c r="U36" i="11"/>
  <c r="U41" i="11"/>
  <c r="U7" i="11"/>
  <c r="U35" i="11"/>
  <c r="U22" i="11"/>
  <c r="U11" i="11"/>
  <c r="U15" i="11"/>
  <c r="U24" i="11"/>
  <c r="U31" i="11"/>
  <c r="U21" i="11"/>
  <c r="U12" i="11"/>
  <c r="U17" i="11"/>
  <c r="U30" i="11"/>
  <c r="U20" i="11"/>
  <c r="U10" i="11"/>
  <c r="U28" i="11"/>
  <c r="U37" i="11"/>
  <c r="U26" i="11"/>
  <c r="U16" i="11"/>
  <c r="M22" i="12"/>
  <c r="M22" i="13"/>
  <c r="M31" i="13"/>
  <c r="P39" i="24"/>
  <c r="P81" i="24" s="1"/>
  <c r="L31" i="24"/>
  <c r="L73" i="24" s="1"/>
  <c r="R26" i="12"/>
  <c r="S26" i="11"/>
  <c r="R26" i="13"/>
  <c r="S26" i="13" s="1"/>
  <c r="R18" i="12"/>
  <c r="R18" i="13"/>
  <c r="S18" i="13" s="1"/>
  <c r="S18" i="11"/>
  <c r="R14" i="13"/>
  <c r="S14" i="13" s="1"/>
  <c r="R14" i="12"/>
  <c r="S14" i="11"/>
  <c r="R12" i="12"/>
  <c r="S12" i="11"/>
  <c r="R12" i="13"/>
  <c r="S12" i="13" s="1"/>
  <c r="R21" i="12"/>
  <c r="S21" i="11"/>
  <c r="R21" i="13"/>
  <c r="S21" i="13" s="1"/>
  <c r="M28" i="13"/>
  <c r="M28" i="12"/>
  <c r="M20" i="13"/>
  <c r="M20" i="12"/>
  <c r="M9" i="12"/>
  <c r="M9" i="13"/>
  <c r="M21" i="13"/>
  <c r="M21" i="12"/>
  <c r="R24" i="12"/>
  <c r="S24" i="11"/>
  <c r="R24" i="13"/>
  <c r="S24" i="13" s="1"/>
  <c r="R29" i="12"/>
  <c r="S29" i="11"/>
  <c r="R29" i="13"/>
  <c r="S29" i="13" s="1"/>
  <c r="R9" i="12"/>
  <c r="S9" i="11"/>
  <c r="R9" i="13"/>
  <c r="S9" i="13" s="1"/>
  <c r="S22" i="11"/>
  <c r="R22" i="13"/>
  <c r="S22" i="13" s="1"/>
  <c r="R22" i="12"/>
  <c r="T13" i="11"/>
  <c r="T41" i="11"/>
  <c r="T35" i="11"/>
  <c r="T7" i="11"/>
  <c r="T24" i="11"/>
  <c r="T9" i="11"/>
  <c r="T10" i="11"/>
  <c r="T6" i="11"/>
  <c r="T16" i="11"/>
  <c r="T34" i="11"/>
  <c r="T14" i="11"/>
  <c r="T22" i="11"/>
  <c r="T32" i="11"/>
  <c r="T36" i="11"/>
  <c r="T18" i="11"/>
  <c r="T37" i="11"/>
  <c r="T27" i="11"/>
  <c r="T23" i="11"/>
  <c r="T29" i="11"/>
  <c r="T5" i="11"/>
  <c r="T25" i="11"/>
  <c r="T38" i="11"/>
  <c r="T17" i="11"/>
  <c r="T19" i="11"/>
  <c r="T20" i="11"/>
  <c r="T21" i="11"/>
  <c r="T39" i="11"/>
  <c r="T28" i="11"/>
  <c r="T11" i="11"/>
  <c r="T33" i="11"/>
  <c r="T8" i="11"/>
  <c r="T15" i="11"/>
  <c r="T12" i="11"/>
  <c r="T26" i="11"/>
  <c r="T30" i="11"/>
  <c r="T40" i="11"/>
  <c r="T31" i="11"/>
  <c r="M12" i="12"/>
  <c r="M12" i="13"/>
  <c r="M36" i="12"/>
  <c r="M36" i="13"/>
  <c r="M16" i="12"/>
  <c r="M16" i="13"/>
  <c r="M11" i="12"/>
  <c r="M11" i="13"/>
  <c r="R20" i="12"/>
  <c r="R20" i="13"/>
  <c r="S20" i="13" s="1"/>
  <c r="S20" i="11"/>
  <c r="R27" i="12"/>
  <c r="S27" i="11"/>
  <c r="R27" i="13"/>
  <c r="S27" i="13" s="1"/>
  <c r="R31" i="12"/>
  <c r="S31" i="11"/>
  <c r="R31" i="13"/>
  <c r="S31" i="13" s="1"/>
  <c r="R32" i="13"/>
  <c r="S32" i="13" s="1"/>
  <c r="R32" i="12"/>
  <c r="S32" i="11"/>
  <c r="M5" i="12"/>
  <c r="M33" i="12"/>
  <c r="M33" i="13"/>
  <c r="M8" i="12"/>
  <c r="M8" i="13"/>
  <c r="R11" i="12"/>
  <c r="S11" i="12" s="1"/>
  <c r="S11" i="11"/>
  <c r="R11" i="13"/>
  <c r="S11" i="13" s="1"/>
  <c r="R39" i="12"/>
  <c r="S39" i="11"/>
  <c r="R39" i="13"/>
  <c r="S39" i="13" s="1"/>
  <c r="R36" i="12"/>
  <c r="S36" i="11"/>
  <c r="R36" i="13"/>
  <c r="S36" i="13" s="1"/>
  <c r="R10" i="12"/>
  <c r="S10" i="12" s="1"/>
  <c r="S10" i="11"/>
  <c r="R10" i="13"/>
  <c r="S10" i="13" s="1"/>
  <c r="M15" i="12"/>
  <c r="M15" i="13"/>
  <c r="M7" i="12"/>
  <c r="M7" i="13"/>
  <c r="M30" i="13"/>
  <c r="M19" i="13"/>
  <c r="R25" i="12"/>
  <c r="S25" i="11"/>
  <c r="R25" i="13"/>
  <c r="S25" i="13" s="1"/>
  <c r="R7" i="12"/>
  <c r="S7" i="11"/>
  <c r="R7" i="13"/>
  <c r="S7" i="13" s="1"/>
  <c r="R15" i="12"/>
  <c r="S15" i="11"/>
  <c r="R15" i="13"/>
  <c r="S15" i="13" s="1"/>
  <c r="R40" i="13"/>
  <c r="S40" i="13" s="1"/>
  <c r="R40" i="12"/>
  <c r="S40" i="11"/>
  <c r="S19" i="11"/>
  <c r="R19" i="12"/>
  <c r="R19" i="13"/>
  <c r="S19" i="13" s="1"/>
  <c r="M38" i="12"/>
  <c r="M38" i="13"/>
  <c r="M25" i="13"/>
  <c r="M25" i="12"/>
  <c r="M40" i="12"/>
  <c r="M40" i="13"/>
  <c r="M26" i="12"/>
  <c r="P14" i="24"/>
  <c r="P56" i="24" s="1"/>
  <c r="P8" i="24"/>
  <c r="P50" i="24" s="1"/>
  <c r="L10" i="24"/>
  <c r="L52" i="24" s="1"/>
  <c r="P5" i="24"/>
  <c r="P47" i="24" s="1"/>
  <c r="P22" i="24"/>
  <c r="P64" i="24" s="1"/>
  <c r="P30" i="24"/>
  <c r="P72" i="24" s="1"/>
  <c r="L6" i="24"/>
  <c r="L48" i="24" s="1"/>
  <c r="P35" i="24"/>
  <c r="P77" i="24" s="1"/>
  <c r="P34" i="24"/>
  <c r="P76" i="24" s="1"/>
  <c r="L13" i="24"/>
  <c r="L55" i="24" s="1"/>
  <c r="P32" i="24"/>
  <c r="P74" i="24" s="1"/>
  <c r="L36" i="24"/>
  <c r="L78" i="24" s="1"/>
  <c r="O8" i="24"/>
  <c r="O50" i="24" s="1"/>
  <c r="P6" i="24"/>
  <c r="P48" i="24" s="1"/>
  <c r="P27" i="24"/>
  <c r="P69" i="24" s="1"/>
  <c r="O28" i="24"/>
  <c r="O70" i="24" s="1"/>
  <c r="O22" i="24"/>
  <c r="O64" i="24" s="1"/>
  <c r="P37" i="24"/>
  <c r="P79" i="24" s="1"/>
  <c r="F11" i="26"/>
  <c r="G9" i="25"/>
  <c r="G11" i="25"/>
  <c r="L39" i="24"/>
  <c r="L81" i="24" s="1"/>
  <c r="L32" i="24"/>
  <c r="L74" i="24" s="1"/>
  <c r="L37" i="24"/>
  <c r="L79" i="24" s="1"/>
  <c r="AB46" i="13"/>
  <c r="AB46" i="12"/>
  <c r="AB46" i="10"/>
  <c r="AB46" i="11"/>
  <c r="T57" i="6"/>
  <c r="T55" i="9"/>
  <c r="T55" i="8"/>
  <c r="T55" i="7"/>
  <c r="T58" i="6"/>
  <c r="T56" i="9"/>
  <c r="T56" i="8"/>
  <c r="T56" i="7"/>
  <c r="Q45" i="13"/>
  <c r="Q45" i="12"/>
  <c r="Q45" i="10"/>
  <c r="Q45" i="11"/>
  <c r="F29" i="5"/>
  <c r="AM56" i="6"/>
  <c r="AM54" i="9"/>
  <c r="AM54" i="7"/>
  <c r="AM54" i="8" s="1"/>
  <c r="AD47" i="8" l="1"/>
  <c r="AA47" i="23"/>
  <c r="AA99" i="23" s="1"/>
  <c r="P43" i="11"/>
  <c r="O16" i="12"/>
  <c r="O16" i="13"/>
  <c r="O16" i="24" s="1"/>
  <c r="O58" i="24" s="1"/>
  <c r="O30" i="12"/>
  <c r="O30" i="24" s="1"/>
  <c r="O72" i="24" s="1"/>
  <c r="O30" i="13"/>
  <c r="M39" i="13"/>
  <c r="M39" i="24" s="1"/>
  <c r="M81" i="24" s="1"/>
  <c r="M37" i="13"/>
  <c r="V35" i="9"/>
  <c r="V29" i="9"/>
  <c r="O33" i="12"/>
  <c r="O33" i="13"/>
  <c r="O39" i="12"/>
  <c r="O39" i="24" s="1"/>
  <c r="O81" i="24" s="1"/>
  <c r="O39" i="13"/>
  <c r="O23" i="12"/>
  <c r="O23" i="24" s="1"/>
  <c r="O65" i="24" s="1"/>
  <c r="O23" i="13"/>
  <c r="AI21" i="8"/>
  <c r="AE21" i="23" s="1"/>
  <c r="AE73" i="23" s="1"/>
  <c r="X15" i="8"/>
  <c r="W15" i="23" s="1"/>
  <c r="W67" i="23" s="1"/>
  <c r="X42" i="8"/>
  <c r="W42" i="23" s="1"/>
  <c r="W94" i="23" s="1"/>
  <c r="X21" i="8"/>
  <c r="W21" i="23" s="1"/>
  <c r="W73" i="23" s="1"/>
  <c r="X8" i="8"/>
  <c r="W8" i="23" s="1"/>
  <c r="W60" i="23" s="1"/>
  <c r="X36" i="8"/>
  <c r="W36" i="23" s="1"/>
  <c r="W88" i="23" s="1"/>
  <c r="X51" i="8"/>
  <c r="W51" i="23" s="1"/>
  <c r="W103" i="23" s="1"/>
  <c r="X13" i="8"/>
  <c r="W13" i="23" s="1"/>
  <c r="W65" i="23" s="1"/>
  <c r="X35" i="8"/>
  <c r="W35" i="23" s="1"/>
  <c r="W87" i="23" s="1"/>
  <c r="X22" i="8"/>
  <c r="W22" i="23" s="1"/>
  <c r="W74" i="23" s="1"/>
  <c r="X25" i="8"/>
  <c r="W25" i="23" s="1"/>
  <c r="W77" i="23" s="1"/>
  <c r="X28" i="8"/>
  <c r="W28" i="23" s="1"/>
  <c r="W80" i="23" s="1"/>
  <c r="X32" i="8"/>
  <c r="W32" i="23" s="1"/>
  <c r="W84" i="23" s="1"/>
  <c r="X19" i="8"/>
  <c r="W19" i="23" s="1"/>
  <c r="W71" i="23" s="1"/>
  <c r="X5" i="8"/>
  <c r="X16" i="8"/>
  <c r="W16" i="23" s="1"/>
  <c r="W68" i="23" s="1"/>
  <c r="X44" i="8"/>
  <c r="W44" i="23" s="1"/>
  <c r="W96" i="23" s="1"/>
  <c r="X14" i="8"/>
  <c r="W14" i="23" s="1"/>
  <c r="W66" i="23" s="1"/>
  <c r="X11" i="8"/>
  <c r="W11" i="23" s="1"/>
  <c r="W63" i="23" s="1"/>
  <c r="X29" i="8"/>
  <c r="W29" i="23" s="1"/>
  <c r="W81" i="23" s="1"/>
  <c r="X23" i="8"/>
  <c r="W23" i="23" s="1"/>
  <c r="W75" i="23" s="1"/>
  <c r="X26" i="8"/>
  <c r="W26" i="23" s="1"/>
  <c r="W78" i="23" s="1"/>
  <c r="X9" i="8"/>
  <c r="W9" i="23" s="1"/>
  <c r="W61" i="23" s="1"/>
  <c r="X30" i="8"/>
  <c r="W30" i="23" s="1"/>
  <c r="W82" i="23" s="1"/>
  <c r="X37" i="8"/>
  <c r="W37" i="23" s="1"/>
  <c r="W89" i="23" s="1"/>
  <c r="X40" i="8"/>
  <c r="W40" i="23" s="1"/>
  <c r="W92" i="23" s="1"/>
  <c r="X38" i="8"/>
  <c r="W38" i="23" s="1"/>
  <c r="W90" i="23" s="1"/>
  <c r="X18" i="8"/>
  <c r="W18" i="23" s="1"/>
  <c r="W70" i="23" s="1"/>
  <c r="X49" i="8"/>
  <c r="W49" i="23" s="1"/>
  <c r="W101" i="23" s="1"/>
  <c r="X47" i="8"/>
  <c r="W47" i="23" s="1"/>
  <c r="W99" i="23" s="1"/>
  <c r="X10" i="8"/>
  <c r="W10" i="23" s="1"/>
  <c r="W62" i="23" s="1"/>
  <c r="X7" i="8"/>
  <c r="W7" i="23" s="1"/>
  <c r="W59" i="23" s="1"/>
  <c r="X43" i="8"/>
  <c r="W43" i="23" s="1"/>
  <c r="W95" i="23" s="1"/>
  <c r="X50" i="8"/>
  <c r="W50" i="23" s="1"/>
  <c r="W102" i="23" s="1"/>
  <c r="X33" i="8"/>
  <c r="W33" i="23" s="1"/>
  <c r="W85" i="23" s="1"/>
  <c r="X12" i="8"/>
  <c r="W12" i="23" s="1"/>
  <c r="W64" i="23" s="1"/>
  <c r="X46" i="8"/>
  <c r="W46" i="23" s="1"/>
  <c r="W98" i="23" s="1"/>
  <c r="X20" i="8"/>
  <c r="W20" i="23" s="1"/>
  <c r="W72" i="23" s="1"/>
  <c r="X27" i="8"/>
  <c r="W27" i="23" s="1"/>
  <c r="W79" i="23" s="1"/>
  <c r="X45" i="8"/>
  <c r="W45" i="23" s="1"/>
  <c r="W97" i="23" s="1"/>
  <c r="X31" i="8"/>
  <c r="W31" i="23" s="1"/>
  <c r="W83" i="23" s="1"/>
  <c r="X39" i="8"/>
  <c r="W39" i="23" s="1"/>
  <c r="W91" i="23" s="1"/>
  <c r="X48" i="8"/>
  <c r="W48" i="23" s="1"/>
  <c r="W100" i="23" s="1"/>
  <c r="X34" i="8"/>
  <c r="W34" i="23" s="1"/>
  <c r="W86" i="23" s="1"/>
  <c r="X17" i="8"/>
  <c r="W17" i="23" s="1"/>
  <c r="W69" i="23" s="1"/>
  <c r="O12" i="12"/>
  <c r="O12" i="13"/>
  <c r="O35" i="12"/>
  <c r="O35" i="13"/>
  <c r="O31" i="13"/>
  <c r="O31" i="24" s="1"/>
  <c r="O73" i="24" s="1"/>
  <c r="AC49" i="8"/>
  <c r="AC43" i="8"/>
  <c r="AC27" i="8"/>
  <c r="AC42" i="8"/>
  <c r="AC8" i="8"/>
  <c r="AC33" i="8"/>
  <c r="AC21" i="8"/>
  <c r="AC24" i="8"/>
  <c r="AC19" i="8"/>
  <c r="AC37" i="8"/>
  <c r="AC22" i="8"/>
  <c r="AC25" i="8"/>
  <c r="AC36" i="8"/>
  <c r="AC15" i="8"/>
  <c r="AC41" i="8"/>
  <c r="AC17" i="8"/>
  <c r="AC20" i="8"/>
  <c r="AC10" i="8"/>
  <c r="AC31" i="8"/>
  <c r="AC50" i="8"/>
  <c r="AC30" i="8"/>
  <c r="AC18" i="8"/>
  <c r="AC14" i="8"/>
  <c r="AC38" i="8"/>
  <c r="AC28" i="8"/>
  <c r="AC44" i="8"/>
  <c r="AC32" i="8"/>
  <c r="AC5" i="8"/>
  <c r="AC9" i="8"/>
  <c r="AC39" i="8"/>
  <c r="AC34" i="8"/>
  <c r="AC35" i="8"/>
  <c r="AC12" i="8"/>
  <c r="AC7" i="8"/>
  <c r="AC11" i="8"/>
  <c r="AC16" i="8"/>
  <c r="AC23" i="8"/>
  <c r="AC6" i="8"/>
  <c r="AC13" i="8"/>
  <c r="AC51" i="8"/>
  <c r="AC46" i="8"/>
  <c r="AC45" i="8"/>
  <c r="L22" i="8"/>
  <c r="L22" i="23" s="1"/>
  <c r="L74" i="23" s="1"/>
  <c r="L24" i="8"/>
  <c r="L24" i="23" s="1"/>
  <c r="L76" i="23" s="1"/>
  <c r="L17" i="8"/>
  <c r="L17" i="23" s="1"/>
  <c r="L69" i="23" s="1"/>
  <c r="L36" i="8"/>
  <c r="L36" i="23" s="1"/>
  <c r="L88" i="23" s="1"/>
  <c r="L32" i="8"/>
  <c r="L32" i="23" s="1"/>
  <c r="L84" i="23" s="1"/>
  <c r="L31" i="8"/>
  <c r="L31" i="23" s="1"/>
  <c r="L83" i="23" s="1"/>
  <c r="L21" i="8"/>
  <c r="L21" i="23" s="1"/>
  <c r="L73" i="23" s="1"/>
  <c r="L25" i="8"/>
  <c r="L25" i="23" s="1"/>
  <c r="L77" i="23" s="1"/>
  <c r="L5" i="8"/>
  <c r="L23" i="8"/>
  <c r="L23" i="23" s="1"/>
  <c r="L75" i="23" s="1"/>
  <c r="L20" i="8"/>
  <c r="L20" i="23" s="1"/>
  <c r="L72" i="23" s="1"/>
  <c r="L29" i="8"/>
  <c r="L29" i="23" s="1"/>
  <c r="L81" i="23" s="1"/>
  <c r="L38" i="8"/>
  <c r="L38" i="23" s="1"/>
  <c r="L90" i="23" s="1"/>
  <c r="L48" i="8"/>
  <c r="L48" i="23" s="1"/>
  <c r="L100" i="23" s="1"/>
  <c r="L41" i="8"/>
  <c r="L41" i="23" s="1"/>
  <c r="L93" i="23" s="1"/>
  <c r="L6" i="8"/>
  <c r="L6" i="23" s="1"/>
  <c r="L58" i="23" s="1"/>
  <c r="L44" i="8"/>
  <c r="L44" i="23" s="1"/>
  <c r="L96" i="23" s="1"/>
  <c r="L40" i="8"/>
  <c r="L40" i="23" s="1"/>
  <c r="L92" i="23" s="1"/>
  <c r="L34" i="8"/>
  <c r="L34" i="23" s="1"/>
  <c r="L86" i="23" s="1"/>
  <c r="O34" i="12"/>
  <c r="O34" i="13"/>
  <c r="X24" i="8"/>
  <c r="W24" i="23" s="1"/>
  <c r="W76" i="23" s="1"/>
  <c r="AD5" i="9"/>
  <c r="AD53" i="9" s="1"/>
  <c r="AC53" i="9"/>
  <c r="O32" i="13"/>
  <c r="O32" i="12"/>
  <c r="O32" i="24" s="1"/>
  <c r="O74" i="24" s="1"/>
  <c r="O24" i="13"/>
  <c r="O24" i="12"/>
  <c r="O24" i="24" s="1"/>
  <c r="O66" i="24" s="1"/>
  <c r="AC48" i="8"/>
  <c r="AC26" i="8"/>
  <c r="AD53" i="7"/>
  <c r="O41" i="12"/>
  <c r="O41" i="24" s="1"/>
  <c r="O83" i="24" s="1"/>
  <c r="O41" i="13"/>
  <c r="AC29" i="8"/>
  <c r="L47" i="8"/>
  <c r="L47" i="23" s="1"/>
  <c r="L99" i="23" s="1"/>
  <c r="O28" i="8"/>
  <c r="O28" i="23" s="1"/>
  <c r="O80" i="23" s="1"/>
  <c r="O16" i="8"/>
  <c r="O16" i="23" s="1"/>
  <c r="O68" i="23" s="1"/>
  <c r="O13" i="8"/>
  <c r="O13" i="23" s="1"/>
  <c r="O65" i="23" s="1"/>
  <c r="E9" i="25" s="1"/>
  <c r="O50" i="8"/>
  <c r="O50" i="23" s="1"/>
  <c r="O102" i="23" s="1"/>
  <c r="O6" i="8"/>
  <c r="O6" i="23" s="1"/>
  <c r="O58" i="23" s="1"/>
  <c r="O46" i="8"/>
  <c r="O46" i="23" s="1"/>
  <c r="O98" i="23" s="1"/>
  <c r="O32" i="8"/>
  <c r="O32" i="23" s="1"/>
  <c r="O84" i="23" s="1"/>
  <c r="O43" i="8"/>
  <c r="O43" i="23" s="1"/>
  <c r="O95" i="23" s="1"/>
  <c r="O40" i="8"/>
  <c r="O40" i="23" s="1"/>
  <c r="O92" i="23" s="1"/>
  <c r="AC40" i="8"/>
  <c r="G13" i="25"/>
  <c r="O11" i="12"/>
  <c r="O11" i="13"/>
  <c r="V16" i="9"/>
  <c r="V31" i="9"/>
  <c r="V11" i="9"/>
  <c r="O18" i="12"/>
  <c r="O18" i="13"/>
  <c r="O37" i="12"/>
  <c r="O37" i="13"/>
  <c r="O21" i="13"/>
  <c r="O21" i="12"/>
  <c r="O20" i="12"/>
  <c r="O20" i="24" s="1"/>
  <c r="O62" i="24" s="1"/>
  <c r="O20" i="13"/>
  <c r="M32" i="13"/>
  <c r="V13" i="9"/>
  <c r="O40" i="13"/>
  <c r="O40" i="12"/>
  <c r="O25" i="13"/>
  <c r="O25" i="12"/>
  <c r="O19" i="12"/>
  <c r="O19" i="13"/>
  <c r="V44" i="9"/>
  <c r="O13" i="12"/>
  <c r="O13" i="13"/>
  <c r="O15" i="12"/>
  <c r="O15" i="24" s="1"/>
  <c r="O57" i="24" s="1"/>
  <c r="O15" i="13"/>
  <c r="O14" i="12"/>
  <c r="O14" i="24" s="1"/>
  <c r="O56" i="24" s="1"/>
  <c r="O14" i="13"/>
  <c r="M10" i="13"/>
  <c r="M6" i="13"/>
  <c r="W28" i="8"/>
  <c r="V28" i="23" s="1"/>
  <c r="V80" i="23" s="1"/>
  <c r="O10" i="13"/>
  <c r="O10" i="12"/>
  <c r="O10" i="24" s="1"/>
  <c r="O52" i="24" s="1"/>
  <c r="O9" i="13"/>
  <c r="O9" i="12"/>
  <c r="O5" i="12"/>
  <c r="O5" i="13"/>
  <c r="O26" i="12"/>
  <c r="O26" i="24" s="1"/>
  <c r="O68" i="24" s="1"/>
  <c r="O26" i="13"/>
  <c r="M18" i="13"/>
  <c r="V14" i="9"/>
  <c r="V15" i="9"/>
  <c r="O38" i="12"/>
  <c r="O38" i="24" s="1"/>
  <c r="O80" i="24" s="1"/>
  <c r="O38" i="13"/>
  <c r="O27" i="12"/>
  <c r="O27" i="13"/>
  <c r="V17" i="23"/>
  <c r="V69" i="23" s="1"/>
  <c r="O29" i="12"/>
  <c r="O29" i="13"/>
  <c r="O36" i="12"/>
  <c r="O36" i="13"/>
  <c r="Q53" i="8"/>
  <c r="M37" i="24"/>
  <c r="M79" i="24" s="1"/>
  <c r="O7" i="12"/>
  <c r="O7" i="13"/>
  <c r="O6" i="12"/>
  <c r="O6" i="13"/>
  <c r="P53" i="9"/>
  <c r="Q13" i="11"/>
  <c r="Q31" i="11"/>
  <c r="P38" i="12"/>
  <c r="P38" i="13"/>
  <c r="P18" i="13"/>
  <c r="P18" i="12"/>
  <c r="P40" i="12"/>
  <c r="P40" i="13"/>
  <c r="V25" i="13"/>
  <c r="V25" i="12"/>
  <c r="V13" i="13"/>
  <c r="V13" i="12"/>
  <c r="V29" i="12"/>
  <c r="T29" i="24" s="1"/>
  <c r="T71" i="24" s="1"/>
  <c r="V29" i="13"/>
  <c r="V30" i="12"/>
  <c r="V30" i="13"/>
  <c r="V20" i="12"/>
  <c r="V20" i="13"/>
  <c r="U12" i="8"/>
  <c r="T12" i="23" s="1"/>
  <c r="T64" i="23" s="1"/>
  <c r="U10" i="8"/>
  <c r="T10" i="23" s="1"/>
  <c r="T62" i="23" s="1"/>
  <c r="P11" i="12"/>
  <c r="P11" i="24" s="1"/>
  <c r="P53" i="24" s="1"/>
  <c r="P11" i="13"/>
  <c r="P9" i="12"/>
  <c r="P9" i="13"/>
  <c r="P26" i="12"/>
  <c r="P26" i="13"/>
  <c r="V39" i="12"/>
  <c r="V39" i="13"/>
  <c r="V5" i="12"/>
  <c r="V5" i="13"/>
  <c r="V43" i="11"/>
  <c r="V40" i="12"/>
  <c r="V40" i="13"/>
  <c r="V32" i="12"/>
  <c r="V32" i="13"/>
  <c r="V16" i="13"/>
  <c r="V16" i="12"/>
  <c r="P31" i="13"/>
  <c r="P31" i="12"/>
  <c r="P21" i="12"/>
  <c r="P21" i="13"/>
  <c r="P10" i="12"/>
  <c r="P10" i="13"/>
  <c r="V24" i="13"/>
  <c r="V24" i="12"/>
  <c r="V36" i="13"/>
  <c r="V36" i="12"/>
  <c r="V18" i="13"/>
  <c r="V18" i="12"/>
  <c r="V34" i="13"/>
  <c r="V34" i="12"/>
  <c r="V41" i="12"/>
  <c r="V41" i="13"/>
  <c r="U43" i="8"/>
  <c r="T43" i="23" s="1"/>
  <c r="T95" i="23" s="1"/>
  <c r="U16" i="8"/>
  <c r="T16" i="23" s="1"/>
  <c r="T68" i="23" s="1"/>
  <c r="P7" i="13"/>
  <c r="P7" i="12"/>
  <c r="P20" i="12"/>
  <c r="P20" i="13"/>
  <c r="P15" i="12"/>
  <c r="P15" i="13"/>
  <c r="V9" i="12"/>
  <c r="V9" i="13"/>
  <c r="V27" i="13"/>
  <c r="V27" i="12"/>
  <c r="V22" i="13"/>
  <c r="V22" i="12"/>
  <c r="V17" i="12"/>
  <c r="V17" i="13"/>
  <c r="V26" i="13"/>
  <c r="V26" i="12"/>
  <c r="F9" i="26"/>
  <c r="AI44" i="8"/>
  <c r="AE44" i="23" s="1"/>
  <c r="AE96" i="23" s="1"/>
  <c r="P23" i="12"/>
  <c r="P23" i="13"/>
  <c r="P12" i="13"/>
  <c r="P12" i="12"/>
  <c r="V12" i="13"/>
  <c r="V12" i="12"/>
  <c r="T12" i="24" s="1"/>
  <c r="T54" i="24" s="1"/>
  <c r="V19" i="12"/>
  <c r="T19" i="24" s="1"/>
  <c r="T61" i="24" s="1"/>
  <c r="V19" i="13"/>
  <c r="V11" i="12"/>
  <c r="V11" i="13"/>
  <c r="V21" i="12"/>
  <c r="V21" i="13"/>
  <c r="V37" i="12"/>
  <c r="V37" i="13"/>
  <c r="U48" i="8"/>
  <c r="T48" i="23" s="1"/>
  <c r="T100" i="23" s="1"/>
  <c r="U14" i="8"/>
  <c r="T14" i="23" s="1"/>
  <c r="T66" i="23" s="1"/>
  <c r="P28" i="12"/>
  <c r="P28" i="13"/>
  <c r="P33" i="12"/>
  <c r="P33" i="13"/>
  <c r="V8" i="12"/>
  <c r="V8" i="13"/>
  <c r="V6" i="12"/>
  <c r="T6" i="24" s="1"/>
  <c r="T48" i="24" s="1"/>
  <c r="V6" i="13"/>
  <c r="V28" i="12"/>
  <c r="V28" i="13"/>
  <c r="V10" i="13"/>
  <c r="V10" i="12"/>
  <c r="M33" i="24"/>
  <c r="M75" i="24" s="1"/>
  <c r="M23" i="24"/>
  <c r="M65" i="24" s="1"/>
  <c r="U33" i="8"/>
  <c r="T33" i="23" s="1"/>
  <c r="T85" i="23" s="1"/>
  <c r="Q35" i="11"/>
  <c r="Q26" i="11"/>
  <c r="Q29" i="11"/>
  <c r="P19" i="12"/>
  <c r="P19" i="13"/>
  <c r="P25" i="13"/>
  <c r="P25" i="12"/>
  <c r="P25" i="24" s="1"/>
  <c r="P67" i="24" s="1"/>
  <c r="V38" i="12"/>
  <c r="T38" i="24" s="1"/>
  <c r="T80" i="24" s="1"/>
  <c r="V38" i="13"/>
  <c r="V15" i="12"/>
  <c r="V15" i="13"/>
  <c r="V7" i="12"/>
  <c r="V7" i="13"/>
  <c r="V14" i="13"/>
  <c r="V14" i="12"/>
  <c r="T14" i="24" s="1"/>
  <c r="T56" i="24" s="1"/>
  <c r="AI16" i="8"/>
  <c r="P13" i="12"/>
  <c r="P13" i="13"/>
  <c r="P24" i="12"/>
  <c r="P24" i="13"/>
  <c r="V35" i="13"/>
  <c r="V35" i="12"/>
  <c r="V33" i="13"/>
  <c r="V33" i="12"/>
  <c r="T33" i="24" s="1"/>
  <c r="T75" i="24" s="1"/>
  <c r="V31" i="13"/>
  <c r="V31" i="12"/>
  <c r="V23" i="12"/>
  <c r="V23" i="13"/>
  <c r="M27" i="9"/>
  <c r="U53" i="9"/>
  <c r="L7" i="12"/>
  <c r="L7" i="24" s="1"/>
  <c r="L49" i="24" s="1"/>
  <c r="Q7" i="11"/>
  <c r="L7" i="13"/>
  <c r="V20" i="9"/>
  <c r="V17" i="9"/>
  <c r="V30" i="9"/>
  <c r="V9" i="9"/>
  <c r="V43" i="9"/>
  <c r="V42" i="9"/>
  <c r="Q33" i="11"/>
  <c r="L33" i="13"/>
  <c r="L33" i="12"/>
  <c r="AA36" i="11"/>
  <c r="Z36" i="12"/>
  <c r="AA36" i="12" s="1"/>
  <c r="Z36" i="13"/>
  <c r="AA36" i="13" s="1"/>
  <c r="M51" i="9"/>
  <c r="Z5" i="12"/>
  <c r="Z5" i="13"/>
  <c r="AA5" i="11"/>
  <c r="Z43" i="11"/>
  <c r="AH47" i="8"/>
  <c r="AD47" i="23" s="1"/>
  <c r="AD99" i="23" s="1"/>
  <c r="AH48" i="8"/>
  <c r="AD48" i="23" s="1"/>
  <c r="AD100" i="23" s="1"/>
  <c r="AH32" i="8"/>
  <c r="AD32" i="23" s="1"/>
  <c r="AD84" i="23" s="1"/>
  <c r="AH38" i="8"/>
  <c r="AD38" i="23" s="1"/>
  <c r="AD90" i="23" s="1"/>
  <c r="AH33" i="8"/>
  <c r="AD33" i="23" s="1"/>
  <c r="AD85" i="23" s="1"/>
  <c r="AH5" i="8"/>
  <c r="AH17" i="8"/>
  <c r="AD17" i="23" s="1"/>
  <c r="AD69" i="23" s="1"/>
  <c r="AH37" i="8"/>
  <c r="AD37" i="23" s="1"/>
  <c r="AD89" i="23" s="1"/>
  <c r="AH30" i="8"/>
  <c r="AD30" i="23" s="1"/>
  <c r="AD82" i="23" s="1"/>
  <c r="AH20" i="8"/>
  <c r="AD20" i="23" s="1"/>
  <c r="AD72" i="23" s="1"/>
  <c r="AH7" i="8"/>
  <c r="AD7" i="23" s="1"/>
  <c r="AD59" i="23" s="1"/>
  <c r="AH26" i="8"/>
  <c r="AD26" i="23" s="1"/>
  <c r="AD78" i="23" s="1"/>
  <c r="AH15" i="8"/>
  <c r="AD15" i="23" s="1"/>
  <c r="AD67" i="23" s="1"/>
  <c r="AH23" i="8"/>
  <c r="AD23" i="23" s="1"/>
  <c r="AD75" i="23" s="1"/>
  <c r="AH50" i="8"/>
  <c r="AD50" i="23" s="1"/>
  <c r="AD102" i="23" s="1"/>
  <c r="AH11" i="8"/>
  <c r="AD11" i="23" s="1"/>
  <c r="AD63" i="23" s="1"/>
  <c r="AH19" i="8"/>
  <c r="AD19" i="23" s="1"/>
  <c r="AD71" i="23" s="1"/>
  <c r="AH28" i="8"/>
  <c r="AD28" i="23" s="1"/>
  <c r="AD80" i="23" s="1"/>
  <c r="AH21" i="8"/>
  <c r="AD21" i="23" s="1"/>
  <c r="AD73" i="23" s="1"/>
  <c r="AH49" i="8"/>
  <c r="AD49" i="23" s="1"/>
  <c r="AD101" i="23" s="1"/>
  <c r="AH8" i="8"/>
  <c r="AD8" i="23" s="1"/>
  <c r="AD60" i="23" s="1"/>
  <c r="AH12" i="8"/>
  <c r="AD12" i="23" s="1"/>
  <c r="AD64" i="23" s="1"/>
  <c r="AH34" i="8"/>
  <c r="AD34" i="23" s="1"/>
  <c r="AD86" i="23" s="1"/>
  <c r="AH27" i="8"/>
  <c r="AD27" i="23" s="1"/>
  <c r="AD79" i="23" s="1"/>
  <c r="AH42" i="8"/>
  <c r="AD42" i="23" s="1"/>
  <c r="AD94" i="23" s="1"/>
  <c r="AH51" i="8"/>
  <c r="AD51" i="23" s="1"/>
  <c r="AD103" i="23" s="1"/>
  <c r="AH43" i="8"/>
  <c r="AD43" i="23" s="1"/>
  <c r="AD95" i="23" s="1"/>
  <c r="AH40" i="8"/>
  <c r="AD40" i="23" s="1"/>
  <c r="AD92" i="23" s="1"/>
  <c r="AH29" i="8"/>
  <c r="AD29" i="23" s="1"/>
  <c r="AD81" i="23" s="1"/>
  <c r="AH16" i="8"/>
  <c r="AD16" i="23" s="1"/>
  <c r="AD68" i="23" s="1"/>
  <c r="AH13" i="8"/>
  <c r="AD13" i="23" s="1"/>
  <c r="AD65" i="23" s="1"/>
  <c r="AH44" i="8"/>
  <c r="AD44" i="23" s="1"/>
  <c r="AD96" i="23" s="1"/>
  <c r="AH10" i="8"/>
  <c r="AD10" i="23" s="1"/>
  <c r="AD62" i="23" s="1"/>
  <c r="AH22" i="8"/>
  <c r="AD22" i="23" s="1"/>
  <c r="AD74" i="23" s="1"/>
  <c r="AH24" i="8"/>
  <c r="AD24" i="23" s="1"/>
  <c r="AD76" i="23" s="1"/>
  <c r="AH9" i="8"/>
  <c r="AD9" i="23" s="1"/>
  <c r="AD61" i="23" s="1"/>
  <c r="AH36" i="8"/>
  <c r="AD36" i="23" s="1"/>
  <c r="AD88" i="23" s="1"/>
  <c r="AH14" i="8"/>
  <c r="AD14" i="23" s="1"/>
  <c r="AD66" i="23" s="1"/>
  <c r="AH39" i="8"/>
  <c r="AD39" i="23" s="1"/>
  <c r="AD91" i="23" s="1"/>
  <c r="AH45" i="8"/>
  <c r="AD45" i="23" s="1"/>
  <c r="AD97" i="23" s="1"/>
  <c r="AH18" i="8"/>
  <c r="AD18" i="23" s="1"/>
  <c r="AD70" i="23" s="1"/>
  <c r="AH41" i="8"/>
  <c r="AD41" i="23" s="1"/>
  <c r="AD93" i="23" s="1"/>
  <c r="AH25" i="8"/>
  <c r="AD25" i="23" s="1"/>
  <c r="AD77" i="23" s="1"/>
  <c r="AH31" i="8"/>
  <c r="AD31" i="23" s="1"/>
  <c r="AD83" i="23" s="1"/>
  <c r="AH46" i="8"/>
  <c r="AD46" i="23" s="1"/>
  <c r="AD98" i="23" s="1"/>
  <c r="AH35" i="8"/>
  <c r="AD35" i="23" s="1"/>
  <c r="AD87" i="23" s="1"/>
  <c r="AH6" i="8"/>
  <c r="AD6" i="23" s="1"/>
  <c r="AD58" i="23" s="1"/>
  <c r="P20" i="8"/>
  <c r="P20" i="23" s="1"/>
  <c r="P72" i="23" s="1"/>
  <c r="P13" i="8"/>
  <c r="P13" i="23" s="1"/>
  <c r="P65" i="23" s="1"/>
  <c r="P33" i="8"/>
  <c r="P33" i="23" s="1"/>
  <c r="P85" i="23" s="1"/>
  <c r="P27" i="8"/>
  <c r="P17" i="8"/>
  <c r="P17" i="23" s="1"/>
  <c r="P69" i="23" s="1"/>
  <c r="P50" i="8"/>
  <c r="P50" i="23" s="1"/>
  <c r="P102" i="23" s="1"/>
  <c r="P49" i="8"/>
  <c r="P49" i="23" s="1"/>
  <c r="P101" i="23" s="1"/>
  <c r="P15" i="8"/>
  <c r="P15" i="23" s="1"/>
  <c r="P67" i="23" s="1"/>
  <c r="P30" i="8"/>
  <c r="P30" i="23" s="1"/>
  <c r="P82" i="23" s="1"/>
  <c r="P39" i="8"/>
  <c r="P39" i="23" s="1"/>
  <c r="P91" i="23" s="1"/>
  <c r="P21" i="8"/>
  <c r="P35" i="8"/>
  <c r="P35" i="23" s="1"/>
  <c r="P87" i="23" s="1"/>
  <c r="P11" i="8"/>
  <c r="P11" i="23" s="1"/>
  <c r="P63" i="23" s="1"/>
  <c r="P34" i="8"/>
  <c r="P34" i="23" s="1"/>
  <c r="P86" i="23" s="1"/>
  <c r="P9" i="8"/>
  <c r="P9" i="23" s="1"/>
  <c r="P61" i="23" s="1"/>
  <c r="P5" i="8"/>
  <c r="P40" i="8"/>
  <c r="P40" i="23" s="1"/>
  <c r="P92" i="23" s="1"/>
  <c r="P31" i="8"/>
  <c r="P31" i="23" s="1"/>
  <c r="P83" i="23" s="1"/>
  <c r="P6" i="8"/>
  <c r="P6" i="23" s="1"/>
  <c r="P58" i="23" s="1"/>
  <c r="P47" i="8"/>
  <c r="P47" i="23" s="1"/>
  <c r="P99" i="23" s="1"/>
  <c r="P28" i="8"/>
  <c r="P12" i="8"/>
  <c r="P12" i="23" s="1"/>
  <c r="P64" i="23" s="1"/>
  <c r="P26" i="8"/>
  <c r="P45" i="8"/>
  <c r="P45" i="23" s="1"/>
  <c r="P97" i="23" s="1"/>
  <c r="P25" i="8"/>
  <c r="P25" i="23" s="1"/>
  <c r="P77" i="23" s="1"/>
  <c r="P51" i="8"/>
  <c r="P51" i="23" s="1"/>
  <c r="P103" i="23" s="1"/>
  <c r="P48" i="8"/>
  <c r="P48" i="23" s="1"/>
  <c r="P100" i="23" s="1"/>
  <c r="P32" i="8"/>
  <c r="P32" i="23" s="1"/>
  <c r="P84" i="23" s="1"/>
  <c r="P24" i="8"/>
  <c r="P36" i="8"/>
  <c r="P36" i="23" s="1"/>
  <c r="P88" i="23" s="1"/>
  <c r="P18" i="8"/>
  <c r="P18" i="23" s="1"/>
  <c r="P70" i="23" s="1"/>
  <c r="P23" i="8"/>
  <c r="P16" i="8"/>
  <c r="P16" i="23" s="1"/>
  <c r="P68" i="23" s="1"/>
  <c r="P41" i="8"/>
  <c r="P41" i="23" s="1"/>
  <c r="P93" i="23" s="1"/>
  <c r="P22" i="8"/>
  <c r="P38" i="8"/>
  <c r="P38" i="23" s="1"/>
  <c r="P90" i="23" s="1"/>
  <c r="P43" i="8"/>
  <c r="P43" i="23" s="1"/>
  <c r="P95" i="23" s="1"/>
  <c r="P7" i="8"/>
  <c r="P7" i="23" s="1"/>
  <c r="P59" i="23" s="1"/>
  <c r="P14" i="8"/>
  <c r="P14" i="23" s="1"/>
  <c r="P66" i="23" s="1"/>
  <c r="P44" i="8"/>
  <c r="P44" i="23" s="1"/>
  <c r="P96" i="23" s="1"/>
  <c r="P29" i="8"/>
  <c r="P46" i="8"/>
  <c r="P46" i="23" s="1"/>
  <c r="P98" i="23" s="1"/>
  <c r="P42" i="8"/>
  <c r="P42" i="23" s="1"/>
  <c r="P94" i="23" s="1"/>
  <c r="P10" i="8"/>
  <c r="P10" i="23" s="1"/>
  <c r="P62" i="23" s="1"/>
  <c r="P37" i="8"/>
  <c r="P37" i="23" s="1"/>
  <c r="P89" i="23" s="1"/>
  <c r="P8" i="8"/>
  <c r="P8" i="23" s="1"/>
  <c r="P60" i="23" s="1"/>
  <c r="P19" i="8"/>
  <c r="P19" i="23" s="1"/>
  <c r="P71" i="23" s="1"/>
  <c r="L12" i="12"/>
  <c r="Q12" i="11"/>
  <c r="L12" i="13"/>
  <c r="AA7" i="11"/>
  <c r="Z7" i="12"/>
  <c r="AA7" i="12" s="1"/>
  <c r="Z7" i="13"/>
  <c r="AA7" i="13" s="1"/>
  <c r="M37" i="9"/>
  <c r="M6" i="9"/>
  <c r="M21" i="9"/>
  <c r="L15" i="13"/>
  <c r="L15" i="12"/>
  <c r="Q15" i="11"/>
  <c r="L30" i="12"/>
  <c r="Q30" i="11"/>
  <c r="L30" i="13"/>
  <c r="Q25" i="11"/>
  <c r="L25" i="13"/>
  <c r="L25" i="12"/>
  <c r="AA20" i="11"/>
  <c r="Z20" i="12"/>
  <c r="Z20" i="13"/>
  <c r="AA20" i="13" s="1"/>
  <c r="Z37" i="12"/>
  <c r="AA37" i="12" s="1"/>
  <c r="Z37" i="13"/>
  <c r="AA37" i="13" s="1"/>
  <c r="AA37" i="11"/>
  <c r="N14" i="13"/>
  <c r="N14" i="12"/>
  <c r="N11" i="12"/>
  <c r="N11" i="13"/>
  <c r="N30" i="12"/>
  <c r="N30" i="13"/>
  <c r="N20" i="13"/>
  <c r="N20" i="12"/>
  <c r="N40" i="12"/>
  <c r="N40" i="13"/>
  <c r="W43" i="8"/>
  <c r="V43" i="23" s="1"/>
  <c r="V95" i="23" s="1"/>
  <c r="W9" i="8"/>
  <c r="V9" i="23" s="1"/>
  <c r="V61" i="23" s="1"/>
  <c r="W37" i="8"/>
  <c r="V37" i="23" s="1"/>
  <c r="V89" i="23" s="1"/>
  <c r="W14" i="8"/>
  <c r="V14" i="23" s="1"/>
  <c r="V66" i="23" s="1"/>
  <c r="W32" i="8"/>
  <c r="V32" i="23" s="1"/>
  <c r="V84" i="23" s="1"/>
  <c r="W30" i="8"/>
  <c r="V30" i="23" s="1"/>
  <c r="V82" i="23" s="1"/>
  <c r="W40" i="8"/>
  <c r="V40" i="23" s="1"/>
  <c r="V92" i="23" s="1"/>
  <c r="W45" i="8"/>
  <c r="V45" i="23" s="1"/>
  <c r="V97" i="23" s="1"/>
  <c r="W31" i="8"/>
  <c r="V31" i="23" s="1"/>
  <c r="V83" i="23" s="1"/>
  <c r="W34" i="8"/>
  <c r="V34" i="23" s="1"/>
  <c r="V86" i="23" s="1"/>
  <c r="W47" i="8"/>
  <c r="V47" i="23" s="1"/>
  <c r="V99" i="23" s="1"/>
  <c r="W50" i="8"/>
  <c r="V50" i="23" s="1"/>
  <c r="V102" i="23" s="1"/>
  <c r="W35" i="8"/>
  <c r="V35" i="23" s="1"/>
  <c r="V87" i="23" s="1"/>
  <c r="W8" i="8"/>
  <c r="V8" i="23" s="1"/>
  <c r="V60" i="23" s="1"/>
  <c r="W15" i="8"/>
  <c r="V15" i="23" s="1"/>
  <c r="V67" i="23" s="1"/>
  <c r="W16" i="8"/>
  <c r="V16" i="23" s="1"/>
  <c r="V68" i="23" s="1"/>
  <c r="W33" i="8"/>
  <c r="V33" i="23" s="1"/>
  <c r="V85" i="23" s="1"/>
  <c r="W48" i="8"/>
  <c r="V48" i="23" s="1"/>
  <c r="V100" i="23" s="1"/>
  <c r="W25" i="8"/>
  <c r="V25" i="23" s="1"/>
  <c r="V77" i="23" s="1"/>
  <c r="W41" i="8"/>
  <c r="V41" i="23" s="1"/>
  <c r="V93" i="23" s="1"/>
  <c r="W12" i="8"/>
  <c r="V12" i="23" s="1"/>
  <c r="V64" i="23" s="1"/>
  <c r="W42" i="8"/>
  <c r="V42" i="23" s="1"/>
  <c r="V94" i="23" s="1"/>
  <c r="W21" i="8"/>
  <c r="V21" i="23" s="1"/>
  <c r="V73" i="23" s="1"/>
  <c r="W7" i="8"/>
  <c r="V7" i="23" s="1"/>
  <c r="V59" i="23" s="1"/>
  <c r="W26" i="8"/>
  <c r="V26" i="23" s="1"/>
  <c r="V78" i="23" s="1"/>
  <c r="W44" i="8"/>
  <c r="V44" i="23" s="1"/>
  <c r="V96" i="23" s="1"/>
  <c r="W39" i="8"/>
  <c r="V39" i="23" s="1"/>
  <c r="V91" i="23" s="1"/>
  <c r="W27" i="8"/>
  <c r="V27" i="23" s="1"/>
  <c r="V79" i="23" s="1"/>
  <c r="W38" i="8"/>
  <c r="V38" i="23" s="1"/>
  <c r="V90" i="23" s="1"/>
  <c r="W10" i="8"/>
  <c r="V10" i="23" s="1"/>
  <c r="V62" i="23" s="1"/>
  <c r="W23" i="8"/>
  <c r="V23" i="23" s="1"/>
  <c r="V75" i="23" s="1"/>
  <c r="W24" i="8"/>
  <c r="V24" i="23" s="1"/>
  <c r="V76" i="23" s="1"/>
  <c r="W20" i="8"/>
  <c r="V20" i="23" s="1"/>
  <c r="V72" i="23" s="1"/>
  <c r="W22" i="8"/>
  <c r="V22" i="23" s="1"/>
  <c r="V74" i="23" s="1"/>
  <c r="W29" i="8"/>
  <c r="V29" i="23" s="1"/>
  <c r="V81" i="23" s="1"/>
  <c r="W18" i="8"/>
  <c r="V18" i="23" s="1"/>
  <c r="V70" i="23" s="1"/>
  <c r="W6" i="8"/>
  <c r="V6" i="23" s="1"/>
  <c r="V58" i="23" s="1"/>
  <c r="W46" i="8"/>
  <c r="V46" i="23" s="1"/>
  <c r="V98" i="23" s="1"/>
  <c r="M18" i="24"/>
  <c r="M60" i="24" s="1"/>
  <c r="M28" i="24"/>
  <c r="M70" i="24" s="1"/>
  <c r="M31" i="12"/>
  <c r="M29" i="13"/>
  <c r="M29" i="24" s="1"/>
  <c r="M71" i="24" s="1"/>
  <c r="Q34" i="11"/>
  <c r="L34" i="12"/>
  <c r="L34" i="13"/>
  <c r="L18" i="12"/>
  <c r="Q18" i="11"/>
  <c r="L18" i="13"/>
  <c r="L38" i="12"/>
  <c r="Q38" i="11"/>
  <c r="L38" i="13"/>
  <c r="Y12" i="7"/>
  <c r="Y6" i="7"/>
  <c r="Y50" i="7"/>
  <c r="Y50" i="9" s="1"/>
  <c r="Y49" i="7"/>
  <c r="Y51" i="7"/>
  <c r="Y16" i="7"/>
  <c r="Y16" i="9" s="1"/>
  <c r="AB16" i="9" s="1"/>
  <c r="Y7" i="7"/>
  <c r="Y21" i="7"/>
  <c r="Y23" i="7"/>
  <c r="Y33" i="7"/>
  <c r="Y19" i="7"/>
  <c r="Y37" i="7"/>
  <c r="Y37" i="9" s="1"/>
  <c r="Y44" i="7"/>
  <c r="Y8" i="7"/>
  <c r="Y39" i="7"/>
  <c r="Y43" i="7"/>
  <c r="Y43" i="9" s="1"/>
  <c r="AB43" i="9" s="1"/>
  <c r="Y41" i="7"/>
  <c r="Y22" i="7"/>
  <c r="Y5" i="7"/>
  <c r="Y25" i="7"/>
  <c r="Y15" i="7"/>
  <c r="Y34" i="7"/>
  <c r="Y30" i="7"/>
  <c r="Y30" i="9" s="1"/>
  <c r="Y26" i="7"/>
  <c r="Y32" i="7"/>
  <c r="Y11" i="7"/>
  <c r="Y11" i="9" s="1"/>
  <c r="Y17" i="7"/>
  <c r="Y17" i="9" s="1"/>
  <c r="AB17" i="9" s="1"/>
  <c r="Y14" i="7"/>
  <c r="Y47" i="7"/>
  <c r="Y36" i="7"/>
  <c r="Y29" i="7"/>
  <c r="Y38" i="7"/>
  <c r="Y13" i="7"/>
  <c r="Y46" i="7"/>
  <c r="Y45" i="7"/>
  <c r="Y31" i="7"/>
  <c r="Y31" i="9" s="1"/>
  <c r="AB31" i="9" s="1"/>
  <c r="Y42" i="7"/>
  <c r="Y42" i="9" s="1"/>
  <c r="AB42" i="9" s="1"/>
  <c r="Y9" i="7"/>
  <c r="Y9" i="9" s="1"/>
  <c r="Y10" i="7"/>
  <c r="Y27" i="7"/>
  <c r="Y40" i="7"/>
  <c r="Y28" i="7"/>
  <c r="Y20" i="7"/>
  <c r="Y20" i="9" s="1"/>
  <c r="AB20" i="9" s="1"/>
  <c r="Y18" i="7"/>
  <c r="Y48" i="7"/>
  <c r="Y35" i="7"/>
  <c r="Y24" i="7"/>
  <c r="Y24" i="9" s="1"/>
  <c r="AH53" i="9"/>
  <c r="V39" i="9"/>
  <c r="V49" i="9"/>
  <c r="V12" i="9"/>
  <c r="V21" i="9"/>
  <c r="V18" i="9"/>
  <c r="V8" i="9"/>
  <c r="P9" i="25"/>
  <c r="P15" i="25" s="1"/>
  <c r="P7" i="25"/>
  <c r="P13" i="25" s="1"/>
  <c r="P11" i="25"/>
  <c r="AA34" i="11"/>
  <c r="Z34" i="12"/>
  <c r="Z34" i="13"/>
  <c r="AA34" i="13" s="1"/>
  <c r="Z19" i="13"/>
  <c r="AA19" i="13" s="1"/>
  <c r="Z19" i="12"/>
  <c r="AA19" i="11"/>
  <c r="AA6" i="11"/>
  <c r="Z6" i="12"/>
  <c r="Z6" i="13"/>
  <c r="AA6" i="13" s="1"/>
  <c r="Z24" i="12"/>
  <c r="AA24" i="11"/>
  <c r="Z24" i="13"/>
  <c r="AA24" i="13" s="1"/>
  <c r="AA27" i="11"/>
  <c r="Z27" i="12"/>
  <c r="Z27" i="13"/>
  <c r="AA27" i="13" s="1"/>
  <c r="W36" i="8"/>
  <c r="V36" i="23" s="1"/>
  <c r="V88" i="23" s="1"/>
  <c r="U22" i="8"/>
  <c r="T22" i="23" s="1"/>
  <c r="T74" i="23" s="1"/>
  <c r="N16" i="13"/>
  <c r="N16" i="12"/>
  <c r="N31" i="13"/>
  <c r="Q31" i="13" s="1"/>
  <c r="N31" i="12"/>
  <c r="N15" i="12"/>
  <c r="N15" i="13"/>
  <c r="N7" i="12"/>
  <c r="N7" i="13"/>
  <c r="N28" i="12"/>
  <c r="N28" i="13"/>
  <c r="V24" i="9"/>
  <c r="V50" i="9"/>
  <c r="V37" i="9"/>
  <c r="AA9" i="11"/>
  <c r="Z9" i="12"/>
  <c r="Z9" i="13"/>
  <c r="AA9" i="13" s="1"/>
  <c r="Z16" i="13"/>
  <c r="AA16" i="13" s="1"/>
  <c r="AA16" i="11"/>
  <c r="Z16" i="12"/>
  <c r="AA16" i="12" s="1"/>
  <c r="Z18" i="12"/>
  <c r="Z18" i="13"/>
  <c r="AA18" i="13" s="1"/>
  <c r="AA18" i="11"/>
  <c r="Z25" i="12"/>
  <c r="AA25" i="12" s="1"/>
  <c r="AA25" i="11"/>
  <c r="Z25" i="13"/>
  <c r="AA25" i="13" s="1"/>
  <c r="AA12" i="11"/>
  <c r="Z12" i="12"/>
  <c r="AA12" i="12" s="1"/>
  <c r="Z12" i="13"/>
  <c r="AA12" i="13" s="1"/>
  <c r="N5" i="13"/>
  <c r="N5" i="12"/>
  <c r="N43" i="11"/>
  <c r="N34" i="12"/>
  <c r="N34" i="13"/>
  <c r="N17" i="13"/>
  <c r="N17" i="12"/>
  <c r="N21" i="13"/>
  <c r="Q21" i="13" s="1"/>
  <c r="N21" i="12"/>
  <c r="Q21" i="12" s="1"/>
  <c r="N24" i="12"/>
  <c r="N24" i="13"/>
  <c r="Q24" i="11"/>
  <c r="M26" i="13"/>
  <c r="M26" i="24" s="1"/>
  <c r="M68" i="24" s="1"/>
  <c r="M43" i="11"/>
  <c r="M21" i="24"/>
  <c r="M63" i="24" s="1"/>
  <c r="M13" i="12"/>
  <c r="M22" i="24"/>
  <c r="M64" i="24" s="1"/>
  <c r="L11" i="12"/>
  <c r="Q11" i="11"/>
  <c r="L11" i="13"/>
  <c r="Q11" i="13" s="1"/>
  <c r="Q28" i="11"/>
  <c r="L28" i="13"/>
  <c r="L28" i="12"/>
  <c r="L17" i="12"/>
  <c r="Q17" i="11"/>
  <c r="L17" i="13"/>
  <c r="V26" i="9"/>
  <c r="V38" i="9"/>
  <c r="V10" i="9"/>
  <c r="V7" i="9"/>
  <c r="V51" i="9"/>
  <c r="U39" i="8"/>
  <c r="T39" i="23" s="1"/>
  <c r="T91" i="23" s="1"/>
  <c r="Z26" i="12"/>
  <c r="AA26" i="11"/>
  <c r="Z26" i="13"/>
  <c r="AA26" i="13" s="1"/>
  <c r="Z22" i="13"/>
  <c r="AA22" i="13" s="1"/>
  <c r="Z22" i="12"/>
  <c r="AA22" i="11"/>
  <c r="Z17" i="13"/>
  <c r="AA17" i="13" s="1"/>
  <c r="Z17" i="12"/>
  <c r="AA17" i="11"/>
  <c r="AA14" i="11"/>
  <c r="Z14" i="12"/>
  <c r="Z14" i="13"/>
  <c r="AA14" i="13" s="1"/>
  <c r="Z15" i="12"/>
  <c r="Z15" i="13"/>
  <c r="AA15" i="13" s="1"/>
  <c r="AA15" i="11"/>
  <c r="AI53" i="9"/>
  <c r="N22" i="12"/>
  <c r="N22" i="13"/>
  <c r="N39" i="12"/>
  <c r="N39" i="13"/>
  <c r="Q39" i="13" s="1"/>
  <c r="N36" i="13"/>
  <c r="Q36" i="13" s="1"/>
  <c r="N36" i="12"/>
  <c r="Q36" i="12" s="1"/>
  <c r="N26" i="12"/>
  <c r="N26" i="13"/>
  <c r="N8" i="12"/>
  <c r="N8" i="13"/>
  <c r="W13" i="8"/>
  <c r="V13" i="23" s="1"/>
  <c r="V65" i="23" s="1"/>
  <c r="Q37" i="11"/>
  <c r="Q39" i="11"/>
  <c r="N30" i="24"/>
  <c r="N72" i="24" s="1"/>
  <c r="M14" i="13"/>
  <c r="M13" i="13"/>
  <c r="L16" i="12"/>
  <c r="L16" i="13"/>
  <c r="Q16" i="13" s="1"/>
  <c r="Q16" i="11"/>
  <c r="Q8" i="11"/>
  <c r="L8" i="13"/>
  <c r="L8" i="12"/>
  <c r="Q20" i="11"/>
  <c r="L20" i="12"/>
  <c r="L20" i="13"/>
  <c r="V28" i="9"/>
  <c r="V19" i="9"/>
  <c r="V34" i="9"/>
  <c r="V6" i="9"/>
  <c r="V27" i="9"/>
  <c r="U15" i="8"/>
  <c r="T15" i="23" s="1"/>
  <c r="T67" i="23" s="1"/>
  <c r="Z21" i="12"/>
  <c r="Z21" i="13"/>
  <c r="AA21" i="13" s="1"/>
  <c r="AA21" i="11"/>
  <c r="Z28" i="12"/>
  <c r="Z28" i="13"/>
  <c r="AA28" i="13" s="1"/>
  <c r="AA28" i="11"/>
  <c r="AA13" i="11"/>
  <c r="Z13" i="13"/>
  <c r="AA13" i="13" s="1"/>
  <c r="Z13" i="12"/>
  <c r="AA41" i="11"/>
  <c r="Z41" i="12"/>
  <c r="Z41" i="13"/>
  <c r="AA41" i="13" s="1"/>
  <c r="AI29" i="8"/>
  <c r="AE29" i="23" s="1"/>
  <c r="AE81" i="23" s="1"/>
  <c r="AI17" i="8"/>
  <c r="AE17" i="23" s="1"/>
  <c r="AE69" i="23" s="1"/>
  <c r="AI19" i="8"/>
  <c r="AE19" i="23" s="1"/>
  <c r="AE71" i="23" s="1"/>
  <c r="AI24" i="8"/>
  <c r="AE24" i="23" s="1"/>
  <c r="AE76" i="23" s="1"/>
  <c r="AI9" i="8"/>
  <c r="AE9" i="23" s="1"/>
  <c r="AE61" i="23" s="1"/>
  <c r="AI27" i="8"/>
  <c r="AE27" i="23" s="1"/>
  <c r="AE79" i="23" s="1"/>
  <c r="AI49" i="8"/>
  <c r="AE49" i="23" s="1"/>
  <c r="AE101" i="23" s="1"/>
  <c r="AI7" i="8"/>
  <c r="AE7" i="23" s="1"/>
  <c r="AE59" i="23" s="1"/>
  <c r="AI30" i="8"/>
  <c r="AE30" i="23" s="1"/>
  <c r="AE82" i="23" s="1"/>
  <c r="AI43" i="8"/>
  <c r="AE43" i="23" s="1"/>
  <c r="AE95" i="23" s="1"/>
  <c r="AI25" i="8"/>
  <c r="AE25" i="23" s="1"/>
  <c r="AE77" i="23" s="1"/>
  <c r="AI35" i="8"/>
  <c r="AE35" i="23" s="1"/>
  <c r="AE87" i="23" s="1"/>
  <c r="AI12" i="8"/>
  <c r="AE12" i="23" s="1"/>
  <c r="AE64" i="23" s="1"/>
  <c r="AI37" i="8"/>
  <c r="AE37" i="23" s="1"/>
  <c r="AE89" i="23" s="1"/>
  <c r="AI40" i="8"/>
  <c r="AE40" i="23" s="1"/>
  <c r="AE92" i="23" s="1"/>
  <c r="AI32" i="8"/>
  <c r="AE32" i="23" s="1"/>
  <c r="AE84" i="23" s="1"/>
  <c r="AI11" i="8"/>
  <c r="AE11" i="23" s="1"/>
  <c r="AE63" i="23" s="1"/>
  <c r="AI6" i="8"/>
  <c r="AE6" i="23" s="1"/>
  <c r="AE58" i="23" s="1"/>
  <c r="AI14" i="8"/>
  <c r="AE14" i="23" s="1"/>
  <c r="AE66" i="23" s="1"/>
  <c r="AI28" i="8"/>
  <c r="AE28" i="23" s="1"/>
  <c r="AE80" i="23" s="1"/>
  <c r="AI20" i="8"/>
  <c r="AE20" i="23" s="1"/>
  <c r="AE72" i="23" s="1"/>
  <c r="AI48" i="8"/>
  <c r="AE48" i="23" s="1"/>
  <c r="AE100" i="23" s="1"/>
  <c r="AI22" i="8"/>
  <c r="AE22" i="23" s="1"/>
  <c r="AE74" i="23" s="1"/>
  <c r="AI36" i="8"/>
  <c r="AE36" i="23" s="1"/>
  <c r="AE88" i="23" s="1"/>
  <c r="AI31" i="8"/>
  <c r="AE31" i="23" s="1"/>
  <c r="AE83" i="23" s="1"/>
  <c r="AI50" i="8"/>
  <c r="AE50" i="23" s="1"/>
  <c r="AE102" i="23" s="1"/>
  <c r="AI34" i="8"/>
  <c r="AE34" i="23" s="1"/>
  <c r="AE86" i="23" s="1"/>
  <c r="AI47" i="8"/>
  <c r="AE47" i="23" s="1"/>
  <c r="AE99" i="23" s="1"/>
  <c r="AI46" i="8"/>
  <c r="AE46" i="23" s="1"/>
  <c r="AE98" i="23" s="1"/>
  <c r="AI38" i="8"/>
  <c r="AE38" i="23" s="1"/>
  <c r="AE90" i="23" s="1"/>
  <c r="AI26" i="8"/>
  <c r="AE26" i="23" s="1"/>
  <c r="AE78" i="23" s="1"/>
  <c r="AI5" i="8"/>
  <c r="AI23" i="8"/>
  <c r="AE23" i="23" s="1"/>
  <c r="AE75" i="23" s="1"/>
  <c r="AI18" i="8"/>
  <c r="AE18" i="23" s="1"/>
  <c r="AE70" i="23" s="1"/>
  <c r="AI39" i="8"/>
  <c r="AE39" i="23" s="1"/>
  <c r="AE91" i="23" s="1"/>
  <c r="AI45" i="8"/>
  <c r="AE45" i="23" s="1"/>
  <c r="AE97" i="23" s="1"/>
  <c r="AI41" i="8"/>
  <c r="AE41" i="23" s="1"/>
  <c r="AE93" i="23" s="1"/>
  <c r="AI33" i="8"/>
  <c r="AE33" i="23" s="1"/>
  <c r="AE85" i="23" s="1"/>
  <c r="AI8" i="8"/>
  <c r="AE8" i="23" s="1"/>
  <c r="AE60" i="23" s="1"/>
  <c r="N27" i="12"/>
  <c r="N27" i="13"/>
  <c r="N38" i="12"/>
  <c r="N38" i="13"/>
  <c r="N35" i="12"/>
  <c r="N35" i="13"/>
  <c r="N37" i="12"/>
  <c r="N37" i="13"/>
  <c r="Q37" i="13" s="1"/>
  <c r="W19" i="8"/>
  <c r="V19" i="23" s="1"/>
  <c r="V71" i="23" s="1"/>
  <c r="U8" i="8"/>
  <c r="T8" i="23" s="1"/>
  <c r="T60" i="23" s="1"/>
  <c r="Q10" i="11"/>
  <c r="Q6" i="11"/>
  <c r="Q32" i="11"/>
  <c r="AB16" i="7"/>
  <c r="AB11" i="7"/>
  <c r="M8" i="24"/>
  <c r="M50" i="24" s="1"/>
  <c r="M27" i="13"/>
  <c r="M35" i="13"/>
  <c r="M32" i="24"/>
  <c r="M74" i="24" s="1"/>
  <c r="M24" i="13"/>
  <c r="L23" i="12"/>
  <c r="L23" i="13"/>
  <c r="Q23" i="11"/>
  <c r="L19" i="13"/>
  <c r="L19" i="12"/>
  <c r="Q19" i="11"/>
  <c r="Q40" i="11"/>
  <c r="L40" i="12"/>
  <c r="L40" i="13"/>
  <c r="AE16" i="23"/>
  <c r="AE68" i="23" s="1"/>
  <c r="U32" i="8"/>
  <c r="T32" i="23" s="1"/>
  <c r="T84" i="23" s="1"/>
  <c r="V46" i="9"/>
  <c r="V32" i="9"/>
  <c r="V41" i="9"/>
  <c r="V45" i="9"/>
  <c r="V40" i="9"/>
  <c r="AI10" i="8"/>
  <c r="AE10" i="23" s="1"/>
  <c r="AE62" i="23" s="1"/>
  <c r="AA31" i="11"/>
  <c r="Z31" i="12"/>
  <c r="Z31" i="13"/>
  <c r="AA31" i="13" s="1"/>
  <c r="Z32" i="13"/>
  <c r="AA32" i="13" s="1"/>
  <c r="AA32" i="11"/>
  <c r="Z32" i="12"/>
  <c r="AA8" i="11"/>
  <c r="Z8" i="12"/>
  <c r="Z8" i="13"/>
  <c r="AA8" i="13" s="1"/>
  <c r="Z29" i="13"/>
  <c r="AA29" i="13" s="1"/>
  <c r="AA29" i="11"/>
  <c r="Z29" i="12"/>
  <c r="AI42" i="8"/>
  <c r="AE42" i="23" s="1"/>
  <c r="AE94" i="23" s="1"/>
  <c r="N41" i="12"/>
  <c r="N41" i="13"/>
  <c r="N32" i="12"/>
  <c r="N32" i="13"/>
  <c r="Q32" i="13" s="1"/>
  <c r="N10" i="12"/>
  <c r="N10" i="13"/>
  <c r="Q10" i="13" s="1"/>
  <c r="N33" i="12"/>
  <c r="N33" i="13"/>
  <c r="AI13" i="8"/>
  <c r="AE13" i="23" s="1"/>
  <c r="AE65" i="23" s="1"/>
  <c r="W11" i="8"/>
  <c r="V11" i="23" s="1"/>
  <c r="V63" i="23" s="1"/>
  <c r="AB24" i="7"/>
  <c r="M25" i="24"/>
  <c r="M67" i="24" s="1"/>
  <c r="M35" i="12"/>
  <c r="M24" i="12"/>
  <c r="M43" i="12" s="1"/>
  <c r="M5" i="9"/>
  <c r="M53" i="7"/>
  <c r="M58" i="7" s="1"/>
  <c r="M27" i="8" s="1"/>
  <c r="M27" i="23" s="1"/>
  <c r="M79" i="23" s="1"/>
  <c r="Q9" i="11"/>
  <c r="L9" i="12"/>
  <c r="L9" i="13"/>
  <c r="L41" i="12"/>
  <c r="Q41" i="11"/>
  <c r="L41" i="13"/>
  <c r="Q14" i="11"/>
  <c r="L14" i="12"/>
  <c r="L14" i="13"/>
  <c r="V47" i="9"/>
  <c r="V36" i="9"/>
  <c r="V25" i="9"/>
  <c r="V23" i="9"/>
  <c r="W49" i="8"/>
  <c r="V49" i="23" s="1"/>
  <c r="V101" i="23" s="1"/>
  <c r="U26" i="8"/>
  <c r="T26" i="23" s="1"/>
  <c r="T78" i="23" s="1"/>
  <c r="AA38" i="11"/>
  <c r="Z38" i="12"/>
  <c r="Z38" i="13"/>
  <c r="AA38" i="13" s="1"/>
  <c r="AA39" i="11"/>
  <c r="Z39" i="12"/>
  <c r="Z39" i="13"/>
  <c r="AA39" i="13" s="1"/>
  <c r="Z23" i="13"/>
  <c r="AA23" i="13" s="1"/>
  <c r="Z23" i="12"/>
  <c r="AA23" i="11"/>
  <c r="AA10" i="11"/>
  <c r="Z10" i="12"/>
  <c r="Z10" i="13"/>
  <c r="AA10" i="13" s="1"/>
  <c r="S58" i="7"/>
  <c r="R58" i="7"/>
  <c r="U47" i="8"/>
  <c r="T47" i="23" s="1"/>
  <c r="T99" i="23" s="1"/>
  <c r="N29" i="12"/>
  <c r="Q29" i="12" s="1"/>
  <c r="N29" i="13"/>
  <c r="N18" i="12"/>
  <c r="N18" i="13"/>
  <c r="N19" i="12"/>
  <c r="N19" i="13"/>
  <c r="N9" i="12"/>
  <c r="N9" i="13"/>
  <c r="W5" i="8"/>
  <c r="Q36" i="11"/>
  <c r="AB31" i="7"/>
  <c r="N21" i="24"/>
  <c r="N63" i="24" s="1"/>
  <c r="M20" i="24"/>
  <c r="M62" i="24" s="1"/>
  <c r="M41" i="24"/>
  <c r="M83" i="24" s="1"/>
  <c r="L22" i="13"/>
  <c r="Q22" i="11"/>
  <c r="L22" i="12"/>
  <c r="L27" i="12"/>
  <c r="Q27" i="11"/>
  <c r="L27" i="13"/>
  <c r="L5" i="12"/>
  <c r="Q5" i="11"/>
  <c r="L5" i="13"/>
  <c r="L43" i="11"/>
  <c r="V22" i="9"/>
  <c r="V5" i="9"/>
  <c r="V53" i="7"/>
  <c r="V58" i="7" s="1"/>
  <c r="V43" i="8" s="1"/>
  <c r="U43" i="23" s="1"/>
  <c r="U95" i="23" s="1"/>
  <c r="V48" i="9"/>
  <c r="V33" i="9"/>
  <c r="U25" i="8"/>
  <c r="T25" i="23" s="1"/>
  <c r="T77" i="23" s="1"/>
  <c r="U11" i="8"/>
  <c r="T11" i="23" s="1"/>
  <c r="T63" i="23" s="1"/>
  <c r="U9" i="8"/>
  <c r="T9" i="23" s="1"/>
  <c r="T61" i="23" s="1"/>
  <c r="U42" i="8"/>
  <c r="T42" i="23" s="1"/>
  <c r="T94" i="23" s="1"/>
  <c r="U30" i="8"/>
  <c r="T30" i="23" s="1"/>
  <c r="T82" i="23" s="1"/>
  <c r="U21" i="8"/>
  <c r="T21" i="23" s="1"/>
  <c r="T73" i="23" s="1"/>
  <c r="U17" i="8"/>
  <c r="T17" i="23" s="1"/>
  <c r="T69" i="23" s="1"/>
  <c r="U45" i="8"/>
  <c r="T45" i="23" s="1"/>
  <c r="T97" i="23" s="1"/>
  <c r="U35" i="8"/>
  <c r="T35" i="23" s="1"/>
  <c r="T87" i="23" s="1"/>
  <c r="U36" i="8"/>
  <c r="T36" i="23" s="1"/>
  <c r="T88" i="23" s="1"/>
  <c r="U23" i="8"/>
  <c r="T23" i="23" s="1"/>
  <c r="T75" i="23" s="1"/>
  <c r="U13" i="8"/>
  <c r="T13" i="23" s="1"/>
  <c r="T65" i="23" s="1"/>
  <c r="U38" i="8"/>
  <c r="T38" i="23" s="1"/>
  <c r="T90" i="23" s="1"/>
  <c r="U7" i="8"/>
  <c r="T7" i="23" s="1"/>
  <c r="T59" i="23" s="1"/>
  <c r="U24" i="8"/>
  <c r="T24" i="23" s="1"/>
  <c r="T76" i="23" s="1"/>
  <c r="U27" i="8"/>
  <c r="T27" i="23" s="1"/>
  <c r="T79" i="23" s="1"/>
  <c r="U44" i="8"/>
  <c r="T44" i="23" s="1"/>
  <c r="T96" i="23" s="1"/>
  <c r="U29" i="8"/>
  <c r="T29" i="23" s="1"/>
  <c r="T81" i="23" s="1"/>
  <c r="U18" i="8"/>
  <c r="T18" i="23" s="1"/>
  <c r="T70" i="23" s="1"/>
  <c r="U5" i="8"/>
  <c r="U37" i="8"/>
  <c r="T37" i="23" s="1"/>
  <c r="T89" i="23" s="1"/>
  <c r="U40" i="8"/>
  <c r="T40" i="23" s="1"/>
  <c r="T92" i="23" s="1"/>
  <c r="U50" i="8"/>
  <c r="T50" i="23" s="1"/>
  <c r="T102" i="23" s="1"/>
  <c r="U51" i="8"/>
  <c r="T51" i="23" s="1"/>
  <c r="T103" i="23" s="1"/>
  <c r="U20" i="8"/>
  <c r="T20" i="23" s="1"/>
  <c r="T72" i="23" s="1"/>
  <c r="U19" i="8"/>
  <c r="T19" i="23" s="1"/>
  <c r="T71" i="23" s="1"/>
  <c r="U28" i="8"/>
  <c r="T28" i="23" s="1"/>
  <c r="T80" i="23" s="1"/>
  <c r="U6" i="8"/>
  <c r="T6" i="23" s="1"/>
  <c r="T58" i="23" s="1"/>
  <c r="U41" i="8"/>
  <c r="T41" i="23" s="1"/>
  <c r="T93" i="23" s="1"/>
  <c r="U31" i="8"/>
  <c r="T31" i="23" s="1"/>
  <c r="T83" i="23" s="1"/>
  <c r="U46" i="8"/>
  <c r="T46" i="23" s="1"/>
  <c r="T98" i="23" s="1"/>
  <c r="O7" i="25"/>
  <c r="O13" i="25" s="1"/>
  <c r="O9" i="25"/>
  <c r="O15" i="25" s="1"/>
  <c r="O11" i="25"/>
  <c r="U49" i="8"/>
  <c r="T49" i="23" s="1"/>
  <c r="T101" i="23" s="1"/>
  <c r="AA11" i="11"/>
  <c r="Z11" i="12"/>
  <c r="Z11" i="13"/>
  <c r="AA11" i="13" s="1"/>
  <c r="Z40" i="12"/>
  <c r="AA40" i="11"/>
  <c r="Z40" i="13"/>
  <c r="AA40" i="13" s="1"/>
  <c r="AA30" i="11"/>
  <c r="Z30" i="12"/>
  <c r="Z30" i="13"/>
  <c r="AA30" i="13" s="1"/>
  <c r="AA35" i="11"/>
  <c r="Z35" i="12"/>
  <c r="Z35" i="13"/>
  <c r="AA35" i="13" s="1"/>
  <c r="AA33" i="11"/>
  <c r="Z33" i="12"/>
  <c r="Z33" i="13"/>
  <c r="AA33" i="13" s="1"/>
  <c r="N6" i="12"/>
  <c r="N6" i="24" s="1"/>
  <c r="N48" i="24" s="1"/>
  <c r="N6" i="13"/>
  <c r="N13" i="12"/>
  <c r="N13" i="13"/>
  <c r="N12" i="12"/>
  <c r="N12" i="13"/>
  <c r="N25" i="12"/>
  <c r="N25" i="13"/>
  <c r="N23" i="12"/>
  <c r="N23" i="24" s="1"/>
  <c r="N65" i="24" s="1"/>
  <c r="N23" i="13"/>
  <c r="W51" i="8"/>
  <c r="V51" i="23" s="1"/>
  <c r="V103" i="23" s="1"/>
  <c r="W53" i="9"/>
  <c r="Q21" i="11"/>
  <c r="M40" i="24"/>
  <c r="M82" i="24" s="1"/>
  <c r="S19" i="12"/>
  <c r="Q19" i="24"/>
  <c r="Q61" i="24" s="1"/>
  <c r="M7" i="24"/>
  <c r="M49" i="24" s="1"/>
  <c r="S20" i="12"/>
  <c r="Q20" i="24"/>
  <c r="Q62" i="24" s="1"/>
  <c r="M35" i="24"/>
  <c r="M77" i="24" s="1"/>
  <c r="T40" i="12"/>
  <c r="T40" i="13"/>
  <c r="W40" i="11"/>
  <c r="AB40" i="11" s="1"/>
  <c r="W28" i="11"/>
  <c r="AB28" i="11" s="1"/>
  <c r="V22" i="29" s="1"/>
  <c r="T28" i="13"/>
  <c r="T28" i="12"/>
  <c r="T5" i="12"/>
  <c r="T5" i="13"/>
  <c r="T43" i="11"/>
  <c r="W5" i="11"/>
  <c r="T22" i="12"/>
  <c r="T22" i="13"/>
  <c r="W22" i="11"/>
  <c r="W7" i="11"/>
  <c r="T7" i="12"/>
  <c r="T7" i="13"/>
  <c r="Q12" i="24"/>
  <c r="Q54" i="24" s="1"/>
  <c r="S12" i="12"/>
  <c r="U10" i="12"/>
  <c r="U10" i="13"/>
  <c r="U15" i="12"/>
  <c r="U15" i="13"/>
  <c r="U27" i="12"/>
  <c r="U27" i="13"/>
  <c r="U39" i="12"/>
  <c r="U39" i="13"/>
  <c r="U5" i="13"/>
  <c r="U43" i="11"/>
  <c r="U5" i="12"/>
  <c r="S5" i="12"/>
  <c r="R43" i="12"/>
  <c r="Q5" i="24"/>
  <c r="Q47" i="24" s="1"/>
  <c r="M34" i="24"/>
  <c r="M76" i="24" s="1"/>
  <c r="S33" i="12"/>
  <c r="Q33" i="24"/>
  <c r="Q75" i="24" s="1"/>
  <c r="M6" i="24"/>
  <c r="M48" i="24" s="1"/>
  <c r="S37" i="12"/>
  <c r="Q37" i="24"/>
  <c r="Q79" i="24" s="1"/>
  <c r="T30" i="12"/>
  <c r="T30" i="13"/>
  <c r="W30" i="11"/>
  <c r="T39" i="12"/>
  <c r="T39" i="13"/>
  <c r="R39" i="24" s="1"/>
  <c r="R81" i="24" s="1"/>
  <c r="W39" i="11"/>
  <c r="AB39" i="11" s="1"/>
  <c r="V30" i="29" s="1"/>
  <c r="T29" i="13"/>
  <c r="T29" i="12"/>
  <c r="W29" i="11"/>
  <c r="AB29" i="11" s="1"/>
  <c r="V23" i="29" s="1"/>
  <c r="T14" i="12"/>
  <c r="T14" i="13"/>
  <c r="W14" i="11"/>
  <c r="T35" i="12"/>
  <c r="T35" i="13"/>
  <c r="W35" i="11"/>
  <c r="S9" i="12"/>
  <c r="Q9" i="24"/>
  <c r="Q51" i="24" s="1"/>
  <c r="S26" i="12"/>
  <c r="Q26" i="24"/>
  <c r="Q68" i="24" s="1"/>
  <c r="U20" i="13"/>
  <c r="U20" i="12"/>
  <c r="U11" i="12"/>
  <c r="S11" i="24" s="1"/>
  <c r="S53" i="24" s="1"/>
  <c r="U11" i="13"/>
  <c r="U9" i="12"/>
  <c r="U9" i="13"/>
  <c r="U14" i="12"/>
  <c r="U14" i="13"/>
  <c r="Q17" i="24"/>
  <c r="Q59" i="24" s="1"/>
  <c r="S17" i="12"/>
  <c r="S28" i="12"/>
  <c r="Q28" i="24"/>
  <c r="Q70" i="24" s="1"/>
  <c r="S13" i="12"/>
  <c r="Q13" i="24"/>
  <c r="Q55" i="24" s="1"/>
  <c r="S7" i="12"/>
  <c r="Q7" i="24"/>
  <c r="Q49" i="24" s="1"/>
  <c r="M14" i="24"/>
  <c r="M56" i="24" s="1"/>
  <c r="S36" i="12"/>
  <c r="Q36" i="24"/>
  <c r="Q78" i="24" s="1"/>
  <c r="M5" i="24"/>
  <c r="M47" i="24" s="1"/>
  <c r="S31" i="12"/>
  <c r="Q31" i="24"/>
  <c r="Q73" i="24" s="1"/>
  <c r="M16" i="24"/>
  <c r="M58" i="24" s="1"/>
  <c r="T26" i="12"/>
  <c r="T26" i="13"/>
  <c r="W26" i="11"/>
  <c r="T21" i="12"/>
  <c r="T21" i="13"/>
  <c r="W21" i="11"/>
  <c r="T23" i="13"/>
  <c r="W23" i="11"/>
  <c r="T23" i="12"/>
  <c r="T34" i="12"/>
  <c r="T34" i="13"/>
  <c r="W34" i="11"/>
  <c r="AB34" i="11" s="1"/>
  <c r="X34" i="13" s="1"/>
  <c r="Y34" i="13" s="1"/>
  <c r="T41" i="12"/>
  <c r="T41" i="13"/>
  <c r="W41" i="11"/>
  <c r="AB41" i="11" s="1"/>
  <c r="V33" i="29" s="1"/>
  <c r="S14" i="12"/>
  <c r="Q14" i="24"/>
  <c r="Q56" i="24" s="1"/>
  <c r="U30" i="12"/>
  <c r="U30" i="13"/>
  <c r="U22" i="12"/>
  <c r="U22" i="13"/>
  <c r="U40" i="12"/>
  <c r="U40" i="13"/>
  <c r="U18" i="13"/>
  <c r="U18" i="12"/>
  <c r="S34" i="12"/>
  <c r="Q34" i="24"/>
  <c r="Q76" i="24" s="1"/>
  <c r="S40" i="12"/>
  <c r="Q40" i="24"/>
  <c r="Q82" i="24" s="1"/>
  <c r="T12" i="13"/>
  <c r="T12" i="12"/>
  <c r="W12" i="11"/>
  <c r="T20" i="12"/>
  <c r="T20" i="13"/>
  <c r="W20" i="11"/>
  <c r="AB20" i="11" s="1"/>
  <c r="V12" i="29" s="1"/>
  <c r="T27" i="13"/>
  <c r="T27" i="12"/>
  <c r="W27" i="11"/>
  <c r="T16" i="12"/>
  <c r="T16" i="13"/>
  <c r="W16" i="11"/>
  <c r="AB16" i="11" s="1"/>
  <c r="V10" i="29" s="1"/>
  <c r="T13" i="12"/>
  <c r="T13" i="13"/>
  <c r="W13" i="11"/>
  <c r="U17" i="12"/>
  <c r="U17" i="13"/>
  <c r="U35" i="12"/>
  <c r="U35" i="13"/>
  <c r="U34" i="12"/>
  <c r="U34" i="13"/>
  <c r="U8" i="12"/>
  <c r="U8" i="13"/>
  <c r="M38" i="24"/>
  <c r="M80" i="24" s="1"/>
  <c r="M19" i="24"/>
  <c r="M61" i="24" s="1"/>
  <c r="M15" i="24"/>
  <c r="M57" i="24" s="1"/>
  <c r="M27" i="24"/>
  <c r="M69" i="24" s="1"/>
  <c r="M36" i="24"/>
  <c r="M78" i="24" s="1"/>
  <c r="T15" i="12"/>
  <c r="T15" i="13"/>
  <c r="W15" i="11"/>
  <c r="T19" i="12"/>
  <c r="T19" i="13"/>
  <c r="W19" i="11"/>
  <c r="AB19" i="11" s="1"/>
  <c r="X19" i="13" s="1"/>
  <c r="Y19" i="13" s="1"/>
  <c r="T37" i="12"/>
  <c r="R37" i="24" s="1"/>
  <c r="R79" i="24" s="1"/>
  <c r="T37" i="13"/>
  <c r="W37" i="11"/>
  <c r="T6" i="12"/>
  <c r="T6" i="13"/>
  <c r="W6" i="11"/>
  <c r="Q22" i="24"/>
  <c r="Q64" i="24" s="1"/>
  <c r="S22" i="12"/>
  <c r="S29" i="12"/>
  <c r="Q29" i="24"/>
  <c r="Q71" i="24" s="1"/>
  <c r="M9" i="24"/>
  <c r="M51" i="24" s="1"/>
  <c r="U16" i="12"/>
  <c r="U16" i="13"/>
  <c r="U12" i="12"/>
  <c r="U12" i="13"/>
  <c r="U7" i="12"/>
  <c r="U7" i="13"/>
  <c r="W7" i="13" s="1"/>
  <c r="U32" i="12"/>
  <c r="U32" i="13"/>
  <c r="U33" i="12"/>
  <c r="U33" i="13"/>
  <c r="S30" i="12"/>
  <c r="Q30" i="24"/>
  <c r="Q72" i="24" s="1"/>
  <c r="Q7" i="12"/>
  <c r="M17" i="24"/>
  <c r="M59" i="24" s="1"/>
  <c r="S6" i="12"/>
  <c r="Q6" i="24"/>
  <c r="Q48" i="24" s="1"/>
  <c r="S8" i="12"/>
  <c r="Q8" i="24"/>
  <c r="Q50" i="24" s="1"/>
  <c r="S25" i="12"/>
  <c r="Q25" i="24"/>
  <c r="Q67" i="24" s="1"/>
  <c r="S39" i="12"/>
  <c r="Q39" i="24"/>
  <c r="Q81" i="24" s="1"/>
  <c r="S27" i="12"/>
  <c r="Q27" i="24"/>
  <c r="Q69" i="24" s="1"/>
  <c r="T8" i="12"/>
  <c r="T8" i="13"/>
  <c r="W8" i="11"/>
  <c r="T17" i="12"/>
  <c r="T17" i="13"/>
  <c r="W17" i="13" s="1"/>
  <c r="W17" i="11"/>
  <c r="T18" i="13"/>
  <c r="T18" i="12"/>
  <c r="W18" i="11"/>
  <c r="AB18" i="11" s="1"/>
  <c r="X18" i="13" s="1"/>
  <c r="Y18" i="13" s="1"/>
  <c r="T10" i="12"/>
  <c r="T10" i="13"/>
  <c r="W10" i="11"/>
  <c r="AB10" i="11" s="1"/>
  <c r="V9" i="29" s="1"/>
  <c r="Q21" i="24"/>
  <c r="Q63" i="24" s="1"/>
  <c r="S21" i="12"/>
  <c r="U26" i="12"/>
  <c r="U26" i="13"/>
  <c r="U21" i="12"/>
  <c r="U21" i="13"/>
  <c r="U41" i="12"/>
  <c r="U41" i="13"/>
  <c r="U19" i="12"/>
  <c r="U19" i="13"/>
  <c r="U38" i="12"/>
  <c r="U38" i="13"/>
  <c r="S16" i="12"/>
  <c r="Q16" i="24"/>
  <c r="Q58" i="24" s="1"/>
  <c r="M10" i="24"/>
  <c r="M52" i="24" s="1"/>
  <c r="M30" i="24"/>
  <c r="M72" i="24" s="1"/>
  <c r="S32" i="12"/>
  <c r="Q32" i="24"/>
  <c r="Q74" i="24" s="1"/>
  <c r="M11" i="24"/>
  <c r="M53" i="24" s="1"/>
  <c r="M12" i="24"/>
  <c r="M54" i="24" s="1"/>
  <c r="T33" i="12"/>
  <c r="T33" i="13"/>
  <c r="W33" i="11"/>
  <c r="AB33" i="11" s="1"/>
  <c r="X33" i="13" s="1"/>
  <c r="Y33" i="13" s="1"/>
  <c r="T38" i="12"/>
  <c r="T38" i="13"/>
  <c r="W38" i="11"/>
  <c r="T36" i="12"/>
  <c r="T36" i="13"/>
  <c r="W36" i="11"/>
  <c r="T9" i="13"/>
  <c r="T9" i="12"/>
  <c r="W9" i="11"/>
  <c r="AB9" i="11" s="1"/>
  <c r="V7" i="29" s="1"/>
  <c r="Q18" i="24"/>
  <c r="Q60" i="24" s="1"/>
  <c r="S18" i="12"/>
  <c r="U37" i="12"/>
  <c r="U37" i="13"/>
  <c r="U31" i="12"/>
  <c r="U31" i="13"/>
  <c r="U36" i="13"/>
  <c r="U36" i="12"/>
  <c r="U6" i="12"/>
  <c r="U6" i="13"/>
  <c r="U13" i="12"/>
  <c r="U13" i="13"/>
  <c r="S38" i="12"/>
  <c r="Q38" i="24"/>
  <c r="Q80" i="24" s="1"/>
  <c r="S5" i="13"/>
  <c r="S43" i="13" s="1"/>
  <c r="R43" i="13"/>
  <c r="Q10" i="24"/>
  <c r="Q52" i="24" s="1"/>
  <c r="S15" i="12"/>
  <c r="Q15" i="24"/>
  <c r="Q57" i="24" s="1"/>
  <c r="T31" i="12"/>
  <c r="T31" i="13"/>
  <c r="W31" i="11"/>
  <c r="AB31" i="11" s="1"/>
  <c r="X31" i="13" s="1"/>
  <c r="T11" i="12"/>
  <c r="T11" i="13"/>
  <c r="W11" i="11"/>
  <c r="AB11" i="11" s="1"/>
  <c r="V11" i="29" s="1"/>
  <c r="T25" i="12"/>
  <c r="T25" i="13"/>
  <c r="W25" i="11"/>
  <c r="AB25" i="11" s="1"/>
  <c r="V18" i="29" s="1"/>
  <c r="T32" i="12"/>
  <c r="W32" i="12" s="1"/>
  <c r="T32" i="13"/>
  <c r="W32" i="11"/>
  <c r="AB32" i="11" s="1"/>
  <c r="T24" i="13"/>
  <c r="W24" i="11"/>
  <c r="T24" i="12"/>
  <c r="R24" i="24" s="1"/>
  <c r="R66" i="24" s="1"/>
  <c r="S24" i="12"/>
  <c r="Q24" i="24"/>
  <c r="Q66" i="24" s="1"/>
  <c r="U28" i="12"/>
  <c r="U28" i="13"/>
  <c r="U24" i="12"/>
  <c r="U24" i="13"/>
  <c r="U25" i="12"/>
  <c r="U25" i="13"/>
  <c r="U29" i="12"/>
  <c r="U29" i="13"/>
  <c r="W29" i="13" s="1"/>
  <c r="U23" i="12"/>
  <c r="U23" i="13"/>
  <c r="W23" i="13" s="1"/>
  <c r="S43" i="11"/>
  <c r="S23" i="12"/>
  <c r="Q23" i="24"/>
  <c r="Q65" i="24" s="1"/>
  <c r="S35" i="12"/>
  <c r="Q35" i="24"/>
  <c r="Q77" i="24" s="1"/>
  <c r="S41" i="12"/>
  <c r="Q41" i="24"/>
  <c r="Q83" i="24" s="1"/>
  <c r="Q11" i="24"/>
  <c r="Q53" i="24" s="1"/>
  <c r="F15" i="26"/>
  <c r="F14" i="26"/>
  <c r="G15" i="25"/>
  <c r="G14" i="25"/>
  <c r="AM58" i="6"/>
  <c r="AM56" i="9"/>
  <c r="AM56" i="8"/>
  <c r="AM56" i="7"/>
  <c r="X28" i="13"/>
  <c r="AB11" i="9"/>
  <c r="AE55" i="9"/>
  <c r="AE55" i="7"/>
  <c r="AE55" i="8"/>
  <c r="AO54" i="8" s="1"/>
  <c r="E43" i="5"/>
  <c r="X45" i="13"/>
  <c r="X45" i="11"/>
  <c r="X48" i="11" s="1"/>
  <c r="X45" i="10"/>
  <c r="X45" i="12"/>
  <c r="E23" i="5"/>
  <c r="AE57" i="6"/>
  <c r="E14" i="25" l="1"/>
  <c r="E15" i="25"/>
  <c r="W13" i="13"/>
  <c r="R15" i="24"/>
  <c r="R57" i="24" s="1"/>
  <c r="AB30" i="9"/>
  <c r="O40" i="24"/>
  <c r="O82" i="24" s="1"/>
  <c r="E11" i="25"/>
  <c r="AA16" i="23"/>
  <c r="AA68" i="23" s="1"/>
  <c r="AD16" i="8"/>
  <c r="AA5" i="23"/>
  <c r="AA57" i="23" s="1"/>
  <c r="AD5" i="8"/>
  <c r="AC53" i="8"/>
  <c r="AA50" i="23"/>
  <c r="AA102" i="23" s="1"/>
  <c r="AD50" i="8"/>
  <c r="AD25" i="8"/>
  <c r="AA25" i="23"/>
  <c r="AA77" i="23" s="1"/>
  <c r="AD42" i="8"/>
  <c r="AA42" i="23"/>
  <c r="AA94" i="23" s="1"/>
  <c r="O12" i="24"/>
  <c r="O54" i="24" s="1"/>
  <c r="W20" i="12"/>
  <c r="Q40" i="13"/>
  <c r="N31" i="24"/>
  <c r="N73" i="24" s="1"/>
  <c r="T24" i="24"/>
  <c r="T66" i="24" s="1"/>
  <c r="T16" i="24"/>
  <c r="T58" i="24" s="1"/>
  <c r="L5" i="23"/>
  <c r="L57" i="23" s="1"/>
  <c r="L53" i="8"/>
  <c r="AA11" i="23"/>
  <c r="AA63" i="23" s="1"/>
  <c r="AD11" i="8"/>
  <c r="AD32" i="8"/>
  <c r="AA32" i="23"/>
  <c r="AA84" i="23" s="1"/>
  <c r="AD31" i="8"/>
  <c r="AA31" i="23"/>
  <c r="AA83" i="23" s="1"/>
  <c r="AA22" i="23"/>
  <c r="AA74" i="23" s="1"/>
  <c r="AD22" i="8"/>
  <c r="AA27" i="23"/>
  <c r="AA79" i="23" s="1"/>
  <c r="AD27" i="8"/>
  <c r="AD45" i="8"/>
  <c r="AA45" i="23"/>
  <c r="AA97" i="23" s="1"/>
  <c r="AD7" i="8"/>
  <c r="AA7" i="23"/>
  <c r="AA59" i="23" s="1"/>
  <c r="AD44" i="8"/>
  <c r="AA44" i="23"/>
  <c r="AA96" i="23" s="1"/>
  <c r="AA10" i="23"/>
  <c r="AA62" i="23" s="1"/>
  <c r="AD10" i="8"/>
  <c r="AD37" i="8"/>
  <c r="AA37" i="23"/>
  <c r="AA89" i="23" s="1"/>
  <c r="AD43" i="8"/>
  <c r="AA43" i="23"/>
  <c r="AA95" i="23" s="1"/>
  <c r="N41" i="24"/>
  <c r="N83" i="24" s="1"/>
  <c r="N38" i="24"/>
  <c r="N80" i="24" s="1"/>
  <c r="N17" i="24"/>
  <c r="N59" i="24" s="1"/>
  <c r="O27" i="24"/>
  <c r="O69" i="24" s="1"/>
  <c r="O18" i="24"/>
  <c r="O60" i="24" s="1"/>
  <c r="AA40" i="23"/>
  <c r="AA92" i="23" s="1"/>
  <c r="AD40" i="8"/>
  <c r="AD26" i="8"/>
  <c r="AA26" i="23"/>
  <c r="AA78" i="23" s="1"/>
  <c r="AD46" i="8"/>
  <c r="AA46" i="23"/>
  <c r="AA98" i="23" s="1"/>
  <c r="AA12" i="23"/>
  <c r="AA64" i="23" s="1"/>
  <c r="AD12" i="8"/>
  <c r="AD28" i="8"/>
  <c r="AA28" i="23"/>
  <c r="AA80" i="23" s="1"/>
  <c r="AD20" i="8"/>
  <c r="AA20" i="23"/>
  <c r="AA72" i="23" s="1"/>
  <c r="AA19" i="23"/>
  <c r="AA71" i="23" s="1"/>
  <c r="AD19" i="8"/>
  <c r="AA49" i="23"/>
  <c r="AA101" i="23" s="1"/>
  <c r="AD49" i="8"/>
  <c r="O33" i="24"/>
  <c r="O75" i="24" s="1"/>
  <c r="AB21" i="11"/>
  <c r="V13" i="29" s="1"/>
  <c r="E7" i="25"/>
  <c r="E13" i="25" s="1"/>
  <c r="AD48" i="8"/>
  <c r="AA48" i="23"/>
  <c r="AA100" i="23" s="1"/>
  <c r="AD51" i="8"/>
  <c r="AA51" i="23"/>
  <c r="AA103" i="23" s="1"/>
  <c r="AD35" i="8"/>
  <c r="AA35" i="23"/>
  <c r="AA87" i="23" s="1"/>
  <c r="AD38" i="8"/>
  <c r="AA38" i="23"/>
  <c r="AA90" i="23" s="1"/>
  <c r="AA17" i="23"/>
  <c r="AA69" i="23" s="1"/>
  <c r="AD17" i="8"/>
  <c r="AD24" i="8"/>
  <c r="AA24" i="23"/>
  <c r="AA76" i="23" s="1"/>
  <c r="W11" i="12"/>
  <c r="AB8" i="11"/>
  <c r="W22" i="13"/>
  <c r="W41" i="12"/>
  <c r="Q6" i="13"/>
  <c r="P13" i="24"/>
  <c r="P55" i="24" s="1"/>
  <c r="O9" i="24"/>
  <c r="O51" i="24" s="1"/>
  <c r="AA13" i="23"/>
  <c r="AA65" i="23" s="1"/>
  <c r="AD13" i="8"/>
  <c r="AA34" i="23"/>
  <c r="AA86" i="23" s="1"/>
  <c r="AD34" i="8"/>
  <c r="AD14" i="8"/>
  <c r="AA14" i="23"/>
  <c r="AA66" i="23" s="1"/>
  <c r="AD41" i="8"/>
  <c r="AA41" i="23"/>
  <c r="AA93" i="23" s="1"/>
  <c r="AD21" i="8"/>
  <c r="AA21" i="23"/>
  <c r="AA73" i="23" s="1"/>
  <c r="AB13" i="11"/>
  <c r="X13" i="13" s="1"/>
  <c r="Y13" i="13" s="1"/>
  <c r="O34" i="24"/>
  <c r="O76" i="24" s="1"/>
  <c r="AD6" i="8"/>
  <c r="AA6" i="23"/>
  <c r="AA58" i="23" s="1"/>
  <c r="AA39" i="23"/>
  <c r="AA91" i="23" s="1"/>
  <c r="AD39" i="8"/>
  <c r="AD18" i="8"/>
  <c r="AA18" i="23"/>
  <c r="AA70" i="23" s="1"/>
  <c r="AD15" i="8"/>
  <c r="AA15" i="23"/>
  <c r="AA67" i="23" s="1"/>
  <c r="AD33" i="8"/>
  <c r="AA33" i="23"/>
  <c r="AA85" i="23" s="1"/>
  <c r="O35" i="24"/>
  <c r="O77" i="24" s="1"/>
  <c r="O53" i="8"/>
  <c r="AA29" i="23"/>
  <c r="AA81" i="23" s="1"/>
  <c r="AD29" i="8"/>
  <c r="AD23" i="8"/>
  <c r="AA23" i="23"/>
  <c r="AA75" i="23" s="1"/>
  <c r="AA9" i="23"/>
  <c r="AA61" i="23" s="1"/>
  <c r="AD9" i="8"/>
  <c r="AD30" i="8"/>
  <c r="AA30" i="23"/>
  <c r="AA82" i="23" s="1"/>
  <c r="AD36" i="8"/>
  <c r="AA36" i="23"/>
  <c r="AA88" i="23" s="1"/>
  <c r="AA8" i="23"/>
  <c r="AA60" i="23" s="1"/>
  <c r="AD8" i="8"/>
  <c r="W5" i="23"/>
  <c r="W57" i="23" s="1"/>
  <c r="X53" i="8"/>
  <c r="L15" i="24"/>
  <c r="L57" i="24" s="1"/>
  <c r="O43" i="13"/>
  <c r="R8" i="24"/>
  <c r="R50" i="24" s="1"/>
  <c r="S17" i="24"/>
  <c r="S59" i="24" s="1"/>
  <c r="R30" i="24"/>
  <c r="R72" i="24" s="1"/>
  <c r="R7" i="24"/>
  <c r="R49" i="24" s="1"/>
  <c r="R5" i="24"/>
  <c r="R47" i="24" s="1"/>
  <c r="P20" i="24"/>
  <c r="P62" i="24" s="1"/>
  <c r="P10" i="24"/>
  <c r="P52" i="24" s="1"/>
  <c r="T32" i="24"/>
  <c r="T74" i="24" s="1"/>
  <c r="O43" i="12"/>
  <c r="O5" i="24"/>
  <c r="O47" i="24" s="1"/>
  <c r="S21" i="24"/>
  <c r="S63" i="24" s="1"/>
  <c r="R36" i="24"/>
  <c r="R78" i="24" s="1"/>
  <c r="W18" i="12"/>
  <c r="R21" i="24"/>
  <c r="R63" i="24" s="1"/>
  <c r="N33" i="24"/>
  <c r="N75" i="24" s="1"/>
  <c r="N20" i="24"/>
  <c r="N62" i="24" s="1"/>
  <c r="T27" i="24"/>
  <c r="T69" i="24" s="1"/>
  <c r="P7" i="24"/>
  <c r="P49" i="24" s="1"/>
  <c r="T18" i="24"/>
  <c r="T60" i="24" s="1"/>
  <c r="P26" i="24"/>
  <c r="P68" i="24" s="1"/>
  <c r="T20" i="24"/>
  <c r="T62" i="24" s="1"/>
  <c r="O19" i="24"/>
  <c r="O61" i="24" s="1"/>
  <c r="O36" i="24"/>
  <c r="O78" i="24" s="1"/>
  <c r="O25" i="24"/>
  <c r="O67" i="24" s="1"/>
  <c r="O21" i="24"/>
  <c r="O63" i="24" s="1"/>
  <c r="R35" i="24"/>
  <c r="R77" i="24" s="1"/>
  <c r="T9" i="24"/>
  <c r="T51" i="24" s="1"/>
  <c r="O6" i="24"/>
  <c r="O48" i="24" s="1"/>
  <c r="O29" i="24"/>
  <c r="O71" i="24" s="1"/>
  <c r="N19" i="24"/>
  <c r="N61" i="24" s="1"/>
  <c r="N11" i="24"/>
  <c r="N53" i="24" s="1"/>
  <c r="Q30" i="12"/>
  <c r="O13" i="24"/>
  <c r="O55" i="24" s="1"/>
  <c r="O37" i="24"/>
  <c r="O79" i="24" s="1"/>
  <c r="O11" i="24"/>
  <c r="O53" i="24" s="1"/>
  <c r="S24" i="24"/>
  <c r="S66" i="24" s="1"/>
  <c r="Q24" i="13"/>
  <c r="T7" i="24"/>
  <c r="T49" i="24" s="1"/>
  <c r="P19" i="24"/>
  <c r="P61" i="24" s="1"/>
  <c r="P33" i="24"/>
  <c r="P75" i="24" s="1"/>
  <c r="T21" i="24"/>
  <c r="T63" i="24" s="1"/>
  <c r="T13" i="24"/>
  <c r="T55" i="24" s="1"/>
  <c r="O7" i="24"/>
  <c r="O49" i="24" s="1"/>
  <c r="V15" i="29"/>
  <c r="V20" i="29"/>
  <c r="V25" i="29"/>
  <c r="W9" i="12"/>
  <c r="Q13" i="13"/>
  <c r="N7" i="24"/>
  <c r="N49" i="24" s="1"/>
  <c r="Q25" i="12"/>
  <c r="T35" i="24"/>
  <c r="T77" i="24" s="1"/>
  <c r="T8" i="24"/>
  <c r="T50" i="24" s="1"/>
  <c r="T37" i="24"/>
  <c r="T79" i="24" s="1"/>
  <c r="T26" i="24"/>
  <c r="T68" i="24" s="1"/>
  <c r="T36" i="24"/>
  <c r="T78" i="24" s="1"/>
  <c r="P31" i="24"/>
  <c r="P73" i="24" s="1"/>
  <c r="P9" i="24"/>
  <c r="P51" i="24" s="1"/>
  <c r="T30" i="24"/>
  <c r="T72" i="24" s="1"/>
  <c r="P40" i="24"/>
  <c r="P82" i="24" s="1"/>
  <c r="Q35" i="13"/>
  <c r="V39" i="8"/>
  <c r="U39" i="23" s="1"/>
  <c r="U91" i="23" s="1"/>
  <c r="T10" i="24"/>
  <c r="T52" i="24" s="1"/>
  <c r="P12" i="24"/>
  <c r="P54" i="24" s="1"/>
  <c r="V43" i="13"/>
  <c r="P18" i="24"/>
  <c r="P60" i="24" s="1"/>
  <c r="R22" i="24"/>
  <c r="R64" i="24" s="1"/>
  <c r="V6" i="8"/>
  <c r="U6" i="23" s="1"/>
  <c r="U58" i="23" s="1"/>
  <c r="AB20" i="7"/>
  <c r="T5" i="24"/>
  <c r="T47" i="24" s="1"/>
  <c r="V43" i="12"/>
  <c r="W32" i="13"/>
  <c r="X40" i="13"/>
  <c r="Y40" i="13" s="1"/>
  <c r="V32" i="29"/>
  <c r="X16" i="13"/>
  <c r="Y16" i="13" s="1"/>
  <c r="S35" i="24"/>
  <c r="S77" i="24" s="1"/>
  <c r="W16" i="12"/>
  <c r="R23" i="24"/>
  <c r="R65" i="24" s="1"/>
  <c r="W14" i="13"/>
  <c r="AB30" i="11"/>
  <c r="V24" i="29" s="1"/>
  <c r="P14" i="25"/>
  <c r="Q41" i="13"/>
  <c r="Q24" i="12"/>
  <c r="V7" i="8"/>
  <c r="U7" i="23" s="1"/>
  <c r="U59" i="23" s="1"/>
  <c r="Q28" i="13"/>
  <c r="T23" i="24"/>
  <c r="T65" i="24" s="1"/>
  <c r="P24" i="24"/>
  <c r="P66" i="24" s="1"/>
  <c r="T17" i="24"/>
  <c r="T59" i="24" s="1"/>
  <c r="P15" i="24"/>
  <c r="P57" i="24" s="1"/>
  <c r="T41" i="24"/>
  <c r="T83" i="24" s="1"/>
  <c r="W31" i="12"/>
  <c r="W21" i="13"/>
  <c r="R19" i="24"/>
  <c r="R61" i="24" s="1"/>
  <c r="W40" i="12"/>
  <c r="V48" i="8"/>
  <c r="U48" i="23" s="1"/>
  <c r="U100" i="23" s="1"/>
  <c r="Q35" i="12"/>
  <c r="T31" i="24"/>
  <c r="T73" i="24" s="1"/>
  <c r="T15" i="24"/>
  <c r="T57" i="24" s="1"/>
  <c r="T28" i="24"/>
  <c r="T70" i="24" s="1"/>
  <c r="P28" i="24"/>
  <c r="P70" i="24" s="1"/>
  <c r="T11" i="24"/>
  <c r="T53" i="24" s="1"/>
  <c r="P23" i="24"/>
  <c r="P65" i="24" s="1"/>
  <c r="T22" i="24"/>
  <c r="T64" i="24" s="1"/>
  <c r="T34" i="24"/>
  <c r="T76" i="24" s="1"/>
  <c r="T39" i="24"/>
  <c r="T81" i="24" s="1"/>
  <c r="P38" i="24"/>
  <c r="P80" i="24" s="1"/>
  <c r="V25" i="8"/>
  <c r="U25" i="23" s="1"/>
  <c r="U77" i="23" s="1"/>
  <c r="Q23" i="13"/>
  <c r="V31" i="8"/>
  <c r="U31" i="23" s="1"/>
  <c r="U83" i="23" s="1"/>
  <c r="AB37" i="7"/>
  <c r="N16" i="24"/>
  <c r="N58" i="24" s="1"/>
  <c r="P43" i="12"/>
  <c r="T25" i="24"/>
  <c r="T67" i="24" s="1"/>
  <c r="V28" i="8"/>
  <c r="U28" i="23" s="1"/>
  <c r="U80" i="23" s="1"/>
  <c r="W24" i="13"/>
  <c r="R38" i="24"/>
  <c r="R80" i="24" s="1"/>
  <c r="W15" i="13"/>
  <c r="W34" i="13"/>
  <c r="AB35" i="11"/>
  <c r="V27" i="29" s="1"/>
  <c r="N34" i="24"/>
  <c r="N76" i="24" s="1"/>
  <c r="N40" i="24"/>
  <c r="N82" i="24" s="1"/>
  <c r="N14" i="24"/>
  <c r="N56" i="24" s="1"/>
  <c r="P43" i="13"/>
  <c r="P21" i="24"/>
  <c r="P63" i="24" s="1"/>
  <c r="T40" i="24"/>
  <c r="T82" i="24" s="1"/>
  <c r="Q27" i="12"/>
  <c r="L27" i="24"/>
  <c r="L69" i="24" s="1"/>
  <c r="V36" i="24"/>
  <c r="V78" i="24" s="1"/>
  <c r="V42" i="8"/>
  <c r="U42" i="23" s="1"/>
  <c r="U94" i="23" s="1"/>
  <c r="AA10" i="12"/>
  <c r="V10" i="24"/>
  <c r="V52" i="24" s="1"/>
  <c r="AA32" i="12"/>
  <c r="V32" i="24"/>
  <c r="V74" i="24" s="1"/>
  <c r="Y45" i="9"/>
  <c r="AB45" i="9" s="1"/>
  <c r="AB45" i="7"/>
  <c r="Y5" i="9"/>
  <c r="Y53" i="7"/>
  <c r="Y58" i="7" s="1"/>
  <c r="Y45" i="8" s="1"/>
  <c r="AB5" i="7"/>
  <c r="AB19" i="7"/>
  <c r="Y19" i="9"/>
  <c r="AB19" i="9" s="1"/>
  <c r="AB50" i="9"/>
  <c r="L18" i="24"/>
  <c r="L60" i="24" s="1"/>
  <c r="Q18" i="12"/>
  <c r="W38" i="12"/>
  <c r="AB17" i="11"/>
  <c r="X17" i="13" s="1"/>
  <c r="Y17" i="13" s="1"/>
  <c r="M24" i="24"/>
  <c r="M66" i="24" s="1"/>
  <c r="S32" i="24"/>
  <c r="S74" i="24" s="1"/>
  <c r="AB37" i="11"/>
  <c r="V29" i="29" s="1"/>
  <c r="AB15" i="11"/>
  <c r="V8" i="29" s="1"/>
  <c r="W8" i="13"/>
  <c r="W27" i="13"/>
  <c r="R14" i="24"/>
  <c r="R56" i="24" s="1"/>
  <c r="N25" i="24"/>
  <c r="N67" i="24" s="1"/>
  <c r="AA33" i="12"/>
  <c r="V33" i="24"/>
  <c r="V75" i="24" s="1"/>
  <c r="V22" i="8"/>
  <c r="U22" i="23" s="1"/>
  <c r="U74" i="23" s="1"/>
  <c r="L22" i="24"/>
  <c r="L64" i="24" s="1"/>
  <c r="Q22" i="12"/>
  <c r="N18" i="24"/>
  <c r="N60" i="24" s="1"/>
  <c r="AA38" i="12"/>
  <c r="V38" i="24"/>
  <c r="V80" i="24" s="1"/>
  <c r="V36" i="8"/>
  <c r="U36" i="23" s="1"/>
  <c r="U88" i="23" s="1"/>
  <c r="V45" i="8"/>
  <c r="U45" i="23" s="1"/>
  <c r="U97" i="23" s="1"/>
  <c r="Q23" i="12"/>
  <c r="L23" i="24"/>
  <c r="L65" i="24" s="1"/>
  <c r="V37" i="24"/>
  <c r="V79" i="24" s="1"/>
  <c r="N27" i="24"/>
  <c r="N69" i="24" s="1"/>
  <c r="AE5" i="23"/>
  <c r="AE57" i="23" s="1"/>
  <c r="AI53" i="8"/>
  <c r="AA28" i="12"/>
  <c r="V28" i="24"/>
  <c r="V70" i="24" s="1"/>
  <c r="Q20" i="13"/>
  <c r="L16" i="24"/>
  <c r="L58" i="24" s="1"/>
  <c r="Q16" i="12"/>
  <c r="N39" i="24"/>
  <c r="N81" i="24" s="1"/>
  <c r="Q39" i="12"/>
  <c r="AA14" i="12"/>
  <c r="V14" i="24"/>
  <c r="V56" i="24" s="1"/>
  <c r="V10" i="8"/>
  <c r="U10" i="23" s="1"/>
  <c r="U62" i="23" s="1"/>
  <c r="L17" i="24"/>
  <c r="L59" i="24" s="1"/>
  <c r="Q17" i="12"/>
  <c r="V16" i="8"/>
  <c r="U16" i="23" s="1"/>
  <c r="U68" i="23" s="1"/>
  <c r="V50" i="8"/>
  <c r="U50" i="23" s="1"/>
  <c r="U102" i="23" s="1"/>
  <c r="N15" i="24"/>
  <c r="N57" i="24" s="1"/>
  <c r="AA27" i="12"/>
  <c r="V27" i="24"/>
  <c r="V69" i="24" s="1"/>
  <c r="AB28" i="7"/>
  <c r="Y28" i="9"/>
  <c r="AB28" i="9" s="1"/>
  <c r="Y46" i="9"/>
  <c r="AB46" i="9" s="1"/>
  <c r="AB46" i="7"/>
  <c r="Y22" i="9"/>
  <c r="AB22" i="9" s="1"/>
  <c r="AB22" i="7"/>
  <c r="Y33" i="9"/>
  <c r="AB33" i="9" s="1"/>
  <c r="AB33" i="7"/>
  <c r="AB6" i="7"/>
  <c r="Y6" i="9"/>
  <c r="AB6" i="9" s="1"/>
  <c r="Q34" i="13"/>
  <c r="AB34" i="13" s="1"/>
  <c r="L25" i="24"/>
  <c r="L67" i="24" s="1"/>
  <c r="M37" i="8"/>
  <c r="M37" i="23" s="1"/>
  <c r="M89" i="23" s="1"/>
  <c r="Q12" i="13"/>
  <c r="Q6" i="12"/>
  <c r="V9" i="8"/>
  <c r="U9" i="23" s="1"/>
  <c r="U61" i="23" s="1"/>
  <c r="V17" i="8"/>
  <c r="U17" i="23" s="1"/>
  <c r="U69" i="23" s="1"/>
  <c r="Q40" i="12"/>
  <c r="L40" i="24"/>
  <c r="L82" i="24" s="1"/>
  <c r="AA41" i="12"/>
  <c r="V41" i="24"/>
  <c r="V83" i="24" s="1"/>
  <c r="L20" i="24"/>
  <c r="L62" i="24" s="1"/>
  <c r="Q20" i="12"/>
  <c r="L28" i="24"/>
  <c r="L70" i="24" s="1"/>
  <c r="Q28" i="12"/>
  <c r="AA19" i="12"/>
  <c r="V19" i="24"/>
  <c r="V61" i="24" s="1"/>
  <c r="Y40" i="9"/>
  <c r="AB40" i="9" s="1"/>
  <c r="AB40" i="7"/>
  <c r="Y32" i="9"/>
  <c r="AB32" i="9" s="1"/>
  <c r="AB32" i="7"/>
  <c r="AB23" i="7"/>
  <c r="Y23" i="9"/>
  <c r="AB23" i="9" s="1"/>
  <c r="L34" i="24"/>
  <c r="L76" i="24" s="1"/>
  <c r="Q34" i="12"/>
  <c r="V12" i="24"/>
  <c r="V54" i="24" s="1"/>
  <c r="AB36" i="11"/>
  <c r="V28" i="29" s="1"/>
  <c r="W33" i="13"/>
  <c r="W41" i="13"/>
  <c r="W17" i="12"/>
  <c r="R34" i="24"/>
  <c r="R76" i="24" s="1"/>
  <c r="AB26" i="11"/>
  <c r="V19" i="29" s="1"/>
  <c r="R29" i="24"/>
  <c r="R71" i="24" s="1"/>
  <c r="W30" i="12"/>
  <c r="N12" i="24"/>
  <c r="N54" i="24" s="1"/>
  <c r="AA40" i="12"/>
  <c r="V40" i="24"/>
  <c r="V82" i="24" s="1"/>
  <c r="V33" i="8"/>
  <c r="U33" i="23" s="1"/>
  <c r="U85" i="23" s="1"/>
  <c r="Q5" i="13"/>
  <c r="L43" i="13"/>
  <c r="Q22" i="13"/>
  <c r="V5" i="23"/>
  <c r="V57" i="23" s="1"/>
  <c r="W53" i="8"/>
  <c r="N29" i="24"/>
  <c r="N71" i="24" s="1"/>
  <c r="AA23" i="12"/>
  <c r="V23" i="24"/>
  <c r="V65" i="24" s="1"/>
  <c r="Q9" i="13"/>
  <c r="AB50" i="7"/>
  <c r="N37" i="24"/>
  <c r="N79" i="24" s="1"/>
  <c r="Q37" i="12"/>
  <c r="V34" i="8"/>
  <c r="U34" i="23" s="1"/>
  <c r="U86" i="23" s="1"/>
  <c r="N8" i="24"/>
  <c r="N50" i="24" s="1"/>
  <c r="N22" i="24"/>
  <c r="N64" i="24" s="1"/>
  <c r="AA26" i="12"/>
  <c r="V26" i="24"/>
  <c r="V68" i="24" s="1"/>
  <c r="V24" i="8"/>
  <c r="U24" i="23" s="1"/>
  <c r="U76" i="23" s="1"/>
  <c r="V18" i="8"/>
  <c r="U18" i="23" s="1"/>
  <c r="U70" i="23" s="1"/>
  <c r="AB27" i="7"/>
  <c r="Y27" i="9"/>
  <c r="AB27" i="9" s="1"/>
  <c r="Y38" i="9"/>
  <c r="AB38" i="9" s="1"/>
  <c r="AB38" i="7"/>
  <c r="Y26" i="9"/>
  <c r="AB26" i="9" s="1"/>
  <c r="AB26" i="7"/>
  <c r="AB21" i="7"/>
  <c r="Y21" i="9"/>
  <c r="AB21" i="9" s="1"/>
  <c r="Q38" i="13"/>
  <c r="Q25" i="13"/>
  <c r="Q15" i="12"/>
  <c r="M46" i="8"/>
  <c r="M46" i="23" s="1"/>
  <c r="M98" i="23" s="1"/>
  <c r="Q12" i="12"/>
  <c r="P5" i="23"/>
  <c r="P57" i="23" s="1"/>
  <c r="P53" i="8"/>
  <c r="AB43" i="7"/>
  <c r="V30" i="8"/>
  <c r="U30" i="23" s="1"/>
  <c r="U82" i="23" s="1"/>
  <c r="V20" i="8"/>
  <c r="U20" i="23" s="1"/>
  <c r="U72" i="23" s="1"/>
  <c r="X29" i="13"/>
  <c r="Y29" i="13" s="1"/>
  <c r="W25" i="12"/>
  <c r="AA35" i="12"/>
  <c r="V35" i="24"/>
  <c r="V77" i="24" s="1"/>
  <c r="Q43" i="11"/>
  <c r="V47" i="8"/>
  <c r="U47" i="23" s="1"/>
  <c r="U99" i="23" s="1"/>
  <c r="L9" i="24"/>
  <c r="L51" i="24" s="1"/>
  <c r="Q9" i="12"/>
  <c r="V16" i="24"/>
  <c r="V58" i="24" s="1"/>
  <c r="N10" i="24"/>
  <c r="N52" i="24" s="1"/>
  <c r="Q10" i="12"/>
  <c r="AA31" i="12"/>
  <c r="V31" i="24"/>
  <c r="V73" i="24" s="1"/>
  <c r="AA13" i="12"/>
  <c r="V13" i="24"/>
  <c r="V55" i="24" s="1"/>
  <c r="AA21" i="12"/>
  <c r="V21" i="24"/>
  <c r="V63" i="24" s="1"/>
  <c r="L8" i="24"/>
  <c r="L50" i="24" s="1"/>
  <c r="Q8" i="12"/>
  <c r="AA17" i="12"/>
  <c r="V17" i="24"/>
  <c r="V59" i="24" s="1"/>
  <c r="V38" i="8"/>
  <c r="U38" i="23" s="1"/>
  <c r="U90" i="23" s="1"/>
  <c r="N24" i="24"/>
  <c r="N66" i="24" s="1"/>
  <c r="N43" i="12"/>
  <c r="N5" i="24"/>
  <c r="N47" i="24" s="1"/>
  <c r="AA9" i="12"/>
  <c r="V9" i="24"/>
  <c r="V51" i="24" s="1"/>
  <c r="AB24" i="9"/>
  <c r="AB10" i="7"/>
  <c r="Y10" i="9"/>
  <c r="AB10" i="9" s="1"/>
  <c r="Y29" i="9"/>
  <c r="AB29" i="9" s="1"/>
  <c r="AB29" i="7"/>
  <c r="Y39" i="9"/>
  <c r="AB39" i="9" s="1"/>
  <c r="AB39" i="7"/>
  <c r="Y7" i="9"/>
  <c r="AB7" i="9" s="1"/>
  <c r="AB7" i="7"/>
  <c r="Q29" i="13"/>
  <c r="Q15" i="13"/>
  <c r="M35" i="8"/>
  <c r="M35" i="23" s="1"/>
  <c r="M87" i="23" s="1"/>
  <c r="AD5" i="23"/>
  <c r="AD57" i="23" s="1"/>
  <c r="AH53" i="8"/>
  <c r="AA43" i="11"/>
  <c r="Q33" i="12"/>
  <c r="L33" i="24"/>
  <c r="L75" i="24" s="1"/>
  <c r="AB30" i="7"/>
  <c r="AA29" i="12"/>
  <c r="V29" i="24"/>
  <c r="V71" i="24" s="1"/>
  <c r="M13" i="24"/>
  <c r="M55" i="24" s="1"/>
  <c r="Q13" i="12"/>
  <c r="Y13" i="9"/>
  <c r="AB13" i="9" s="1"/>
  <c r="AB13" i="7"/>
  <c r="Y41" i="9"/>
  <c r="AB41" i="9" s="1"/>
  <c r="AB41" i="7"/>
  <c r="Y12" i="9"/>
  <c r="AB12" i="9" s="1"/>
  <c r="AB12" i="7"/>
  <c r="AB24" i="11"/>
  <c r="V17" i="29" s="1"/>
  <c r="W10" i="12"/>
  <c r="S12" i="24"/>
  <c r="S54" i="24" s="1"/>
  <c r="AB6" i="11"/>
  <c r="AB12" i="11"/>
  <c r="X12" i="13" s="1"/>
  <c r="W26" i="12"/>
  <c r="S20" i="24"/>
  <c r="S62" i="24" s="1"/>
  <c r="S15" i="24"/>
  <c r="S57" i="24" s="1"/>
  <c r="AB7" i="11"/>
  <c r="V5" i="29" s="1"/>
  <c r="N13" i="24"/>
  <c r="N55" i="24" s="1"/>
  <c r="AA11" i="12"/>
  <c r="V11" i="24"/>
  <c r="V53" i="24" s="1"/>
  <c r="L5" i="24"/>
  <c r="L47" i="24" s="1"/>
  <c r="Q5" i="12"/>
  <c r="L43" i="12"/>
  <c r="N9" i="24"/>
  <c r="N51" i="24" s="1"/>
  <c r="R14" i="8"/>
  <c r="R14" i="23" s="1"/>
  <c r="R66" i="23" s="1"/>
  <c r="R35" i="8"/>
  <c r="R35" i="23" s="1"/>
  <c r="R87" i="23" s="1"/>
  <c r="R11" i="8"/>
  <c r="R11" i="23" s="1"/>
  <c r="R63" i="23" s="1"/>
  <c r="R45" i="8"/>
  <c r="R45" i="23" s="1"/>
  <c r="R97" i="23" s="1"/>
  <c r="R13" i="8"/>
  <c r="R13" i="23" s="1"/>
  <c r="R65" i="23" s="1"/>
  <c r="R5" i="8"/>
  <c r="R36" i="8"/>
  <c r="R36" i="23" s="1"/>
  <c r="R88" i="23" s="1"/>
  <c r="R29" i="8"/>
  <c r="R33" i="8"/>
  <c r="R33" i="23" s="1"/>
  <c r="R85" i="23" s="1"/>
  <c r="R19" i="8"/>
  <c r="R19" i="23" s="1"/>
  <c r="R71" i="23" s="1"/>
  <c r="R25" i="8"/>
  <c r="R25" i="23" s="1"/>
  <c r="R77" i="23" s="1"/>
  <c r="R26" i="8"/>
  <c r="R41" i="8"/>
  <c r="R41" i="23" s="1"/>
  <c r="R93" i="23" s="1"/>
  <c r="R12" i="8"/>
  <c r="R12" i="23" s="1"/>
  <c r="R64" i="23" s="1"/>
  <c r="R20" i="8"/>
  <c r="R20" i="23" s="1"/>
  <c r="R72" i="23" s="1"/>
  <c r="R47" i="8"/>
  <c r="R47" i="23" s="1"/>
  <c r="R99" i="23" s="1"/>
  <c r="R42" i="8"/>
  <c r="R42" i="23" s="1"/>
  <c r="R94" i="23" s="1"/>
  <c r="R30" i="8"/>
  <c r="R30" i="23" s="1"/>
  <c r="R82" i="23" s="1"/>
  <c r="R40" i="8"/>
  <c r="R40" i="23" s="1"/>
  <c r="R92" i="23" s="1"/>
  <c r="R7" i="8"/>
  <c r="R7" i="23" s="1"/>
  <c r="R59" i="23" s="1"/>
  <c r="R6" i="8"/>
  <c r="R6" i="23" s="1"/>
  <c r="R58" i="23" s="1"/>
  <c r="R48" i="8"/>
  <c r="R48" i="23" s="1"/>
  <c r="R100" i="23" s="1"/>
  <c r="R23" i="8"/>
  <c r="R37" i="8"/>
  <c r="R37" i="23" s="1"/>
  <c r="R89" i="23" s="1"/>
  <c r="R27" i="8"/>
  <c r="R50" i="8"/>
  <c r="R50" i="23" s="1"/>
  <c r="R102" i="23" s="1"/>
  <c r="R46" i="8"/>
  <c r="R46" i="23" s="1"/>
  <c r="R98" i="23" s="1"/>
  <c r="R31" i="8"/>
  <c r="R31" i="23" s="1"/>
  <c r="R83" i="23" s="1"/>
  <c r="R21" i="8"/>
  <c r="R9" i="8"/>
  <c r="R9" i="23" s="1"/>
  <c r="R61" i="23" s="1"/>
  <c r="R15" i="8"/>
  <c r="R15" i="23" s="1"/>
  <c r="R67" i="23" s="1"/>
  <c r="R22" i="8"/>
  <c r="R18" i="8"/>
  <c r="R18" i="23" s="1"/>
  <c r="R70" i="23" s="1"/>
  <c r="R24" i="8"/>
  <c r="R49" i="8"/>
  <c r="R49" i="23" s="1"/>
  <c r="R101" i="23" s="1"/>
  <c r="R38" i="8"/>
  <c r="R38" i="23" s="1"/>
  <c r="R90" i="23" s="1"/>
  <c r="R44" i="8"/>
  <c r="R44" i="23" s="1"/>
  <c r="R96" i="23" s="1"/>
  <c r="R8" i="8"/>
  <c r="R8" i="23" s="1"/>
  <c r="R60" i="23" s="1"/>
  <c r="R17" i="8"/>
  <c r="R17" i="23" s="1"/>
  <c r="R69" i="23" s="1"/>
  <c r="R32" i="8"/>
  <c r="R32" i="23" s="1"/>
  <c r="R84" i="23" s="1"/>
  <c r="R39" i="8"/>
  <c r="R39" i="23" s="1"/>
  <c r="R91" i="23" s="1"/>
  <c r="R16" i="8"/>
  <c r="R16" i="23" s="1"/>
  <c r="R68" i="23" s="1"/>
  <c r="R10" i="8"/>
  <c r="R10" i="23" s="1"/>
  <c r="R62" i="23" s="1"/>
  <c r="R34" i="8"/>
  <c r="R34" i="23" s="1"/>
  <c r="R86" i="23" s="1"/>
  <c r="R43" i="8"/>
  <c r="R43" i="23" s="1"/>
  <c r="R95" i="23" s="1"/>
  <c r="R51" i="8"/>
  <c r="R51" i="23" s="1"/>
  <c r="R103" i="23" s="1"/>
  <c r="R28" i="8"/>
  <c r="V23" i="8"/>
  <c r="U23" i="23" s="1"/>
  <c r="U75" i="23" s="1"/>
  <c r="Q14" i="13"/>
  <c r="V25" i="24"/>
  <c r="V67" i="24" s="1"/>
  <c r="V32" i="8"/>
  <c r="U32" i="23" s="1"/>
  <c r="U84" i="23" s="1"/>
  <c r="Q19" i="12"/>
  <c r="L19" i="24"/>
  <c r="L61" i="24" s="1"/>
  <c r="N35" i="24"/>
  <c r="N77" i="24" s="1"/>
  <c r="Q8" i="13"/>
  <c r="Q26" i="12"/>
  <c r="N26" i="24"/>
  <c r="N68" i="24" s="1"/>
  <c r="V51" i="8"/>
  <c r="U51" i="23" s="1"/>
  <c r="U103" i="23" s="1"/>
  <c r="Q26" i="13"/>
  <c r="N43" i="13"/>
  <c r="N28" i="24"/>
  <c r="N70" i="24" s="1"/>
  <c r="AA24" i="12"/>
  <c r="V24" i="24"/>
  <c r="V66" i="24" s="1"/>
  <c r="AA34" i="12"/>
  <c r="V34" i="24"/>
  <c r="V76" i="24" s="1"/>
  <c r="AB35" i="7"/>
  <c r="Y35" i="9"/>
  <c r="AB35" i="9" s="1"/>
  <c r="AB9" i="9"/>
  <c r="Y36" i="9"/>
  <c r="AB36" i="9" s="1"/>
  <c r="AB36" i="7"/>
  <c r="AB34" i="7"/>
  <c r="Y34" i="9"/>
  <c r="AB34" i="9" s="1"/>
  <c r="AB8" i="7"/>
  <c r="Y8" i="9"/>
  <c r="AB8" i="9" s="1"/>
  <c r="L38" i="24"/>
  <c r="L80" i="24" s="1"/>
  <c r="Q38" i="12"/>
  <c r="M31" i="24"/>
  <c r="M73" i="24" s="1"/>
  <c r="Q31" i="12"/>
  <c r="AA20" i="12"/>
  <c r="V20" i="24"/>
  <c r="V62" i="24" s="1"/>
  <c r="L30" i="24"/>
  <c r="L72" i="24" s="1"/>
  <c r="M21" i="8"/>
  <c r="M21" i="23" s="1"/>
  <c r="M73" i="23" s="1"/>
  <c r="V7" i="24"/>
  <c r="V49" i="24" s="1"/>
  <c r="AA5" i="13"/>
  <c r="AA43" i="13" s="1"/>
  <c r="Z43" i="13"/>
  <c r="M17" i="8"/>
  <c r="M17" i="23" s="1"/>
  <c r="M69" i="23" s="1"/>
  <c r="Q33" i="13"/>
  <c r="AB33" i="13" s="1"/>
  <c r="M40" i="8"/>
  <c r="M40" i="23" s="1"/>
  <c r="M92" i="23" s="1"/>
  <c r="AB23" i="11"/>
  <c r="AB22" i="11"/>
  <c r="V14" i="29" s="1"/>
  <c r="M43" i="13"/>
  <c r="T5" i="23"/>
  <c r="T57" i="23" s="1"/>
  <c r="U53" i="8"/>
  <c r="V8" i="8"/>
  <c r="U8" i="23" s="1"/>
  <c r="U60" i="23" s="1"/>
  <c r="V44" i="8"/>
  <c r="U44" i="23" s="1"/>
  <c r="U96" i="23" s="1"/>
  <c r="V12" i="8"/>
  <c r="U12" i="23" s="1"/>
  <c r="U64" i="23" s="1"/>
  <c r="V14" i="8"/>
  <c r="U14" i="23" s="1"/>
  <c r="U66" i="23" s="1"/>
  <c r="V49" i="8"/>
  <c r="U49" i="23" s="1"/>
  <c r="U101" i="23" s="1"/>
  <c r="V13" i="8"/>
  <c r="U13" i="23" s="1"/>
  <c r="U65" i="23" s="1"/>
  <c r="V41" i="8"/>
  <c r="U41" i="23" s="1"/>
  <c r="U93" i="23" s="1"/>
  <c r="V5" i="8"/>
  <c r="V35" i="8"/>
  <c r="U35" i="23" s="1"/>
  <c r="U87" i="23" s="1"/>
  <c r="V15" i="8"/>
  <c r="U15" i="23" s="1"/>
  <c r="U67" i="23" s="1"/>
  <c r="V46" i="8"/>
  <c r="U46" i="23" s="1"/>
  <c r="U98" i="23" s="1"/>
  <c r="V29" i="8"/>
  <c r="U29" i="23" s="1"/>
  <c r="U81" i="23" s="1"/>
  <c r="V11" i="8"/>
  <c r="U11" i="23" s="1"/>
  <c r="U63" i="23" s="1"/>
  <c r="Q27" i="13"/>
  <c r="S15" i="8"/>
  <c r="S50" i="8"/>
  <c r="S28" i="8"/>
  <c r="S33" i="8"/>
  <c r="S5" i="8"/>
  <c r="S19" i="8"/>
  <c r="S35" i="8"/>
  <c r="S26" i="8"/>
  <c r="S22" i="8"/>
  <c r="S31" i="8"/>
  <c r="S36" i="8"/>
  <c r="S25" i="8"/>
  <c r="S45" i="8"/>
  <c r="S16" i="8"/>
  <c r="S8" i="8"/>
  <c r="S34" i="8"/>
  <c r="S12" i="8"/>
  <c r="S17" i="8"/>
  <c r="S47" i="8"/>
  <c r="S46" i="8"/>
  <c r="S42" i="8"/>
  <c r="S43" i="8"/>
  <c r="S13" i="8"/>
  <c r="S37" i="8"/>
  <c r="S29" i="8"/>
  <c r="S30" i="8"/>
  <c r="S11" i="8"/>
  <c r="S41" i="8"/>
  <c r="S23" i="8"/>
  <c r="S32" i="8"/>
  <c r="S6" i="8"/>
  <c r="S51" i="8"/>
  <c r="S24" i="8"/>
  <c r="S40" i="8"/>
  <c r="S38" i="8"/>
  <c r="S44" i="8"/>
  <c r="S39" i="8"/>
  <c r="S21" i="8"/>
  <c r="S49" i="8"/>
  <c r="S20" i="8"/>
  <c r="S18" i="8"/>
  <c r="S9" i="8"/>
  <c r="S7" i="8"/>
  <c r="S27" i="8"/>
  <c r="S14" i="8"/>
  <c r="S48" i="8"/>
  <c r="S10" i="8"/>
  <c r="AA39" i="12"/>
  <c r="V39" i="24"/>
  <c r="V81" i="24" s="1"/>
  <c r="L14" i="24"/>
  <c r="L56" i="24" s="1"/>
  <c r="Q14" i="12"/>
  <c r="M38" i="8"/>
  <c r="M38" i="23" s="1"/>
  <c r="M90" i="23" s="1"/>
  <c r="M11" i="8"/>
  <c r="M11" i="23" s="1"/>
  <c r="M63" i="23" s="1"/>
  <c r="M15" i="8"/>
  <c r="M15" i="23" s="1"/>
  <c r="M67" i="23" s="1"/>
  <c r="M34" i="8"/>
  <c r="M34" i="23" s="1"/>
  <c r="M86" i="23" s="1"/>
  <c r="M9" i="8"/>
  <c r="M9" i="23" s="1"/>
  <c r="M61" i="23" s="1"/>
  <c r="M13" i="8"/>
  <c r="M13" i="23" s="1"/>
  <c r="M65" i="23" s="1"/>
  <c r="M28" i="8"/>
  <c r="M28" i="23" s="1"/>
  <c r="M80" i="23" s="1"/>
  <c r="M32" i="8"/>
  <c r="M32" i="23" s="1"/>
  <c r="M84" i="23" s="1"/>
  <c r="M42" i="8"/>
  <c r="M42" i="23" s="1"/>
  <c r="M94" i="23" s="1"/>
  <c r="M25" i="8"/>
  <c r="M25" i="23" s="1"/>
  <c r="M77" i="23" s="1"/>
  <c r="M10" i="8"/>
  <c r="M10" i="23" s="1"/>
  <c r="M62" i="23" s="1"/>
  <c r="M44" i="8"/>
  <c r="M44" i="23" s="1"/>
  <c r="M96" i="23" s="1"/>
  <c r="M43" i="8"/>
  <c r="M43" i="23" s="1"/>
  <c r="M95" i="23" s="1"/>
  <c r="M5" i="8"/>
  <c r="M20" i="8"/>
  <c r="M20" i="23" s="1"/>
  <c r="M72" i="23" s="1"/>
  <c r="M23" i="8"/>
  <c r="M23" i="23" s="1"/>
  <c r="M75" i="23" s="1"/>
  <c r="M50" i="8"/>
  <c r="M50" i="23" s="1"/>
  <c r="M102" i="23" s="1"/>
  <c r="M30" i="8"/>
  <c r="M30" i="23" s="1"/>
  <c r="M82" i="23" s="1"/>
  <c r="M47" i="8"/>
  <c r="M47" i="23" s="1"/>
  <c r="M99" i="23" s="1"/>
  <c r="M12" i="8"/>
  <c r="M12" i="23" s="1"/>
  <c r="M64" i="23" s="1"/>
  <c r="M7" i="8"/>
  <c r="M7" i="23" s="1"/>
  <c r="M59" i="23" s="1"/>
  <c r="M49" i="8"/>
  <c r="M49" i="23" s="1"/>
  <c r="M101" i="23" s="1"/>
  <c r="M31" i="8"/>
  <c r="M31" i="23" s="1"/>
  <c r="M83" i="23" s="1"/>
  <c r="M14" i="8"/>
  <c r="M14" i="23" s="1"/>
  <c r="M66" i="23" s="1"/>
  <c r="M36" i="8"/>
  <c r="M36" i="23" s="1"/>
  <c r="M88" i="23" s="1"/>
  <c r="M22" i="8"/>
  <c r="M22" i="23" s="1"/>
  <c r="M74" i="23" s="1"/>
  <c r="M16" i="8"/>
  <c r="M16" i="23" s="1"/>
  <c r="M68" i="23" s="1"/>
  <c r="M45" i="8"/>
  <c r="M45" i="23" s="1"/>
  <c r="M97" i="23" s="1"/>
  <c r="M33" i="8"/>
  <c r="M33" i="23" s="1"/>
  <c r="M85" i="23" s="1"/>
  <c r="M26" i="8"/>
  <c r="M26" i="23" s="1"/>
  <c r="M78" i="23" s="1"/>
  <c r="M18" i="8"/>
  <c r="M18" i="23" s="1"/>
  <c r="M70" i="23" s="1"/>
  <c r="M24" i="8"/>
  <c r="M24" i="23" s="1"/>
  <c r="M76" i="23" s="1"/>
  <c r="M39" i="8"/>
  <c r="M39" i="23" s="1"/>
  <c r="M91" i="23" s="1"/>
  <c r="M41" i="8"/>
  <c r="M41" i="23" s="1"/>
  <c r="M93" i="23" s="1"/>
  <c r="M19" i="8"/>
  <c r="M19" i="23" s="1"/>
  <c r="M71" i="23" s="1"/>
  <c r="M48" i="8"/>
  <c r="M48" i="23" s="1"/>
  <c r="M100" i="23" s="1"/>
  <c r="M29" i="8"/>
  <c r="M29" i="23" s="1"/>
  <c r="M81" i="23" s="1"/>
  <c r="M8" i="8"/>
  <c r="M8" i="23" s="1"/>
  <c r="M60" i="23" s="1"/>
  <c r="Q32" i="12"/>
  <c r="N32" i="24"/>
  <c r="N74" i="24" s="1"/>
  <c r="AA8" i="12"/>
  <c r="V8" i="24"/>
  <c r="V50" i="24" s="1"/>
  <c r="Q19" i="13"/>
  <c r="V19" i="8"/>
  <c r="U19" i="23" s="1"/>
  <c r="U71" i="23" s="1"/>
  <c r="N36" i="24"/>
  <c r="N78" i="24" s="1"/>
  <c r="V26" i="8"/>
  <c r="U26" i="23" s="1"/>
  <c r="U78" i="23" s="1"/>
  <c r="O14" i="25"/>
  <c r="V37" i="8"/>
  <c r="U37" i="23" s="1"/>
  <c r="U89" i="23" s="1"/>
  <c r="V21" i="8"/>
  <c r="U21" i="23" s="1"/>
  <c r="U73" i="23" s="1"/>
  <c r="Y48" i="9"/>
  <c r="AB48" i="9" s="1"/>
  <c r="AB48" i="7"/>
  <c r="AB47" i="7"/>
  <c r="Y47" i="9"/>
  <c r="AB47" i="9" s="1"/>
  <c r="Y15" i="9"/>
  <c r="AB15" i="9" s="1"/>
  <c r="AB15" i="7"/>
  <c r="AB44" i="7"/>
  <c r="Y44" i="9"/>
  <c r="AB44" i="9" s="1"/>
  <c r="AB51" i="7"/>
  <c r="Y51" i="9"/>
  <c r="AB51" i="9" s="1"/>
  <c r="Q18" i="13"/>
  <c r="Q30" i="13"/>
  <c r="V5" i="24"/>
  <c r="V47" i="24" s="1"/>
  <c r="AA5" i="12"/>
  <c r="Z43" i="12"/>
  <c r="AB9" i="7"/>
  <c r="L41" i="24"/>
  <c r="L83" i="24" s="1"/>
  <c r="Q41" i="12"/>
  <c r="X31" i="12"/>
  <c r="Y31" i="12" s="1"/>
  <c r="AB31" i="12" s="1"/>
  <c r="X30" i="13"/>
  <c r="Y30" i="13" s="1"/>
  <c r="X20" i="13"/>
  <c r="Y20" i="13" s="1"/>
  <c r="R9" i="24"/>
  <c r="R51" i="24" s="1"/>
  <c r="AB38" i="11"/>
  <c r="V31" i="29" s="1"/>
  <c r="AB27" i="11"/>
  <c r="X27" i="13" s="1"/>
  <c r="Y27" i="13" s="1"/>
  <c r="AB14" i="11"/>
  <c r="X14" i="13" s="1"/>
  <c r="Y14" i="13" s="1"/>
  <c r="D11" i="26"/>
  <c r="AA30" i="12"/>
  <c r="V30" i="24"/>
  <c r="V72" i="24" s="1"/>
  <c r="V53" i="9"/>
  <c r="M53" i="9"/>
  <c r="V40" i="8"/>
  <c r="U40" i="23" s="1"/>
  <c r="U92" i="23" s="1"/>
  <c r="V27" i="8"/>
  <c r="U27" i="23" s="1"/>
  <c r="U79" i="23" s="1"/>
  <c r="AA15" i="12"/>
  <c r="V15" i="24"/>
  <c r="V57" i="24" s="1"/>
  <c r="AA22" i="12"/>
  <c r="V22" i="24"/>
  <c r="V64" i="24" s="1"/>
  <c r="Q17" i="13"/>
  <c r="Q11" i="12"/>
  <c r="L11" i="24"/>
  <c r="L53" i="24" s="1"/>
  <c r="AA18" i="12"/>
  <c r="V18" i="24"/>
  <c r="V60" i="24" s="1"/>
  <c r="AA6" i="12"/>
  <c r="V6" i="24"/>
  <c r="V48" i="24" s="1"/>
  <c r="AB18" i="7"/>
  <c r="Y18" i="9"/>
  <c r="AB18" i="9" s="1"/>
  <c r="Y14" i="9"/>
  <c r="AB14" i="9" s="1"/>
  <c r="AB14" i="7"/>
  <c r="Y25" i="9"/>
  <c r="AB25" i="9" s="1"/>
  <c r="AB25" i="7"/>
  <c r="AB37" i="9"/>
  <c r="AB49" i="7"/>
  <c r="Y49" i="9"/>
  <c r="AB49" i="9" s="1"/>
  <c r="M6" i="8"/>
  <c r="M6" i="23" s="1"/>
  <c r="M58" i="23" s="1"/>
  <c r="M51" i="8"/>
  <c r="M51" i="23" s="1"/>
  <c r="M103" i="23" s="1"/>
  <c r="AB42" i="7"/>
  <c r="AB17" i="7"/>
  <c r="Q7" i="13"/>
  <c r="L12" i="24"/>
  <c r="L54" i="24" s="1"/>
  <c r="X15" i="13"/>
  <c r="Y15" i="13" s="1"/>
  <c r="AB15" i="13" s="1"/>
  <c r="X32" i="13"/>
  <c r="Y32" i="13" s="1"/>
  <c r="AB32" i="13" s="1"/>
  <c r="X24" i="13"/>
  <c r="Y24" i="13" s="1"/>
  <c r="AB24" i="13" s="1"/>
  <c r="W25" i="13"/>
  <c r="W31" i="13"/>
  <c r="S31" i="24"/>
  <c r="S73" i="24" s="1"/>
  <c r="W9" i="13"/>
  <c r="S38" i="24"/>
  <c r="S80" i="24" s="1"/>
  <c r="S26" i="24"/>
  <c r="S68" i="24" s="1"/>
  <c r="W37" i="12"/>
  <c r="W15" i="12"/>
  <c r="W27" i="12"/>
  <c r="W12" i="13"/>
  <c r="S40" i="24"/>
  <c r="S82" i="24" s="1"/>
  <c r="R41" i="24"/>
  <c r="R83" i="24" s="1"/>
  <c r="W11" i="13"/>
  <c r="X35" i="13"/>
  <c r="Y35" i="13" s="1"/>
  <c r="W39" i="13"/>
  <c r="W28" i="13"/>
  <c r="X6" i="13"/>
  <c r="Y6" i="13" s="1"/>
  <c r="W34" i="12"/>
  <c r="S34" i="24"/>
  <c r="S76" i="24" s="1"/>
  <c r="W13" i="12"/>
  <c r="W26" i="13"/>
  <c r="W39" i="12"/>
  <c r="S39" i="24"/>
  <c r="S81" i="24" s="1"/>
  <c r="X11" i="13"/>
  <c r="Y11" i="13" s="1"/>
  <c r="S13" i="24"/>
  <c r="S55" i="24" s="1"/>
  <c r="S37" i="24"/>
  <c r="S79" i="24" s="1"/>
  <c r="R33" i="24"/>
  <c r="R75" i="24" s="1"/>
  <c r="S19" i="24"/>
  <c r="S61" i="24" s="1"/>
  <c r="W18" i="13"/>
  <c r="W6" i="13"/>
  <c r="R20" i="24"/>
  <c r="R62" i="24" s="1"/>
  <c r="W22" i="12"/>
  <c r="S22" i="24"/>
  <c r="S64" i="24" s="1"/>
  <c r="W35" i="13"/>
  <c r="W30" i="13"/>
  <c r="G9" i="26"/>
  <c r="G7" i="26"/>
  <c r="G13" i="26" s="1"/>
  <c r="G11" i="26"/>
  <c r="W43" i="11"/>
  <c r="AB5" i="11"/>
  <c r="W23" i="12"/>
  <c r="S23" i="24"/>
  <c r="S65" i="24" s="1"/>
  <c r="S28" i="24"/>
  <c r="S70" i="24" s="1"/>
  <c r="R11" i="24"/>
  <c r="R53" i="24" s="1"/>
  <c r="W36" i="13"/>
  <c r="X10" i="13"/>
  <c r="Y10" i="13" s="1"/>
  <c r="R17" i="24"/>
  <c r="R59" i="24" s="1"/>
  <c r="S33" i="24"/>
  <c r="S75" i="24" s="1"/>
  <c r="S16" i="24"/>
  <c r="S58" i="24" s="1"/>
  <c r="R6" i="24"/>
  <c r="R48" i="24" s="1"/>
  <c r="W19" i="13"/>
  <c r="R16" i="24"/>
  <c r="R58" i="24" s="1"/>
  <c r="X21" i="13"/>
  <c r="Y21" i="13" s="1"/>
  <c r="AB21" i="13" s="1"/>
  <c r="W35" i="12"/>
  <c r="S27" i="24"/>
  <c r="S69" i="24" s="1"/>
  <c r="R40" i="24"/>
  <c r="R82" i="24" s="1"/>
  <c r="R32" i="24"/>
  <c r="R74" i="24" s="1"/>
  <c r="S6" i="24"/>
  <c r="S48" i="24" s="1"/>
  <c r="W36" i="12"/>
  <c r="W33" i="12"/>
  <c r="S41" i="24"/>
  <c r="S83" i="24" s="1"/>
  <c r="W10" i="13"/>
  <c r="W6" i="12"/>
  <c r="W19" i="12"/>
  <c r="W16" i="13"/>
  <c r="W20" i="13"/>
  <c r="S30" i="24"/>
  <c r="S72" i="24" s="1"/>
  <c r="X39" i="13"/>
  <c r="Y39" i="13" s="1"/>
  <c r="S43" i="12"/>
  <c r="W7" i="12"/>
  <c r="W40" i="13"/>
  <c r="AB40" i="13" s="1"/>
  <c r="W29" i="12"/>
  <c r="S29" i="24"/>
  <c r="S71" i="24" s="1"/>
  <c r="S36" i="24"/>
  <c r="S78" i="24" s="1"/>
  <c r="X9" i="13"/>
  <c r="Y9" i="13" s="1"/>
  <c r="R10" i="24"/>
  <c r="R52" i="24" s="1"/>
  <c r="S18" i="24"/>
  <c r="S60" i="24" s="1"/>
  <c r="W14" i="12"/>
  <c r="S14" i="24"/>
  <c r="S56" i="24" s="1"/>
  <c r="W5" i="12"/>
  <c r="U43" i="12"/>
  <c r="S5" i="24"/>
  <c r="S47" i="24" s="1"/>
  <c r="T43" i="13"/>
  <c r="W5" i="13"/>
  <c r="X37" i="13"/>
  <c r="Y37" i="13" s="1"/>
  <c r="W21" i="12"/>
  <c r="C11" i="26"/>
  <c r="C9" i="26"/>
  <c r="T43" i="12"/>
  <c r="X25" i="13"/>
  <c r="Y25" i="13" s="1"/>
  <c r="AB25" i="13" s="1"/>
  <c r="S25" i="24"/>
  <c r="S67" i="24" s="1"/>
  <c r="W24" i="12"/>
  <c r="R25" i="24"/>
  <c r="R67" i="24" s="1"/>
  <c r="R31" i="24"/>
  <c r="R73" i="24" s="1"/>
  <c r="W38" i="13"/>
  <c r="R18" i="24"/>
  <c r="R60" i="24" s="1"/>
  <c r="S7" i="24"/>
  <c r="S49" i="24" s="1"/>
  <c r="W37" i="13"/>
  <c r="W8" i="12"/>
  <c r="S8" i="24"/>
  <c r="S50" i="24" s="1"/>
  <c r="R13" i="24"/>
  <c r="R55" i="24" s="1"/>
  <c r="R27" i="24"/>
  <c r="R69" i="24" s="1"/>
  <c r="R12" i="24"/>
  <c r="R54" i="24" s="1"/>
  <c r="W12" i="12"/>
  <c r="X41" i="13"/>
  <c r="Y41" i="13" s="1"/>
  <c r="AB41" i="13" s="1"/>
  <c r="R26" i="24"/>
  <c r="R68" i="24" s="1"/>
  <c r="S9" i="24"/>
  <c r="S51" i="24" s="1"/>
  <c r="U43" i="13"/>
  <c r="S10" i="24"/>
  <c r="S52" i="24" s="1"/>
  <c r="R28" i="24"/>
  <c r="R70" i="24" s="1"/>
  <c r="W28" i="12"/>
  <c r="X22" i="12"/>
  <c r="Y22" i="12" s="1"/>
  <c r="X16" i="12"/>
  <c r="Y16" i="12" s="1"/>
  <c r="AB16" i="12" s="1"/>
  <c r="X28" i="12"/>
  <c r="Y28" i="12" s="1"/>
  <c r="E47" i="5"/>
  <c r="G47" i="5" s="1"/>
  <c r="Y31" i="13"/>
  <c r="U31" i="24"/>
  <c r="U73" i="24" s="1"/>
  <c r="Y12" i="13"/>
  <c r="AB12" i="13" s="1"/>
  <c r="Y28" i="13"/>
  <c r="X20" i="12"/>
  <c r="Y20" i="12" s="1"/>
  <c r="AB20" i="12" s="1"/>
  <c r="E29" i="5"/>
  <c r="X18" i="12"/>
  <c r="X32" i="12"/>
  <c r="X39" i="12"/>
  <c r="X15" i="12"/>
  <c r="X13" i="12"/>
  <c r="X21" i="12"/>
  <c r="X29" i="12"/>
  <c r="X25" i="12"/>
  <c r="X40" i="12"/>
  <c r="X37" i="12"/>
  <c r="X23" i="12"/>
  <c r="X35" i="12"/>
  <c r="X36" i="12"/>
  <c r="X11" i="12"/>
  <c r="X19" i="12"/>
  <c r="X41" i="12"/>
  <c r="X33" i="12"/>
  <c r="X17" i="12"/>
  <c r="X9" i="12"/>
  <c r="X34" i="12"/>
  <c r="X6" i="12"/>
  <c r="X24" i="12"/>
  <c r="X10" i="12"/>
  <c r="X30" i="12"/>
  <c r="Y30" i="12" s="1"/>
  <c r="AB30" i="12" s="1"/>
  <c r="X8" i="12"/>
  <c r="X14" i="12"/>
  <c r="Y14" i="12" s="1"/>
  <c r="X38" i="12"/>
  <c r="AG57" i="6"/>
  <c r="AG55" i="9"/>
  <c r="AG55" i="8"/>
  <c r="AG55" i="7"/>
  <c r="E46" i="5"/>
  <c r="Y45" i="13"/>
  <c r="Y45" i="12"/>
  <c r="Y45" i="10"/>
  <c r="Y45" i="11"/>
  <c r="X12" i="12"/>
  <c r="X7" i="12"/>
  <c r="X26" i="12"/>
  <c r="AB13" i="13" l="1"/>
  <c r="M7" i="25"/>
  <c r="M13" i="25" s="1"/>
  <c r="M11" i="25"/>
  <c r="M9" i="25"/>
  <c r="AB28" i="12"/>
  <c r="AB27" i="13"/>
  <c r="V6" i="29"/>
  <c r="X8" i="13"/>
  <c r="Y8" i="13" s="1"/>
  <c r="AB8" i="13" s="1"/>
  <c r="AB28" i="13"/>
  <c r="AD53" i="8"/>
  <c r="AB31" i="13"/>
  <c r="Q9" i="25"/>
  <c r="Q7" i="25"/>
  <c r="Q13" i="25" s="1"/>
  <c r="Q11" i="25"/>
  <c r="B9" i="25"/>
  <c r="B11" i="25"/>
  <c r="B7" i="25"/>
  <c r="B13" i="25" s="1"/>
  <c r="AB19" i="13"/>
  <c r="AB16" i="13"/>
  <c r="S10" i="29" s="1"/>
  <c r="E11" i="26"/>
  <c r="E9" i="26"/>
  <c r="E7" i="26"/>
  <c r="E13" i="26" s="1"/>
  <c r="AB17" i="13"/>
  <c r="AB14" i="13"/>
  <c r="AA240" i="17" s="1"/>
  <c r="Y17" i="8"/>
  <c r="AB17" i="8" s="1"/>
  <c r="AB18" i="13"/>
  <c r="V26" i="29"/>
  <c r="V21" i="29"/>
  <c r="V16" i="29"/>
  <c r="AB14" i="12"/>
  <c r="Y12" i="8"/>
  <c r="C7" i="26"/>
  <c r="C13" i="26" s="1"/>
  <c r="Y50" i="8"/>
  <c r="F7" i="26"/>
  <c r="F13" i="26" s="1"/>
  <c r="H7" i="26"/>
  <c r="H13" i="26" s="1"/>
  <c r="X5" i="12"/>
  <c r="J10" i="29"/>
  <c r="J5" i="29"/>
  <c r="J11" i="29"/>
  <c r="J6" i="29"/>
  <c r="J9" i="26"/>
  <c r="J11" i="26"/>
  <c r="J7" i="26"/>
  <c r="J13" i="26" s="1"/>
  <c r="AB30" i="13"/>
  <c r="S24" i="29" s="1"/>
  <c r="AB20" i="13"/>
  <c r="S12" i="29" s="1"/>
  <c r="AB45" i="8"/>
  <c r="X45" i="23"/>
  <c r="X97" i="23" s="1"/>
  <c r="X7" i="13"/>
  <c r="Y7" i="13" s="1"/>
  <c r="AB7" i="13" s="1"/>
  <c r="X26" i="13"/>
  <c r="Y26" i="13" s="1"/>
  <c r="AB26" i="13" s="1"/>
  <c r="Y19" i="8"/>
  <c r="S53" i="8"/>
  <c r="D9" i="26"/>
  <c r="D7" i="26"/>
  <c r="D13" i="26" s="1"/>
  <c r="AB29" i="13"/>
  <c r="F11" i="25"/>
  <c r="F7" i="25"/>
  <c r="F13" i="25" s="1"/>
  <c r="F9" i="25"/>
  <c r="Q43" i="13"/>
  <c r="U7" i="25"/>
  <c r="U13" i="25" s="1"/>
  <c r="U9" i="25"/>
  <c r="U11" i="25"/>
  <c r="AB53" i="7"/>
  <c r="AB9" i="13"/>
  <c r="Y28" i="8"/>
  <c r="Y37" i="8"/>
  <c r="Y10" i="8"/>
  <c r="Y27" i="8"/>
  <c r="X27" i="23" s="1"/>
  <c r="X79" i="23" s="1"/>
  <c r="Y46" i="8"/>
  <c r="X46" i="23" s="1"/>
  <c r="X98" i="23" s="1"/>
  <c r="Y7" i="8"/>
  <c r="Y34" i="8"/>
  <c r="Y31" i="8"/>
  <c r="Y11" i="8"/>
  <c r="Y23" i="8"/>
  <c r="Y15" i="8"/>
  <c r="Y18" i="8"/>
  <c r="Y6" i="8"/>
  <c r="Y38" i="8"/>
  <c r="Y21" i="8"/>
  <c r="X21" i="23" s="1"/>
  <c r="X73" i="23" s="1"/>
  <c r="Y26" i="8"/>
  <c r="Y42" i="8"/>
  <c r="Y29" i="8"/>
  <c r="Y48" i="8"/>
  <c r="Y24" i="8"/>
  <c r="Y49" i="8"/>
  <c r="Y8" i="8"/>
  <c r="Y47" i="8"/>
  <c r="Y51" i="8"/>
  <c r="Y44" i="8"/>
  <c r="X44" i="23" s="1"/>
  <c r="X96" i="23" s="1"/>
  <c r="Y9" i="8"/>
  <c r="Y14" i="8"/>
  <c r="X14" i="23" s="1"/>
  <c r="X66" i="23" s="1"/>
  <c r="Y33" i="8"/>
  <c r="X33" i="23" s="1"/>
  <c r="X85" i="23" s="1"/>
  <c r="Y25" i="8"/>
  <c r="Y36" i="8"/>
  <c r="Y30" i="8"/>
  <c r="Y16" i="8"/>
  <c r="Y22" i="8"/>
  <c r="Y39" i="8"/>
  <c r="Y43" i="8"/>
  <c r="Y35" i="8"/>
  <c r="AB21" i="8"/>
  <c r="AB22" i="12"/>
  <c r="X23" i="13"/>
  <c r="Y23" i="13" s="1"/>
  <c r="AB23" i="13" s="1"/>
  <c r="R5" i="23"/>
  <c r="R57" i="23" s="1"/>
  <c r="R53" i="8"/>
  <c r="S58" i="8" s="1"/>
  <c r="Q43" i="12"/>
  <c r="Y20" i="8"/>
  <c r="Y5" i="8"/>
  <c r="AB5" i="9"/>
  <c r="AB53" i="9" s="1"/>
  <c r="Y53" i="9"/>
  <c r="AB39" i="13"/>
  <c r="H9" i="26"/>
  <c r="H14" i="26" s="1"/>
  <c r="AA43" i="12"/>
  <c r="U5" i="23"/>
  <c r="U57" i="23" s="1"/>
  <c r="V53" i="8"/>
  <c r="B11" i="26"/>
  <c r="B7" i="26"/>
  <c r="B13" i="26" s="1"/>
  <c r="B9" i="26"/>
  <c r="X27" i="12"/>
  <c r="AB44" i="8"/>
  <c r="L7" i="26"/>
  <c r="L13" i="26" s="1"/>
  <c r="L11" i="26"/>
  <c r="L9" i="26"/>
  <c r="M5" i="23"/>
  <c r="M57" i="23" s="1"/>
  <c r="M53" i="8"/>
  <c r="J9" i="25"/>
  <c r="J11" i="25"/>
  <c r="J7" i="25"/>
  <c r="J13" i="25" s="1"/>
  <c r="X36" i="13"/>
  <c r="Y36" i="13" s="1"/>
  <c r="AB36" i="13" s="1"/>
  <c r="T9" i="25"/>
  <c r="T7" i="25"/>
  <c r="T13" i="25" s="1"/>
  <c r="T11" i="25"/>
  <c r="X17" i="23"/>
  <c r="X69" i="23" s="1"/>
  <c r="AB35" i="13"/>
  <c r="L11" i="25"/>
  <c r="L9" i="25"/>
  <c r="L7" i="25"/>
  <c r="L13" i="25" s="1"/>
  <c r="Y41" i="8"/>
  <c r="AB14" i="8"/>
  <c r="AB37" i="13"/>
  <c r="X38" i="13"/>
  <c r="Y38" i="13" s="1"/>
  <c r="AB38" i="13" s="1"/>
  <c r="Y40" i="8"/>
  <c r="X40" i="23" s="1"/>
  <c r="X92" i="23" s="1"/>
  <c r="X22" i="13"/>
  <c r="Y22" i="13" s="1"/>
  <c r="AB22" i="13" s="1"/>
  <c r="S14" i="29" s="1"/>
  <c r="Y32" i="8"/>
  <c r="Y13" i="8"/>
  <c r="G14" i="26"/>
  <c r="G15" i="26"/>
  <c r="C14" i="26"/>
  <c r="C15" i="26"/>
  <c r="I11" i="26"/>
  <c r="I9" i="26"/>
  <c r="I7" i="26"/>
  <c r="I13" i="26" s="1"/>
  <c r="AB6" i="13"/>
  <c r="W43" i="12"/>
  <c r="H11" i="26"/>
  <c r="U16" i="24"/>
  <c r="U58" i="24" s="1"/>
  <c r="AB10" i="13"/>
  <c r="AB43" i="11"/>
  <c r="X5" i="13"/>
  <c r="U5" i="24" s="1"/>
  <c r="U47" i="24" s="1"/>
  <c r="AB11" i="13"/>
  <c r="W43" i="13"/>
  <c r="U28" i="24"/>
  <c r="U70" i="24" s="1"/>
  <c r="Y26" i="12"/>
  <c r="AB26" i="12" s="1"/>
  <c r="Y8" i="12"/>
  <c r="AB8" i="12" s="1"/>
  <c r="Y33" i="12"/>
  <c r="AB33" i="12" s="1"/>
  <c r="U33" i="24"/>
  <c r="U75" i="24" s="1"/>
  <c r="Y40" i="12"/>
  <c r="AB40" i="12" s="1"/>
  <c r="S32" i="29" s="1"/>
  <c r="U40" i="24"/>
  <c r="U82" i="24" s="1"/>
  <c r="Y32" i="12"/>
  <c r="AB32" i="12" s="1"/>
  <c r="S15" i="29" s="1"/>
  <c r="U32" i="24"/>
  <c r="U74" i="24" s="1"/>
  <c r="Y7" i="12"/>
  <c r="AB7" i="12" s="1"/>
  <c r="Y10" i="12"/>
  <c r="AB10" i="12" s="1"/>
  <c r="U10" i="24"/>
  <c r="U52" i="24" s="1"/>
  <c r="Y19" i="12"/>
  <c r="AB19" i="12" s="1"/>
  <c r="U19" i="24"/>
  <c r="U61" i="24" s="1"/>
  <c r="Y29" i="12"/>
  <c r="AB29" i="12" s="1"/>
  <c r="U29" i="24"/>
  <c r="U71" i="24" s="1"/>
  <c r="Y24" i="12"/>
  <c r="AB24" i="12" s="1"/>
  <c r="S17" i="29" s="1"/>
  <c r="U24" i="24"/>
  <c r="U66" i="24" s="1"/>
  <c r="Y11" i="12"/>
  <c r="AB11" i="12" s="1"/>
  <c r="U11" i="24"/>
  <c r="U53" i="24" s="1"/>
  <c r="Y21" i="12"/>
  <c r="AB21" i="12" s="1"/>
  <c r="S13" i="29" s="1"/>
  <c r="U21" i="24"/>
  <c r="U63" i="24" s="1"/>
  <c r="Y6" i="12"/>
  <c r="AB6" i="12" s="1"/>
  <c r="U6" i="24"/>
  <c r="U48" i="24" s="1"/>
  <c r="Y36" i="12"/>
  <c r="AB36" i="12" s="1"/>
  <c r="Y13" i="12"/>
  <c r="AB13" i="12" s="1"/>
  <c r="U13" i="24"/>
  <c r="U55" i="24" s="1"/>
  <c r="Y12" i="12"/>
  <c r="AB12" i="12" s="1"/>
  <c r="U12" i="24"/>
  <c r="U54" i="24" s="1"/>
  <c r="Y38" i="12"/>
  <c r="AB38" i="12" s="1"/>
  <c r="Y9" i="12"/>
  <c r="AB9" i="12" s="1"/>
  <c r="U9" i="24"/>
  <c r="U51" i="24" s="1"/>
  <c r="Y23" i="12"/>
  <c r="AB23" i="12" s="1"/>
  <c r="Y39" i="12"/>
  <c r="AB39" i="12" s="1"/>
  <c r="U39" i="24"/>
  <c r="U81" i="24" s="1"/>
  <c r="Y34" i="12"/>
  <c r="AB34" i="12" s="1"/>
  <c r="U34" i="24"/>
  <c r="U76" i="24" s="1"/>
  <c r="Y35" i="12"/>
  <c r="AB35" i="12" s="1"/>
  <c r="U35" i="24"/>
  <c r="U77" i="24" s="1"/>
  <c r="Y15" i="12"/>
  <c r="AB15" i="12" s="1"/>
  <c r="S8" i="29" s="1"/>
  <c r="U15" i="24"/>
  <c r="U57" i="24" s="1"/>
  <c r="AA235" i="17"/>
  <c r="Y17" i="12"/>
  <c r="AB17" i="12" s="1"/>
  <c r="U17" i="24"/>
  <c r="U59" i="24" s="1"/>
  <c r="Y37" i="12"/>
  <c r="AB37" i="12" s="1"/>
  <c r="U37" i="24"/>
  <c r="U79" i="24" s="1"/>
  <c r="Y27" i="12"/>
  <c r="AB27" i="12" s="1"/>
  <c r="U27" i="24"/>
  <c r="U69" i="24" s="1"/>
  <c r="AA391" i="16"/>
  <c r="AG391" i="16" s="1"/>
  <c r="U20" i="24"/>
  <c r="U62" i="24" s="1"/>
  <c r="AA384" i="16"/>
  <c r="AG384" i="16" s="1"/>
  <c r="Y41" i="12"/>
  <c r="AB41" i="12" s="1"/>
  <c r="S33" i="29" s="1"/>
  <c r="U41" i="24"/>
  <c r="U83" i="24" s="1"/>
  <c r="Y25" i="12"/>
  <c r="AB25" i="12" s="1"/>
  <c r="S18" i="29" s="1"/>
  <c r="U25" i="24"/>
  <c r="U67" i="24" s="1"/>
  <c r="Y18" i="12"/>
  <c r="AB18" i="12" s="1"/>
  <c r="U18" i="24"/>
  <c r="U60" i="24" s="1"/>
  <c r="AA381" i="16"/>
  <c r="AG381" i="16" s="1"/>
  <c r="AA241" i="17"/>
  <c r="U30" i="24"/>
  <c r="U72" i="24" s="1"/>
  <c r="AA389" i="16"/>
  <c r="AG389" i="16" s="1"/>
  <c r="U14" i="24"/>
  <c r="U56" i="24" s="1"/>
  <c r="Y5" i="12"/>
  <c r="X43" i="12"/>
  <c r="AB45" i="13"/>
  <c r="AB45" i="12"/>
  <c r="AB45" i="11"/>
  <c r="AB45" i="10"/>
  <c r="AM57" i="6"/>
  <c r="AM55" i="9"/>
  <c r="AM55" i="7"/>
  <c r="AM55" i="8"/>
  <c r="AA245" i="17" l="1"/>
  <c r="AA382" i="16"/>
  <c r="AG382" i="16" s="1"/>
  <c r="AA237" i="17"/>
  <c r="AA393" i="16"/>
  <c r="AG393" i="16" s="1"/>
  <c r="AA380" i="16"/>
  <c r="AG380" i="16" s="1"/>
  <c r="AA236" i="17"/>
  <c r="U8" i="24"/>
  <c r="U50" i="24" s="1"/>
  <c r="AA242" i="17"/>
  <c r="S22" i="29"/>
  <c r="AA386" i="16"/>
  <c r="AG386" i="16" s="1"/>
  <c r="B15" i="25"/>
  <c r="B14" i="25"/>
  <c r="S9" i="29"/>
  <c r="Q15" i="25"/>
  <c r="Q14" i="25"/>
  <c r="M15" i="25"/>
  <c r="M14" i="25"/>
  <c r="U26" i="24"/>
  <c r="U68" i="24" s="1"/>
  <c r="AA244" i="17"/>
  <c r="AA392" i="16"/>
  <c r="AG392" i="16" s="1"/>
  <c r="AA239" i="17"/>
  <c r="AA387" i="16"/>
  <c r="AG387" i="16" s="1"/>
  <c r="U7" i="24"/>
  <c r="U49" i="24" s="1"/>
  <c r="AA243" i="17"/>
  <c r="AA388" i="16"/>
  <c r="AG388" i="16" s="1"/>
  <c r="AA383" i="16"/>
  <c r="AG383" i="16" s="1"/>
  <c r="AA385" i="16"/>
  <c r="AG385" i="16" s="1"/>
  <c r="AA233" i="17"/>
  <c r="AA232" i="17"/>
  <c r="AA246" i="17"/>
  <c r="AA234" i="17"/>
  <c r="AA238" i="17"/>
  <c r="AA379" i="16"/>
  <c r="L391" i="21" s="1"/>
  <c r="O391" i="21" s="1"/>
  <c r="AA390" i="16"/>
  <c r="AG390" i="16" s="1"/>
  <c r="S11" i="29"/>
  <c r="E15" i="26"/>
  <c r="E14" i="26"/>
  <c r="U38" i="24"/>
  <c r="U80" i="24" s="1"/>
  <c r="H15" i="26"/>
  <c r="S30" i="29"/>
  <c r="S7" i="29"/>
  <c r="S27" i="29"/>
  <c r="S23" i="29"/>
  <c r="S31" i="29"/>
  <c r="S20" i="29"/>
  <c r="J15" i="26"/>
  <c r="J14" i="26"/>
  <c r="S6" i="29"/>
  <c r="S25" i="29"/>
  <c r="S29" i="29"/>
  <c r="AB50" i="8"/>
  <c r="X50" i="23"/>
  <c r="X102" i="23" s="1"/>
  <c r="S28" i="29"/>
  <c r="S19" i="29"/>
  <c r="S5" i="29"/>
  <c r="AB12" i="8"/>
  <c r="X12" i="23"/>
  <c r="X64" i="23" s="1"/>
  <c r="U23" i="24"/>
  <c r="U65" i="24" s="1"/>
  <c r="G11" i="29"/>
  <c r="G6" i="29"/>
  <c r="S21" i="29"/>
  <c r="S16" i="29"/>
  <c r="S26" i="29"/>
  <c r="K7" i="25"/>
  <c r="K13" i="25" s="1"/>
  <c r="K9" i="25"/>
  <c r="K11" i="25"/>
  <c r="AB20" i="8"/>
  <c r="X20" i="23"/>
  <c r="X72" i="23" s="1"/>
  <c r="AB35" i="8"/>
  <c r="X35" i="23"/>
  <c r="X87" i="23" s="1"/>
  <c r="AB24" i="8"/>
  <c r="X24" i="23"/>
  <c r="X76" i="23" s="1"/>
  <c r="AB18" i="8"/>
  <c r="X18" i="23"/>
  <c r="X70" i="23" s="1"/>
  <c r="AB46" i="8"/>
  <c r="AB43" i="8"/>
  <c r="X43" i="23"/>
  <c r="X95" i="23" s="1"/>
  <c r="AB48" i="8"/>
  <c r="X48" i="23"/>
  <c r="X100" i="23" s="1"/>
  <c r="X15" i="23"/>
  <c r="X67" i="23" s="1"/>
  <c r="AB15" i="8"/>
  <c r="AB10" i="8"/>
  <c r="X10" i="23"/>
  <c r="X62" i="23" s="1"/>
  <c r="X19" i="23"/>
  <c r="X71" i="23" s="1"/>
  <c r="AB19" i="8"/>
  <c r="AB40" i="8"/>
  <c r="S37" i="9"/>
  <c r="S37" i="23" s="1"/>
  <c r="S89" i="23" s="1"/>
  <c r="S7" i="9"/>
  <c r="S7" i="23" s="1"/>
  <c r="S59" i="23" s="1"/>
  <c r="S38" i="9"/>
  <c r="S38" i="23" s="1"/>
  <c r="S90" i="23" s="1"/>
  <c r="S50" i="9"/>
  <c r="S50" i="23" s="1"/>
  <c r="S102" i="23" s="1"/>
  <c r="S18" i="9"/>
  <c r="S18" i="23" s="1"/>
  <c r="S70" i="23" s="1"/>
  <c r="S40" i="9"/>
  <c r="S40" i="23" s="1"/>
  <c r="S92" i="23" s="1"/>
  <c r="S49" i="9"/>
  <c r="S49" i="23" s="1"/>
  <c r="S101" i="23" s="1"/>
  <c r="S47" i="9"/>
  <c r="S47" i="23" s="1"/>
  <c r="S99" i="23" s="1"/>
  <c r="S34" i="9"/>
  <c r="S34" i="23" s="1"/>
  <c r="S86" i="23" s="1"/>
  <c r="S11" i="9"/>
  <c r="S11" i="23" s="1"/>
  <c r="S63" i="23" s="1"/>
  <c r="S28" i="9"/>
  <c r="S28" i="23" s="1"/>
  <c r="S80" i="23" s="1"/>
  <c r="S39" i="9"/>
  <c r="S39" i="23" s="1"/>
  <c r="S91" i="23" s="1"/>
  <c r="S19" i="9"/>
  <c r="S19" i="23" s="1"/>
  <c r="S71" i="23" s="1"/>
  <c r="S14" i="9"/>
  <c r="S14" i="23" s="1"/>
  <c r="S66" i="23" s="1"/>
  <c r="S25" i="9"/>
  <c r="S25" i="23" s="1"/>
  <c r="S77" i="23" s="1"/>
  <c r="S26" i="9"/>
  <c r="S26" i="23" s="1"/>
  <c r="S78" i="23" s="1"/>
  <c r="S33" i="9"/>
  <c r="S33" i="23" s="1"/>
  <c r="S85" i="23" s="1"/>
  <c r="S35" i="9"/>
  <c r="S35" i="23" s="1"/>
  <c r="S87" i="23" s="1"/>
  <c r="S12" i="9"/>
  <c r="S12" i="23" s="1"/>
  <c r="S64" i="23" s="1"/>
  <c r="S5" i="9"/>
  <c r="S6" i="9"/>
  <c r="S6" i="23" s="1"/>
  <c r="S58" i="23" s="1"/>
  <c r="S22" i="9"/>
  <c r="S22" i="23" s="1"/>
  <c r="S74" i="23" s="1"/>
  <c r="S48" i="9"/>
  <c r="S48" i="23" s="1"/>
  <c r="S100" i="23" s="1"/>
  <c r="S42" i="9"/>
  <c r="S42" i="23" s="1"/>
  <c r="S94" i="23" s="1"/>
  <c r="S23" i="9"/>
  <c r="S23" i="23" s="1"/>
  <c r="S75" i="23" s="1"/>
  <c r="S10" i="9"/>
  <c r="S10" i="23" s="1"/>
  <c r="S62" i="23" s="1"/>
  <c r="S31" i="9"/>
  <c r="S31" i="23" s="1"/>
  <c r="S83" i="23" s="1"/>
  <c r="S45" i="9"/>
  <c r="S45" i="23" s="1"/>
  <c r="S97" i="23" s="1"/>
  <c r="S8" i="9"/>
  <c r="S8" i="23" s="1"/>
  <c r="S60" i="23" s="1"/>
  <c r="S21" i="9"/>
  <c r="S21" i="23" s="1"/>
  <c r="S73" i="23" s="1"/>
  <c r="S9" i="9"/>
  <c r="S9" i="23" s="1"/>
  <c r="S61" i="23" s="1"/>
  <c r="S41" i="9"/>
  <c r="S41" i="23" s="1"/>
  <c r="S93" i="23" s="1"/>
  <c r="S30" i="9"/>
  <c r="S30" i="23" s="1"/>
  <c r="S82" i="23" s="1"/>
  <c r="S17" i="9"/>
  <c r="S17" i="23" s="1"/>
  <c r="S69" i="23" s="1"/>
  <c r="S29" i="9"/>
  <c r="S29" i="23" s="1"/>
  <c r="S81" i="23" s="1"/>
  <c r="S27" i="9"/>
  <c r="S27" i="23" s="1"/>
  <c r="S79" i="23" s="1"/>
  <c r="S43" i="9"/>
  <c r="S43" i="23" s="1"/>
  <c r="S95" i="23" s="1"/>
  <c r="S46" i="9"/>
  <c r="S46" i="23" s="1"/>
  <c r="S98" i="23" s="1"/>
  <c r="S24" i="9"/>
  <c r="S24" i="23" s="1"/>
  <c r="S76" i="23" s="1"/>
  <c r="S32" i="9"/>
  <c r="S32" i="23" s="1"/>
  <c r="S84" i="23" s="1"/>
  <c r="S13" i="9"/>
  <c r="S13" i="23" s="1"/>
  <c r="S65" i="23" s="1"/>
  <c r="S36" i="9"/>
  <c r="S36" i="23" s="1"/>
  <c r="S88" i="23" s="1"/>
  <c r="S20" i="9"/>
  <c r="S20" i="23" s="1"/>
  <c r="S72" i="23" s="1"/>
  <c r="S15" i="9"/>
  <c r="S15" i="23" s="1"/>
  <c r="S67" i="23" s="1"/>
  <c r="S16" i="9"/>
  <c r="S16" i="23" s="1"/>
  <c r="S68" i="23" s="1"/>
  <c r="S51" i="9"/>
  <c r="S51" i="23" s="1"/>
  <c r="S103" i="23" s="1"/>
  <c r="S44" i="9"/>
  <c r="S44" i="23" s="1"/>
  <c r="S96" i="23" s="1"/>
  <c r="X39" i="23"/>
  <c r="X91" i="23" s="1"/>
  <c r="AB39" i="8"/>
  <c r="AB9" i="8"/>
  <c r="X9" i="23"/>
  <c r="X61" i="23" s="1"/>
  <c r="AB29" i="8"/>
  <c r="X29" i="23"/>
  <c r="X81" i="23" s="1"/>
  <c r="X23" i="23"/>
  <c r="X75" i="23" s="1"/>
  <c r="AB23" i="8"/>
  <c r="AB37" i="8"/>
  <c r="X37" i="23"/>
  <c r="X89" i="23" s="1"/>
  <c r="F15" i="25"/>
  <c r="F14" i="25"/>
  <c r="H9" i="25"/>
  <c r="H11" i="25"/>
  <c r="H7" i="25"/>
  <c r="H13" i="25" s="1"/>
  <c r="X22" i="23"/>
  <c r="X74" i="23" s="1"/>
  <c r="AB22" i="8"/>
  <c r="AB42" i="8"/>
  <c r="X42" i="23"/>
  <c r="X94" i="23" s="1"/>
  <c r="X11" i="23"/>
  <c r="X63" i="23" s="1"/>
  <c r="AB11" i="8"/>
  <c r="AB28" i="8"/>
  <c r="X28" i="23"/>
  <c r="X80" i="23" s="1"/>
  <c r="U36" i="24"/>
  <c r="U78" i="24" s="1"/>
  <c r="X13" i="23"/>
  <c r="X65" i="23" s="1"/>
  <c r="AB13" i="8"/>
  <c r="AB41" i="8"/>
  <c r="X41" i="23"/>
  <c r="X93" i="23" s="1"/>
  <c r="AB27" i="8"/>
  <c r="J15" i="25"/>
  <c r="J14" i="25"/>
  <c r="B15" i="26"/>
  <c r="B14" i="26"/>
  <c r="AB33" i="8"/>
  <c r="X16" i="23"/>
  <c r="X68" i="23" s="1"/>
  <c r="AB16" i="8"/>
  <c r="AB51" i="8"/>
  <c r="X51" i="23"/>
  <c r="X103" i="23" s="1"/>
  <c r="AB26" i="8"/>
  <c r="X26" i="23"/>
  <c r="X78" i="23" s="1"/>
  <c r="X31" i="23"/>
  <c r="X83" i="23" s="1"/>
  <c r="AB31" i="8"/>
  <c r="U22" i="24"/>
  <c r="U64" i="24" s="1"/>
  <c r="AB32" i="8"/>
  <c r="X32" i="23"/>
  <c r="X84" i="23" s="1"/>
  <c r="X30" i="23"/>
  <c r="X82" i="23" s="1"/>
  <c r="AB30" i="8"/>
  <c r="AB47" i="8"/>
  <c r="X47" i="23"/>
  <c r="X99" i="23" s="1"/>
  <c r="AB34" i="8"/>
  <c r="X34" i="23"/>
  <c r="X86" i="23" s="1"/>
  <c r="L14" i="25"/>
  <c r="L15" i="25"/>
  <c r="C9" i="25"/>
  <c r="C11" i="25"/>
  <c r="C7" i="25"/>
  <c r="C13" i="25" s="1"/>
  <c r="AB36" i="8"/>
  <c r="X36" i="23"/>
  <c r="X88" i="23" s="1"/>
  <c r="AB8" i="8"/>
  <c r="X8" i="23"/>
  <c r="X60" i="23" s="1"/>
  <c r="X38" i="23"/>
  <c r="X90" i="23" s="1"/>
  <c r="AB38" i="8"/>
  <c r="X7" i="23"/>
  <c r="X59" i="23" s="1"/>
  <c r="AB7" i="8"/>
  <c r="T15" i="25"/>
  <c r="T14" i="25"/>
  <c r="L15" i="26"/>
  <c r="L14" i="26"/>
  <c r="X5" i="23"/>
  <c r="X57" i="23" s="1"/>
  <c r="AB5" i="8"/>
  <c r="Y53" i="8"/>
  <c r="AB25" i="8"/>
  <c r="X25" i="23"/>
  <c r="X77" i="23" s="1"/>
  <c r="AB49" i="8"/>
  <c r="X49" i="23"/>
  <c r="X101" i="23" s="1"/>
  <c r="AB6" i="8"/>
  <c r="X6" i="23"/>
  <c r="X58" i="23" s="1"/>
  <c r="U15" i="25"/>
  <c r="U14" i="25"/>
  <c r="D15" i="26"/>
  <c r="D14" i="26"/>
  <c r="K9" i="26"/>
  <c r="K15" i="26" s="1"/>
  <c r="I15" i="26"/>
  <c r="I14" i="26"/>
  <c r="Y5" i="13"/>
  <c r="X43" i="13"/>
  <c r="AA593" i="16"/>
  <c r="AA589" i="16"/>
  <c r="AA590" i="16"/>
  <c r="AA597" i="16"/>
  <c r="AA591" i="16"/>
  <c r="AA592" i="16"/>
  <c r="AA594" i="16"/>
  <c r="AA596" i="16"/>
  <c r="AA598" i="16"/>
  <c r="AA599" i="16"/>
  <c r="AA601" i="16"/>
  <c r="AA600" i="16"/>
  <c r="AA595" i="16"/>
  <c r="AA348" i="17"/>
  <c r="AA584" i="16"/>
  <c r="AG584" i="16" s="1"/>
  <c r="AA586" i="16"/>
  <c r="AG586" i="16" s="1"/>
  <c r="AA574" i="16"/>
  <c r="AA561" i="16"/>
  <c r="AA510" i="16"/>
  <c r="AA525" i="16"/>
  <c r="AA532" i="16"/>
  <c r="AA547" i="16"/>
  <c r="AA572" i="16"/>
  <c r="AA498" i="16"/>
  <c r="AA521" i="16"/>
  <c r="AA544" i="16"/>
  <c r="AA535" i="16"/>
  <c r="AA543" i="16"/>
  <c r="AA340" i="17"/>
  <c r="AA587" i="16"/>
  <c r="AG587" i="16" s="1"/>
  <c r="AA578" i="16"/>
  <c r="AG578" i="16" s="1"/>
  <c r="AA566" i="16"/>
  <c r="AA553" i="16"/>
  <c r="AA502" i="16"/>
  <c r="AA517" i="16"/>
  <c r="AA524" i="16"/>
  <c r="AA539" i="16"/>
  <c r="AA556" i="16"/>
  <c r="AA490" i="16"/>
  <c r="AA513" i="16"/>
  <c r="AA536" i="16"/>
  <c r="AA527" i="16"/>
  <c r="AA552" i="16"/>
  <c r="AA585" i="16"/>
  <c r="AG585" i="16" s="1"/>
  <c r="AA579" i="16"/>
  <c r="AG579" i="16" s="1"/>
  <c r="AA350" i="17"/>
  <c r="AA558" i="16"/>
  <c r="AA564" i="16"/>
  <c r="AA494" i="16"/>
  <c r="AA509" i="16"/>
  <c r="AA516" i="16"/>
  <c r="AA531" i="16"/>
  <c r="AA546" i="16"/>
  <c r="AA505" i="16"/>
  <c r="AA528" i="16"/>
  <c r="AA519" i="16"/>
  <c r="AA487" i="16"/>
  <c r="AA577" i="16"/>
  <c r="AG577" i="16" s="1"/>
  <c r="AA349" i="17"/>
  <c r="AA342" i="17"/>
  <c r="AA573" i="16"/>
  <c r="AA551" i="16"/>
  <c r="AA486" i="16"/>
  <c r="AA501" i="16"/>
  <c r="AA508" i="16"/>
  <c r="AA523" i="16"/>
  <c r="AA538" i="16"/>
  <c r="AA571" i="16"/>
  <c r="AA497" i="16"/>
  <c r="AA520" i="16"/>
  <c r="AA511" i="16"/>
  <c r="AA583" i="16"/>
  <c r="AG583" i="16" s="1"/>
  <c r="AA343" i="17"/>
  <c r="AA341" i="17"/>
  <c r="AA565" i="16"/>
  <c r="AA542" i="16"/>
  <c r="AA563" i="16"/>
  <c r="AA493" i="16"/>
  <c r="AA500" i="16"/>
  <c r="AA515" i="16"/>
  <c r="AA530" i="16"/>
  <c r="AA555" i="16"/>
  <c r="AA489" i="16"/>
  <c r="AA512" i="16"/>
  <c r="AA345" i="17"/>
  <c r="AA344" i="17"/>
  <c r="AA581" i="16"/>
  <c r="AG581" i="16" s="1"/>
  <c r="AA575" i="16"/>
  <c r="AA557" i="16"/>
  <c r="AA534" i="16"/>
  <c r="AA550" i="16"/>
  <c r="AA562" i="16"/>
  <c r="AA492" i="16"/>
  <c r="AA507" i="16"/>
  <c r="AA522" i="16"/>
  <c r="AA545" i="16"/>
  <c r="AA504" i="16"/>
  <c r="AA503" i="16"/>
  <c r="AA588" i="16"/>
  <c r="AG588" i="16" s="1"/>
  <c r="AA582" i="16"/>
  <c r="AG582" i="16" s="1"/>
  <c r="AA347" i="17"/>
  <c r="AA567" i="16"/>
  <c r="AA549" i="16"/>
  <c r="AA526" i="16"/>
  <c r="AA541" i="16"/>
  <c r="AA548" i="16"/>
  <c r="AA576" i="16"/>
  <c r="AA499" i="16"/>
  <c r="AA514" i="16"/>
  <c r="AA537" i="16"/>
  <c r="AA570" i="16"/>
  <c r="AA496" i="16"/>
  <c r="AA568" i="16"/>
  <c r="AA580" i="16"/>
  <c r="AG580" i="16" s="1"/>
  <c r="AA346" i="17"/>
  <c r="AA339" i="17"/>
  <c r="AA559" i="16"/>
  <c r="AA569" i="16"/>
  <c r="AA518" i="16"/>
  <c r="AA533" i="16"/>
  <c r="AA540" i="16"/>
  <c r="AA560" i="16"/>
  <c r="AA491" i="16"/>
  <c r="AA506" i="16"/>
  <c r="AA529" i="16"/>
  <c r="AA554" i="16"/>
  <c r="AA488" i="16"/>
  <c r="AA495" i="16"/>
  <c r="AA124" i="17"/>
  <c r="AA186" i="16"/>
  <c r="AG186" i="16" s="1"/>
  <c r="AA60" i="17"/>
  <c r="AA63" i="17"/>
  <c r="AA172" i="16"/>
  <c r="AG172" i="16" s="1"/>
  <c r="AA72" i="17"/>
  <c r="AA61" i="17"/>
  <c r="AA123" i="17"/>
  <c r="AA236" i="16"/>
  <c r="AG236" i="16" s="1"/>
  <c r="AA46" i="17"/>
  <c r="AA167" i="16"/>
  <c r="AG167" i="16" s="1"/>
  <c r="AA124" i="16"/>
  <c r="AA34" i="16"/>
  <c r="AA120" i="16"/>
  <c r="AA118" i="16"/>
  <c r="AA18" i="16"/>
  <c r="AA16" i="16"/>
  <c r="AA73" i="17"/>
  <c r="AA178" i="16"/>
  <c r="AG178" i="16" s="1"/>
  <c r="AA7" i="16"/>
  <c r="AG7" i="16" s="1"/>
  <c r="AA6" i="16"/>
  <c r="AG6" i="16" s="1"/>
  <c r="AA122" i="17"/>
  <c r="AA7" i="17"/>
  <c r="AA4" i="16"/>
  <c r="AG4" i="16" s="1"/>
  <c r="AA120" i="17"/>
  <c r="AA228" i="16"/>
  <c r="AG228" i="16" s="1"/>
  <c r="AA57" i="17"/>
  <c r="AA159" i="16"/>
  <c r="AG159" i="16" s="1"/>
  <c r="AA116" i="16"/>
  <c r="AA112" i="16"/>
  <c r="AA30" i="16"/>
  <c r="AA32" i="16"/>
  <c r="AA25" i="16"/>
  <c r="AA65" i="17"/>
  <c r="AA170" i="16"/>
  <c r="AG170" i="16" s="1"/>
  <c r="AA3" i="17"/>
  <c r="AA226" i="16"/>
  <c r="AG226" i="16" s="1"/>
  <c r="AA119" i="17"/>
  <c r="AA229" i="16"/>
  <c r="AG229" i="16" s="1"/>
  <c r="AA234" i="16"/>
  <c r="AG234" i="16" s="1"/>
  <c r="AA117" i="17"/>
  <c r="AA184" i="16"/>
  <c r="AG184" i="16" s="1"/>
  <c r="AA55" i="17"/>
  <c r="AA125" i="16"/>
  <c r="AA27" i="16"/>
  <c r="AA164" i="16"/>
  <c r="AG164" i="16" s="1"/>
  <c r="AA31" i="16"/>
  <c r="AA20" i="16"/>
  <c r="AA160" i="16"/>
  <c r="AG160" i="16" s="1"/>
  <c r="AA24" i="16"/>
  <c r="AA8" i="16"/>
  <c r="AG8" i="16" s="1"/>
  <c r="AA121" i="17"/>
  <c r="AA235" i="16"/>
  <c r="AG235" i="16" s="1"/>
  <c r="AA174" i="16"/>
  <c r="AG174" i="16" s="1"/>
  <c r="AA116" i="17"/>
  <c r="AA185" i="16"/>
  <c r="AG185" i="16" s="1"/>
  <c r="AA2" i="17"/>
  <c r="AA114" i="17"/>
  <c r="AA176" i="16"/>
  <c r="AG176" i="16" s="1"/>
  <c r="AA56" i="17"/>
  <c r="AA53" i="17"/>
  <c r="AA117" i="16"/>
  <c r="AA19" i="16"/>
  <c r="AA122" i="16"/>
  <c r="AA23" i="16"/>
  <c r="AA28" i="16"/>
  <c r="AA2" i="16"/>
  <c r="AA233" i="16"/>
  <c r="AG233" i="16" s="1"/>
  <c r="AA4" i="17"/>
  <c r="AA118" i="17"/>
  <c r="AA227" i="16"/>
  <c r="AG227" i="16" s="1"/>
  <c r="AA64" i="17"/>
  <c r="AA74" i="17"/>
  <c r="AA177" i="16"/>
  <c r="AG177" i="16" s="1"/>
  <c r="AA231" i="16"/>
  <c r="AG231" i="16" s="1"/>
  <c r="AA111" i="17"/>
  <c r="AA70" i="17"/>
  <c r="AA54" i="17"/>
  <c r="AA51" i="17"/>
  <c r="AA114" i="16"/>
  <c r="AA169" i="16"/>
  <c r="AG169" i="16" s="1"/>
  <c r="AA21" i="16"/>
  <c r="AA17" i="16"/>
  <c r="AA121" i="16"/>
  <c r="AA225" i="16"/>
  <c r="AG225" i="16" s="1"/>
  <c r="AA182" i="16"/>
  <c r="AG182" i="16" s="1"/>
  <c r="AA115" i="17"/>
  <c r="AA183" i="16"/>
  <c r="AG183" i="16" s="1"/>
  <c r="AA232" i="16"/>
  <c r="AG232" i="16" s="1"/>
  <c r="AA66" i="17"/>
  <c r="AA113" i="17"/>
  <c r="AA223" i="16"/>
  <c r="AG223" i="16" s="1"/>
  <c r="AA67" i="17"/>
  <c r="AA62" i="17"/>
  <c r="AA52" i="17"/>
  <c r="AA49" i="17"/>
  <c r="AA165" i="16"/>
  <c r="AG165" i="16" s="1"/>
  <c r="AA33" i="16"/>
  <c r="AA161" i="16"/>
  <c r="AG161" i="16" s="1"/>
  <c r="AA163" i="16"/>
  <c r="AG163" i="16" s="1"/>
  <c r="AA22" i="16"/>
  <c r="AA181" i="16"/>
  <c r="AG181" i="16" s="1"/>
  <c r="AA230" i="16"/>
  <c r="AG230" i="16" s="1"/>
  <c r="AA112" i="17"/>
  <c r="AA175" i="16"/>
  <c r="AG175" i="16" s="1"/>
  <c r="AA224" i="16"/>
  <c r="AG224" i="16" s="1"/>
  <c r="AA58" i="17"/>
  <c r="AA110" i="17"/>
  <c r="AA179" i="16"/>
  <c r="AG179" i="16" s="1"/>
  <c r="AA59" i="17"/>
  <c r="AA9" i="16"/>
  <c r="AG9" i="16" s="1"/>
  <c r="AA50" i="17"/>
  <c r="AA47" i="17"/>
  <c r="AA166" i="16"/>
  <c r="AG166" i="16" s="1"/>
  <c r="AA123" i="16"/>
  <c r="AA119" i="16"/>
  <c r="AA113" i="16"/>
  <c r="AA173" i="16"/>
  <c r="AG173" i="16" s="1"/>
  <c r="AA222" i="16"/>
  <c r="AG222" i="16" s="1"/>
  <c r="AA68" i="17"/>
  <c r="AA71" i="17"/>
  <c r="AA180" i="16"/>
  <c r="AG180" i="16" s="1"/>
  <c r="AA5" i="16"/>
  <c r="AG5" i="16" s="1"/>
  <c r="AA69" i="17"/>
  <c r="AA171" i="16"/>
  <c r="AG171" i="16" s="1"/>
  <c r="AA6" i="17"/>
  <c r="AA5" i="17"/>
  <c r="AA48" i="17"/>
  <c r="AA158" i="16"/>
  <c r="AG158" i="16" s="1"/>
  <c r="AA115" i="16"/>
  <c r="AA162" i="16"/>
  <c r="AG162" i="16" s="1"/>
  <c r="AA168" i="16"/>
  <c r="AG168" i="16" s="1"/>
  <c r="AA29" i="16"/>
  <c r="AA26" i="16"/>
  <c r="AA208" i="17"/>
  <c r="AA192" i="17"/>
  <c r="AA199" i="17"/>
  <c r="AA357" i="16"/>
  <c r="AG357" i="16" s="1"/>
  <c r="AA339" i="16"/>
  <c r="AG339" i="16" s="1"/>
  <c r="AA344" i="16"/>
  <c r="AG344" i="16" s="1"/>
  <c r="AA206" i="17"/>
  <c r="AA190" i="17"/>
  <c r="AA197" i="17"/>
  <c r="AA349" i="16"/>
  <c r="AG349" i="16" s="1"/>
  <c r="AA354" i="16"/>
  <c r="AG354" i="16" s="1"/>
  <c r="AA343" i="16"/>
  <c r="AG343" i="16" s="1"/>
  <c r="AA204" i="17"/>
  <c r="AA211" i="17"/>
  <c r="AA195" i="17"/>
  <c r="AA341" i="16"/>
  <c r="AG341" i="16" s="1"/>
  <c r="AA346" i="16"/>
  <c r="AG346" i="16" s="1"/>
  <c r="AA351" i="16"/>
  <c r="AG351" i="16" s="1"/>
  <c r="AA202" i="17"/>
  <c r="AA209" i="17"/>
  <c r="AA193" i="17"/>
  <c r="AA356" i="16"/>
  <c r="AG356" i="16" s="1"/>
  <c r="AA338" i="16"/>
  <c r="AG338" i="16" s="1"/>
  <c r="AA359" i="16"/>
  <c r="AG359" i="16" s="1"/>
  <c r="AA200" i="17"/>
  <c r="AA207" i="17"/>
  <c r="AA191" i="17"/>
  <c r="AA348" i="16"/>
  <c r="AG348" i="16" s="1"/>
  <c r="AA353" i="16"/>
  <c r="AG353" i="16" s="1"/>
  <c r="AA198" i="17"/>
  <c r="AA205" i="17"/>
  <c r="AA358" i="16"/>
  <c r="AG358" i="16" s="1"/>
  <c r="AA340" i="16"/>
  <c r="AG340" i="16" s="1"/>
  <c r="AA345" i="16"/>
  <c r="AG345" i="16" s="1"/>
  <c r="AA212" i="17"/>
  <c r="AA196" i="17"/>
  <c r="AA203" i="17"/>
  <c r="AA350" i="16"/>
  <c r="AG350" i="16" s="1"/>
  <c r="AA355" i="16"/>
  <c r="AG355" i="16" s="1"/>
  <c r="AA337" i="16"/>
  <c r="AG337" i="16" s="1"/>
  <c r="AA210" i="17"/>
  <c r="AA194" i="17"/>
  <c r="AA201" i="17"/>
  <c r="AA342" i="16"/>
  <c r="AG342" i="16" s="1"/>
  <c r="AA347" i="16"/>
  <c r="AG347" i="16" s="1"/>
  <c r="AA352" i="16"/>
  <c r="AG352" i="16" s="1"/>
  <c r="K11" i="26"/>
  <c r="M11" i="26" s="1"/>
  <c r="AA334" i="17"/>
  <c r="AA318" i="17"/>
  <c r="AA302" i="17"/>
  <c r="AA286" i="17"/>
  <c r="AA270" i="17"/>
  <c r="AA254" i="17"/>
  <c r="AA329" i="17"/>
  <c r="AA313" i="17"/>
  <c r="AA297" i="17"/>
  <c r="AA281" i="17"/>
  <c r="AA265" i="17"/>
  <c r="AA249" i="17"/>
  <c r="AA430" i="16"/>
  <c r="AG430" i="16" s="1"/>
  <c r="AA461" i="16"/>
  <c r="AG461" i="16" s="1"/>
  <c r="AA397" i="16"/>
  <c r="AG397" i="16" s="1"/>
  <c r="AA428" i="16"/>
  <c r="AG428" i="16" s="1"/>
  <c r="AA459" i="16"/>
  <c r="AG459" i="16" s="1"/>
  <c r="AA395" i="16"/>
  <c r="AG395" i="16" s="1"/>
  <c r="AA426" i="16"/>
  <c r="AG426" i="16" s="1"/>
  <c r="AA457" i="16"/>
  <c r="AG457" i="16" s="1"/>
  <c r="AA480" i="16"/>
  <c r="AG480" i="16" s="1"/>
  <c r="AA416" i="16"/>
  <c r="AG416" i="16" s="1"/>
  <c r="AA455" i="16"/>
  <c r="AG455" i="16" s="1"/>
  <c r="AA332" i="17"/>
  <c r="AA316" i="17"/>
  <c r="AA300" i="17"/>
  <c r="AA284" i="17"/>
  <c r="AA268" i="17"/>
  <c r="AA330" i="17"/>
  <c r="AA314" i="17"/>
  <c r="AA298" i="17"/>
  <c r="AA282" i="17"/>
  <c r="AA266" i="17"/>
  <c r="AA250" i="17"/>
  <c r="AA325" i="17"/>
  <c r="AA309" i="17"/>
  <c r="AA293" i="17"/>
  <c r="AA277" i="17"/>
  <c r="AA261" i="17"/>
  <c r="AA478" i="16"/>
  <c r="AG478" i="16" s="1"/>
  <c r="AA414" i="16"/>
  <c r="AG414" i="16" s="1"/>
  <c r="AA445" i="16"/>
  <c r="AG445" i="16" s="1"/>
  <c r="AA476" i="16"/>
  <c r="AG476" i="16" s="1"/>
  <c r="AA412" i="16"/>
  <c r="AG412" i="16" s="1"/>
  <c r="AA443" i="16"/>
  <c r="AG443" i="16" s="1"/>
  <c r="AA474" i="16"/>
  <c r="AG474" i="16" s="1"/>
  <c r="AA410" i="16"/>
  <c r="AG410" i="16" s="1"/>
  <c r="AA441" i="16"/>
  <c r="AG441" i="16" s="1"/>
  <c r="AA464" i="16"/>
  <c r="AG464" i="16" s="1"/>
  <c r="AA400" i="16"/>
  <c r="AG400" i="16" s="1"/>
  <c r="AA439" i="16"/>
  <c r="AG439" i="16" s="1"/>
  <c r="AA328" i="17"/>
  <c r="AA312" i="17"/>
  <c r="AA296" i="17"/>
  <c r="AA280" i="17"/>
  <c r="AA264" i="17"/>
  <c r="AA248" i="17"/>
  <c r="AA323" i="17"/>
  <c r="AA307" i="17"/>
  <c r="AA291" i="17"/>
  <c r="AA275" i="17"/>
  <c r="AA259" i="17"/>
  <c r="AA470" i="16"/>
  <c r="AG470" i="16" s="1"/>
  <c r="AA406" i="16"/>
  <c r="AG406" i="16" s="1"/>
  <c r="AA437" i="16"/>
  <c r="AG437" i="16" s="1"/>
  <c r="AA468" i="16"/>
  <c r="AG468" i="16" s="1"/>
  <c r="AA404" i="16"/>
  <c r="AG404" i="16" s="1"/>
  <c r="AA326" i="17"/>
  <c r="AA310" i="17"/>
  <c r="AA294" i="17"/>
  <c r="AA278" i="17"/>
  <c r="AA262" i="17"/>
  <c r="AA337" i="17"/>
  <c r="AA321" i="17"/>
  <c r="AA305" i="17"/>
  <c r="AA289" i="17"/>
  <c r="AA273" i="17"/>
  <c r="AA257" i="17"/>
  <c r="AA462" i="16"/>
  <c r="AG462" i="16" s="1"/>
  <c r="AA398" i="16"/>
  <c r="AG398" i="16" s="1"/>
  <c r="AA429" i="16"/>
  <c r="AG429" i="16" s="1"/>
  <c r="AA460" i="16"/>
  <c r="AG460" i="16" s="1"/>
  <c r="AA396" i="16"/>
  <c r="AG396" i="16" s="1"/>
  <c r="AA427" i="16"/>
  <c r="AG427" i="16" s="1"/>
  <c r="AA458" i="16"/>
  <c r="AG458" i="16" s="1"/>
  <c r="AA394" i="16"/>
  <c r="AG394" i="16" s="1"/>
  <c r="AA425" i="16"/>
  <c r="AG425" i="16" s="1"/>
  <c r="AA448" i="16"/>
  <c r="AG448" i="16" s="1"/>
  <c r="AA407" i="16"/>
  <c r="AG407" i="16" s="1"/>
  <c r="AA423" i="16"/>
  <c r="AG423" i="16" s="1"/>
  <c r="AA324" i="17"/>
  <c r="AA308" i="17"/>
  <c r="AA292" i="17"/>
  <c r="AA338" i="17"/>
  <c r="AA322" i="17"/>
  <c r="AA306" i="17"/>
  <c r="AA290" i="17"/>
  <c r="AA274" i="17"/>
  <c r="AA258" i="17"/>
  <c r="AA333" i="17"/>
  <c r="AA317" i="17"/>
  <c r="AA301" i="17"/>
  <c r="AA285" i="17"/>
  <c r="AA269" i="17"/>
  <c r="AA253" i="17"/>
  <c r="AA446" i="16"/>
  <c r="AG446" i="16" s="1"/>
  <c r="AA477" i="16"/>
  <c r="AG477" i="16" s="1"/>
  <c r="AA413" i="16"/>
  <c r="AG413" i="16" s="1"/>
  <c r="AA444" i="16"/>
  <c r="AG444" i="16" s="1"/>
  <c r="AA475" i="16"/>
  <c r="AG475" i="16" s="1"/>
  <c r="AA411" i="16"/>
  <c r="AG411" i="16" s="1"/>
  <c r="AA442" i="16"/>
  <c r="AG442" i="16" s="1"/>
  <c r="AA473" i="16"/>
  <c r="AG473" i="16" s="1"/>
  <c r="AA409" i="16"/>
  <c r="AG409" i="16" s="1"/>
  <c r="AA432" i="16"/>
  <c r="AG432" i="16" s="1"/>
  <c r="AA463" i="16"/>
  <c r="AG463" i="16" s="1"/>
  <c r="AA336" i="17"/>
  <c r="AA320" i="17"/>
  <c r="AA304" i="17"/>
  <c r="AA288" i="17"/>
  <c r="AA272" i="17"/>
  <c r="AA256" i="17"/>
  <c r="AA331" i="17"/>
  <c r="AA315" i="17"/>
  <c r="AA299" i="17"/>
  <c r="AA283" i="17"/>
  <c r="AA267" i="17"/>
  <c r="AA251" i="17"/>
  <c r="AA438" i="16"/>
  <c r="AG438" i="16" s="1"/>
  <c r="AA469" i="16"/>
  <c r="AG469" i="16" s="1"/>
  <c r="AA405" i="16"/>
  <c r="AG405" i="16" s="1"/>
  <c r="AA436" i="16"/>
  <c r="AG436" i="16" s="1"/>
  <c r="AA335" i="17"/>
  <c r="AA271" i="17"/>
  <c r="AA421" i="16"/>
  <c r="AG421" i="16" s="1"/>
  <c r="AA419" i="16"/>
  <c r="AG419" i="16" s="1"/>
  <c r="AA481" i="16"/>
  <c r="AG481" i="16" s="1"/>
  <c r="AA440" i="16"/>
  <c r="AG440" i="16" s="1"/>
  <c r="AA479" i="16"/>
  <c r="AG479" i="16" s="1"/>
  <c r="AA327" i="17"/>
  <c r="AA263" i="17"/>
  <c r="AA484" i="16"/>
  <c r="AG484" i="16" s="1"/>
  <c r="AA403" i="16"/>
  <c r="AG403" i="16" s="1"/>
  <c r="AA465" i="16"/>
  <c r="AG465" i="16" s="1"/>
  <c r="AA424" i="16"/>
  <c r="AG424" i="16" s="1"/>
  <c r="AA319" i="17"/>
  <c r="AA255" i="17"/>
  <c r="AA452" i="16"/>
  <c r="AG452" i="16" s="1"/>
  <c r="AA482" i="16"/>
  <c r="AG482" i="16" s="1"/>
  <c r="AA449" i="16"/>
  <c r="AG449" i="16" s="1"/>
  <c r="AA408" i="16"/>
  <c r="AG408" i="16" s="1"/>
  <c r="AA311" i="17"/>
  <c r="AA247" i="17"/>
  <c r="AA420" i="16"/>
  <c r="AG420" i="16" s="1"/>
  <c r="AA466" i="16"/>
  <c r="AG466" i="16" s="1"/>
  <c r="AA433" i="16"/>
  <c r="AG433" i="16" s="1"/>
  <c r="AA471" i="16"/>
  <c r="AG471" i="16" s="1"/>
  <c r="AA303" i="17"/>
  <c r="AA454" i="16"/>
  <c r="AG454" i="16" s="1"/>
  <c r="AA483" i="16"/>
  <c r="AG483" i="16" s="1"/>
  <c r="AA450" i="16"/>
  <c r="AG450" i="16" s="1"/>
  <c r="AA417" i="16"/>
  <c r="AG417" i="16" s="1"/>
  <c r="AA415" i="16"/>
  <c r="AG415" i="16" s="1"/>
  <c r="AA276" i="17"/>
  <c r="AA295" i="17"/>
  <c r="AA422" i="16"/>
  <c r="AG422" i="16" s="1"/>
  <c r="AA467" i="16"/>
  <c r="AG467" i="16" s="1"/>
  <c r="AA434" i="16"/>
  <c r="AG434" i="16" s="1"/>
  <c r="AA401" i="16"/>
  <c r="AG401" i="16" s="1"/>
  <c r="AA399" i="16"/>
  <c r="AG399" i="16" s="1"/>
  <c r="AA260" i="17"/>
  <c r="AA287" i="17"/>
  <c r="AA485" i="16"/>
  <c r="AG485" i="16" s="1"/>
  <c r="AA451" i="16"/>
  <c r="AG451" i="16" s="1"/>
  <c r="AA418" i="16"/>
  <c r="AG418" i="16" s="1"/>
  <c r="AA472" i="16"/>
  <c r="AG472" i="16" s="1"/>
  <c r="AA447" i="16"/>
  <c r="AG447" i="16" s="1"/>
  <c r="AA252" i="17"/>
  <c r="AA279" i="17"/>
  <c r="AA453" i="16"/>
  <c r="AG453" i="16" s="1"/>
  <c r="AA435" i="16"/>
  <c r="AG435" i="16" s="1"/>
  <c r="AA402" i="16"/>
  <c r="AG402" i="16" s="1"/>
  <c r="AA456" i="16"/>
  <c r="AG456" i="16" s="1"/>
  <c r="AA431" i="16"/>
  <c r="AG431" i="16" s="1"/>
  <c r="AA371" i="16"/>
  <c r="AG371" i="16" s="1"/>
  <c r="AA230" i="17"/>
  <c r="AA361" i="16"/>
  <c r="AG361" i="16" s="1"/>
  <c r="AA228" i="17"/>
  <c r="AA376" i="16"/>
  <c r="AG376" i="16" s="1"/>
  <c r="AA214" i="17"/>
  <c r="AA231" i="17"/>
  <c r="AA217" i="17"/>
  <c r="AA215" i="17"/>
  <c r="AA364" i="16"/>
  <c r="AG364" i="16" s="1"/>
  <c r="AA372" i="16"/>
  <c r="AG372" i="16" s="1"/>
  <c r="AA367" i="16"/>
  <c r="AG367" i="16" s="1"/>
  <c r="AA366" i="16"/>
  <c r="AG366" i="16" s="1"/>
  <c r="AA226" i="17"/>
  <c r="AA219" i="17"/>
  <c r="AA362" i="16"/>
  <c r="AG362" i="16" s="1"/>
  <c r="AA225" i="17"/>
  <c r="AA368" i="16"/>
  <c r="AG368" i="16" s="1"/>
  <c r="AA216" i="17"/>
  <c r="AA373" i="16"/>
  <c r="AG373" i="16" s="1"/>
  <c r="AA222" i="17"/>
  <c r="AA363" i="16"/>
  <c r="AG363" i="16" s="1"/>
  <c r="AA223" i="17"/>
  <c r="AA360" i="16"/>
  <c r="AG360" i="16" s="1"/>
  <c r="AA213" i="17"/>
  <c r="AA365" i="16"/>
  <c r="AG365" i="16" s="1"/>
  <c r="AA220" i="17"/>
  <c r="AA378" i="16"/>
  <c r="AG378" i="16" s="1"/>
  <c r="AA229" i="17"/>
  <c r="AA218" i="17"/>
  <c r="AA374" i="16"/>
  <c r="AG374" i="16" s="1"/>
  <c r="AA377" i="16"/>
  <c r="AG377" i="16" s="1"/>
  <c r="AA375" i="16"/>
  <c r="AG375" i="16" s="1"/>
  <c r="AA227" i="17"/>
  <c r="AA369" i="16"/>
  <c r="AG369" i="16" s="1"/>
  <c r="AA221" i="17"/>
  <c r="AA370" i="16"/>
  <c r="AG370" i="16" s="1"/>
  <c r="AA224" i="17"/>
  <c r="AA184" i="17"/>
  <c r="AA326" i="16"/>
  <c r="AG326" i="16" s="1"/>
  <c r="AA173" i="17"/>
  <c r="AA323" i="16"/>
  <c r="AG323" i="16" s="1"/>
  <c r="AA180" i="17"/>
  <c r="AA336" i="16"/>
  <c r="AG336" i="16" s="1"/>
  <c r="AA182" i="17"/>
  <c r="AA318" i="16"/>
  <c r="AG318" i="16" s="1"/>
  <c r="AA171" i="17"/>
  <c r="AA315" i="16"/>
  <c r="AG315" i="16" s="1"/>
  <c r="AA178" i="17"/>
  <c r="AA328" i="16"/>
  <c r="AG328" i="16" s="1"/>
  <c r="AA189" i="17"/>
  <c r="AA333" i="16"/>
  <c r="AG333" i="16" s="1"/>
  <c r="AA169" i="17"/>
  <c r="AA330" i="16"/>
  <c r="AG330" i="16" s="1"/>
  <c r="AA176" i="17"/>
  <c r="AA320" i="16"/>
  <c r="AG320" i="16" s="1"/>
  <c r="AA187" i="17"/>
  <c r="AA325" i="16"/>
  <c r="AG325" i="16" s="1"/>
  <c r="AA167" i="17"/>
  <c r="AA322" i="16"/>
  <c r="AG322" i="16" s="1"/>
  <c r="AA174" i="17"/>
  <c r="AA335" i="16"/>
  <c r="AG335" i="16" s="1"/>
  <c r="AA185" i="17"/>
  <c r="AA317" i="16"/>
  <c r="AG317" i="16" s="1"/>
  <c r="AA332" i="16"/>
  <c r="AG332" i="16" s="1"/>
  <c r="AA314" i="16"/>
  <c r="AG314" i="16" s="1"/>
  <c r="AA172" i="17"/>
  <c r="AA327" i="16"/>
  <c r="AG327" i="16" s="1"/>
  <c r="AA183" i="17"/>
  <c r="AA179" i="17"/>
  <c r="AA324" i="16"/>
  <c r="AG324" i="16" s="1"/>
  <c r="AA329" i="16"/>
  <c r="AG329" i="16" s="1"/>
  <c r="AA170" i="17"/>
  <c r="AA319" i="16"/>
  <c r="AG319" i="16" s="1"/>
  <c r="AA188" i="17"/>
  <c r="AA181" i="17"/>
  <c r="AA177" i="17"/>
  <c r="AA316" i="16"/>
  <c r="AG316" i="16" s="1"/>
  <c r="AA321" i="16"/>
  <c r="AG321" i="16" s="1"/>
  <c r="AA168" i="17"/>
  <c r="AA186" i="17"/>
  <c r="AA334" i="16"/>
  <c r="AG334" i="16" s="1"/>
  <c r="AA175" i="17"/>
  <c r="AA331" i="16"/>
  <c r="AG331" i="16" s="1"/>
  <c r="AA313" i="16"/>
  <c r="AG313" i="16" s="1"/>
  <c r="AA166" i="17"/>
  <c r="AA309" i="16"/>
  <c r="AA292" i="16"/>
  <c r="AA290" i="16"/>
  <c r="AA296" i="16"/>
  <c r="AA291" i="16"/>
  <c r="AA301" i="16"/>
  <c r="AA284" i="16"/>
  <c r="AA282" i="16"/>
  <c r="AA288" i="16"/>
  <c r="AA293" i="16"/>
  <c r="AA307" i="16"/>
  <c r="AA305" i="16"/>
  <c r="AA280" i="16"/>
  <c r="AA310" i="16"/>
  <c r="AA285" i="16"/>
  <c r="AA299" i="16"/>
  <c r="AA297" i="16"/>
  <c r="AA279" i="16"/>
  <c r="AA302" i="16"/>
  <c r="AA277" i="16"/>
  <c r="AA289" i="16"/>
  <c r="AA287" i="16"/>
  <c r="AA294" i="16"/>
  <c r="AA165" i="17"/>
  <c r="AA283" i="16"/>
  <c r="AA281" i="16"/>
  <c r="AA311" i="16"/>
  <c r="AA286" i="16"/>
  <c r="AA308" i="16"/>
  <c r="AA306" i="16"/>
  <c r="AA312" i="16"/>
  <c r="AA303" i="16"/>
  <c r="AA278" i="16"/>
  <c r="AA300" i="16"/>
  <c r="AA298" i="16"/>
  <c r="AA304" i="16"/>
  <c r="AA295" i="16"/>
  <c r="Y43" i="12"/>
  <c r="AB5" i="12"/>
  <c r="AB43" i="12" s="1"/>
  <c r="L383" i="21" l="1"/>
  <c r="O383" i="21" s="1"/>
  <c r="L370" i="21"/>
  <c r="L321" i="21"/>
  <c r="L348" i="21"/>
  <c r="L326" i="21"/>
  <c r="L316" i="21"/>
  <c r="L344" i="21"/>
  <c r="L351" i="21"/>
  <c r="O351" i="21" s="1"/>
  <c r="L352" i="21"/>
  <c r="L368" i="21"/>
  <c r="L337" i="21"/>
  <c r="L362" i="21"/>
  <c r="O362" i="21" s="1"/>
  <c r="L355" i="21"/>
  <c r="L320" i="21"/>
  <c r="L350" i="21"/>
  <c r="L323" i="21"/>
  <c r="O323" i="21" s="1"/>
  <c r="L367" i="21"/>
  <c r="L349" i="21"/>
  <c r="L385" i="21"/>
  <c r="O385" i="21" s="1"/>
  <c r="L353" i="21"/>
  <c r="O353" i="21" s="1"/>
  <c r="L356" i="21"/>
  <c r="L332" i="21"/>
  <c r="L319" i="21"/>
  <c r="O319" i="21" s="1"/>
  <c r="L313" i="21"/>
  <c r="O313" i="21" s="1"/>
  <c r="L333" i="21"/>
  <c r="O333" i="21" s="1"/>
  <c r="L389" i="21"/>
  <c r="O389" i="21" s="1"/>
  <c r="L392" i="21"/>
  <c r="O392" i="21" s="1"/>
  <c r="L346" i="21"/>
  <c r="L381" i="21"/>
  <c r="O381" i="21" s="1"/>
  <c r="L384" i="21"/>
  <c r="O384" i="21" s="1"/>
  <c r="L334" i="21"/>
  <c r="O334" i="21" s="1"/>
  <c r="L374" i="21"/>
  <c r="O374" i="21" s="1"/>
  <c r="L318" i="21"/>
  <c r="L372" i="21"/>
  <c r="O372" i="21" s="1"/>
  <c r="L379" i="21"/>
  <c r="O379" i="21" s="1"/>
  <c r="L338" i="21"/>
  <c r="L380" i="21"/>
  <c r="O380" i="21" s="1"/>
  <c r="L354" i="21"/>
  <c r="L361" i="21"/>
  <c r="O361" i="21" s="1"/>
  <c r="L393" i="21"/>
  <c r="O393" i="21" s="1"/>
  <c r="L342" i="21"/>
  <c r="O342" i="21" s="1"/>
  <c r="L369" i="21"/>
  <c r="O369" i="21" s="1"/>
  <c r="L335" i="21"/>
  <c r="O335" i="21" s="1"/>
  <c r="L347" i="21"/>
  <c r="L375" i="21"/>
  <c r="L388" i="21"/>
  <c r="O388" i="21" s="1"/>
  <c r="L357" i="21"/>
  <c r="O357" i="21" s="1"/>
  <c r="AG379" i="16"/>
  <c r="L390" i="21"/>
  <c r="O390" i="21" s="1"/>
  <c r="L359" i="21"/>
  <c r="O359" i="21" s="1"/>
  <c r="L322" i="21"/>
  <c r="O322" i="21" s="1"/>
  <c r="L345" i="21"/>
  <c r="L340" i="21"/>
  <c r="L364" i="21"/>
  <c r="L315" i="21"/>
  <c r="O315" i="21" s="1"/>
  <c r="L343" i="21"/>
  <c r="O343" i="21" s="1"/>
  <c r="L336" i="21"/>
  <c r="O336" i="21" s="1"/>
  <c r="L371" i="21"/>
  <c r="O371" i="21" s="1"/>
  <c r="L325" i="21"/>
  <c r="O325" i="21" s="1"/>
  <c r="L363" i="21"/>
  <c r="O363" i="21" s="1"/>
  <c r="L327" i="21"/>
  <c r="L328" i="21"/>
  <c r="L329" i="21"/>
  <c r="O329" i="21" s="1"/>
  <c r="L324" i="21"/>
  <c r="O324" i="21" s="1"/>
  <c r="L366" i="21"/>
  <c r="O366" i="21" s="1"/>
  <c r="L358" i="21"/>
  <c r="O358" i="21" s="1"/>
  <c r="L382" i="21"/>
  <c r="O382" i="21" s="1"/>
  <c r="L339" i="21"/>
  <c r="L360" i="21"/>
  <c r="L331" i="21"/>
  <c r="L376" i="21"/>
  <c r="L341" i="21"/>
  <c r="O341" i="21" s="1"/>
  <c r="L387" i="21"/>
  <c r="O387" i="21" s="1"/>
  <c r="L378" i="21"/>
  <c r="L377" i="21"/>
  <c r="O377" i="21" s="1"/>
  <c r="L317" i="21"/>
  <c r="L314" i="21"/>
  <c r="L365" i="21"/>
  <c r="L373" i="21"/>
  <c r="O373" i="21" s="1"/>
  <c r="L386" i="21"/>
  <c r="O386" i="21" s="1"/>
  <c r="L330" i="21"/>
  <c r="O330" i="21" s="1"/>
  <c r="K7" i="26"/>
  <c r="M7" i="26" s="1"/>
  <c r="M13" i="26" s="1"/>
  <c r="AB53" i="8"/>
  <c r="C15" i="25"/>
  <c r="C14" i="25"/>
  <c r="N9" i="25"/>
  <c r="N7" i="25"/>
  <c r="N13" i="25" s="1"/>
  <c r="N11" i="25"/>
  <c r="H14" i="25"/>
  <c r="H15" i="25"/>
  <c r="S5" i="23"/>
  <c r="S57" i="23" s="1"/>
  <c r="S53" i="9"/>
  <c r="K15" i="25"/>
  <c r="K14" i="25"/>
  <c r="M9" i="26"/>
  <c r="K14" i="26"/>
  <c r="Y43" i="13"/>
  <c r="AB5" i="13"/>
  <c r="AA71" i="16" s="1"/>
  <c r="O346" i="21"/>
  <c r="O338" i="21"/>
  <c r="AG115" i="16"/>
  <c r="L115" i="21"/>
  <c r="O115" i="21" s="1"/>
  <c r="AG123" i="16"/>
  <c r="L123" i="21"/>
  <c r="O123" i="21" s="1"/>
  <c r="AG506" i="16"/>
  <c r="L506" i="21"/>
  <c r="O506" i="21" s="1"/>
  <c r="AG562" i="16"/>
  <c r="L562" i="21"/>
  <c r="O562" i="21" s="1"/>
  <c r="L312" i="21"/>
  <c r="O312" i="21" s="1"/>
  <c r="AG312" i="16"/>
  <c r="AG294" i="16"/>
  <c r="L294" i="21"/>
  <c r="O294" i="21" s="1"/>
  <c r="AG285" i="16"/>
  <c r="L285" i="21"/>
  <c r="O285" i="21" s="1"/>
  <c r="AG284" i="16"/>
  <c r="L284" i="21"/>
  <c r="O284" i="21" s="1"/>
  <c r="AC10" i="21"/>
  <c r="AP4" i="16"/>
  <c r="AQ4" i="16" s="1"/>
  <c r="AG33" i="16"/>
  <c r="L33" i="21"/>
  <c r="O33" i="21" s="1"/>
  <c r="AG21" i="16"/>
  <c r="L21" i="21"/>
  <c r="O21" i="21" s="1"/>
  <c r="AG28" i="16"/>
  <c r="L28" i="21"/>
  <c r="O28" i="21" s="1"/>
  <c r="AG24" i="16"/>
  <c r="L24" i="21"/>
  <c r="O24" i="21" s="1"/>
  <c r="AG491" i="16"/>
  <c r="L491" i="21"/>
  <c r="O491" i="21" s="1"/>
  <c r="L578" i="21"/>
  <c r="O578" i="21" s="1"/>
  <c r="L587" i="21"/>
  <c r="O587" i="21" s="1"/>
  <c r="L584" i="21"/>
  <c r="O584" i="21" s="1"/>
  <c r="L580" i="21"/>
  <c r="O580" i="21" s="1"/>
  <c r="L576" i="21"/>
  <c r="O576" i="21" s="1"/>
  <c r="AG576" i="16"/>
  <c r="L586" i="21"/>
  <c r="O586" i="21" s="1"/>
  <c r="L585" i="21"/>
  <c r="O585" i="21" s="1"/>
  <c r="L579" i="21"/>
  <c r="O579" i="21" s="1"/>
  <c r="L577" i="21"/>
  <c r="O577" i="21" s="1"/>
  <c r="L588" i="21"/>
  <c r="O588" i="21" s="1"/>
  <c r="L581" i="21"/>
  <c r="O581" i="21" s="1"/>
  <c r="L582" i="21"/>
  <c r="O582" i="21" s="1"/>
  <c r="L583" i="21"/>
  <c r="O583" i="21" s="1"/>
  <c r="AG550" i="16"/>
  <c r="L550" i="21"/>
  <c r="O550" i="21" s="1"/>
  <c r="AG489" i="16"/>
  <c r="L489" i="21"/>
  <c r="O489" i="21" s="1"/>
  <c r="AG565" i="16"/>
  <c r="L565" i="21"/>
  <c r="O565" i="21" s="1"/>
  <c r="L538" i="21"/>
  <c r="O538" i="21" s="1"/>
  <c r="AG538" i="16"/>
  <c r="L516" i="21"/>
  <c r="O516" i="21" s="1"/>
  <c r="AG516" i="16"/>
  <c r="AG552" i="16"/>
  <c r="L552" i="21"/>
  <c r="O552" i="21" s="1"/>
  <c r="AG517" i="16"/>
  <c r="L517" i="21"/>
  <c r="O517" i="21" s="1"/>
  <c r="AG535" i="16"/>
  <c r="L535" i="21"/>
  <c r="O535" i="21" s="1"/>
  <c r="AG510" i="16"/>
  <c r="L510" i="21"/>
  <c r="O510" i="21" s="1"/>
  <c r="O365" i="21"/>
  <c r="AG594" i="16"/>
  <c r="L594" i="21"/>
  <c r="O594" i="21" s="1"/>
  <c r="O317" i="21"/>
  <c r="O332" i="21"/>
  <c r="O318" i="21"/>
  <c r="O370" i="21"/>
  <c r="AG303" i="16"/>
  <c r="L303" i="21"/>
  <c r="O303" i="21" s="1"/>
  <c r="AG287" i="16"/>
  <c r="L287" i="21"/>
  <c r="O287" i="21" s="1"/>
  <c r="L301" i="21"/>
  <c r="O301" i="21" s="1"/>
  <c r="AG301" i="16"/>
  <c r="O328" i="21"/>
  <c r="L23" i="21"/>
  <c r="O23" i="21" s="1"/>
  <c r="AG23" i="16"/>
  <c r="AG25" i="16"/>
  <c r="L25" i="21"/>
  <c r="O25" i="21" s="1"/>
  <c r="L16" i="21"/>
  <c r="O16" i="21" s="1"/>
  <c r="AG16" i="16"/>
  <c r="AG560" i="16"/>
  <c r="L560" i="21"/>
  <c r="O560" i="21" s="1"/>
  <c r="AG548" i="16"/>
  <c r="L548" i="21"/>
  <c r="O548" i="21" s="1"/>
  <c r="L503" i="21"/>
  <c r="O503" i="21" s="1"/>
  <c r="AG503" i="16"/>
  <c r="AG534" i="16"/>
  <c r="L534" i="21"/>
  <c r="O534" i="21" s="1"/>
  <c r="AG555" i="16"/>
  <c r="L555" i="21"/>
  <c r="O555" i="21" s="1"/>
  <c r="AG523" i="16"/>
  <c r="L523" i="21"/>
  <c r="O523" i="21" s="1"/>
  <c r="AG509" i="16"/>
  <c r="L509" i="21"/>
  <c r="O509" i="21" s="1"/>
  <c r="AG527" i="16"/>
  <c r="L527" i="21"/>
  <c r="O527" i="21" s="1"/>
  <c r="L502" i="21"/>
  <c r="O502" i="21" s="1"/>
  <c r="AG502" i="16"/>
  <c r="AG544" i="16"/>
  <c r="L544" i="21"/>
  <c r="O544" i="21" s="1"/>
  <c r="AG561" i="16"/>
  <c r="L561" i="21"/>
  <c r="O561" i="21" s="1"/>
  <c r="AG592" i="16"/>
  <c r="L592" i="21"/>
  <c r="O592" i="21" s="1"/>
  <c r="O339" i="21"/>
  <c r="O367" i="21"/>
  <c r="AG299" i="16"/>
  <c r="L299" i="21"/>
  <c r="O299" i="21" s="1"/>
  <c r="AG17" i="16"/>
  <c r="L17" i="21"/>
  <c r="O17" i="21" s="1"/>
  <c r="L9" i="21"/>
  <c r="O9" i="21" s="1"/>
  <c r="L2" i="21"/>
  <c r="O2" i="21" s="1"/>
  <c r="L7" i="21"/>
  <c r="O7" i="21" s="1"/>
  <c r="L8" i="21"/>
  <c r="O8" i="21" s="1"/>
  <c r="L5" i="21"/>
  <c r="O5" i="21" s="1"/>
  <c r="L4" i="21"/>
  <c r="O4" i="21" s="1"/>
  <c r="L6" i="21"/>
  <c r="O6" i="21" s="1"/>
  <c r="AG2" i="16"/>
  <c r="AG499" i="16"/>
  <c r="L499" i="21"/>
  <c r="O499" i="21" s="1"/>
  <c r="L512" i="21"/>
  <c r="O512" i="21" s="1"/>
  <c r="AG512" i="16"/>
  <c r="AG542" i="16"/>
  <c r="L542" i="21"/>
  <c r="O542" i="21" s="1"/>
  <c r="AG571" i="16"/>
  <c r="L571" i="21"/>
  <c r="O571" i="21" s="1"/>
  <c r="AG531" i="16"/>
  <c r="L531" i="21"/>
  <c r="O531" i="21" s="1"/>
  <c r="L524" i="21"/>
  <c r="O524" i="21" s="1"/>
  <c r="AG524" i="16"/>
  <c r="AG543" i="16"/>
  <c r="L543" i="21"/>
  <c r="O543" i="21" s="1"/>
  <c r="AG525" i="16"/>
  <c r="L525" i="21"/>
  <c r="O525" i="21" s="1"/>
  <c r="AG596" i="16"/>
  <c r="L596" i="21"/>
  <c r="O596" i="21" s="1"/>
  <c r="AG593" i="16"/>
  <c r="L593" i="21"/>
  <c r="O593" i="21" s="1"/>
  <c r="AG306" i="16"/>
  <c r="L306" i="21"/>
  <c r="O306" i="21" s="1"/>
  <c r="L310" i="21"/>
  <c r="O310" i="21" s="1"/>
  <c r="AG310" i="16"/>
  <c r="L295" i="21"/>
  <c r="O295" i="21" s="1"/>
  <c r="AG295" i="16"/>
  <c r="AG308" i="16"/>
  <c r="L308" i="21"/>
  <c r="O308" i="21" s="1"/>
  <c r="L289" i="21"/>
  <c r="O289" i="21" s="1"/>
  <c r="AG289" i="16"/>
  <c r="AG280" i="16"/>
  <c r="L280" i="21"/>
  <c r="O280" i="21" s="1"/>
  <c r="AG291" i="16"/>
  <c r="L291" i="21"/>
  <c r="O291" i="21" s="1"/>
  <c r="O327" i="21"/>
  <c r="AG114" i="16"/>
  <c r="L114" i="21"/>
  <c r="O114" i="21" s="1"/>
  <c r="AG122" i="16"/>
  <c r="L122" i="21"/>
  <c r="O122" i="21" s="1"/>
  <c r="AG20" i="16"/>
  <c r="L20" i="21"/>
  <c r="O20" i="21" s="1"/>
  <c r="AG32" i="16"/>
  <c r="L32" i="21"/>
  <c r="O32" i="21" s="1"/>
  <c r="AG18" i="16"/>
  <c r="L18" i="21"/>
  <c r="O18" i="21" s="1"/>
  <c r="AG540" i="16"/>
  <c r="L540" i="21"/>
  <c r="O540" i="21" s="1"/>
  <c r="AG568" i="16"/>
  <c r="L568" i="21"/>
  <c r="O568" i="21" s="1"/>
  <c r="AG541" i="16"/>
  <c r="L541" i="21"/>
  <c r="O541" i="21" s="1"/>
  <c r="AG504" i="16"/>
  <c r="L504" i="21"/>
  <c r="O504" i="21" s="1"/>
  <c r="L557" i="21"/>
  <c r="O557" i="21" s="1"/>
  <c r="AG557" i="16"/>
  <c r="AG530" i="16"/>
  <c r="L530" i="21"/>
  <c r="O530" i="21" s="1"/>
  <c r="AG508" i="16"/>
  <c r="L508" i="21"/>
  <c r="O508" i="21" s="1"/>
  <c r="L487" i="21"/>
  <c r="O487" i="21" s="1"/>
  <c r="AG487" i="16"/>
  <c r="AG494" i="16"/>
  <c r="L494" i="21"/>
  <c r="O494" i="21" s="1"/>
  <c r="AG536" i="16"/>
  <c r="L536" i="21"/>
  <c r="O536" i="21" s="1"/>
  <c r="AG553" i="16"/>
  <c r="L553" i="21"/>
  <c r="O553" i="21" s="1"/>
  <c r="L521" i="21"/>
  <c r="O521" i="21" s="1"/>
  <c r="AG521" i="16"/>
  <c r="AG574" i="16"/>
  <c r="L574" i="21"/>
  <c r="O574" i="21" s="1"/>
  <c r="L595" i="21"/>
  <c r="O595" i="21" s="1"/>
  <c r="AG595" i="16"/>
  <c r="AG591" i="16"/>
  <c r="L591" i="21"/>
  <c r="O591" i="21" s="1"/>
  <c r="O331" i="21"/>
  <c r="O345" i="21"/>
  <c r="O337" i="21"/>
  <c r="O326" i="21"/>
  <c r="AG304" i="16"/>
  <c r="L304" i="21"/>
  <c r="O304" i="21" s="1"/>
  <c r="AG286" i="16"/>
  <c r="L286" i="21"/>
  <c r="O286" i="21" s="1"/>
  <c r="L453" i="21"/>
  <c r="O453" i="21" s="1"/>
  <c r="L410" i="21"/>
  <c r="O410" i="21" s="1"/>
  <c r="L433" i="21"/>
  <c r="O433" i="21" s="1"/>
  <c r="L431" i="21"/>
  <c r="O431" i="21" s="1"/>
  <c r="L455" i="21"/>
  <c r="O455" i="21" s="1"/>
  <c r="L478" i="21"/>
  <c r="O478" i="21" s="1"/>
  <c r="L415" i="21"/>
  <c r="O415" i="21" s="1"/>
  <c r="L395" i="21"/>
  <c r="O395" i="21" s="1"/>
  <c r="L467" i="21"/>
  <c r="O467" i="21" s="1"/>
  <c r="L403" i="21"/>
  <c r="O403" i="21" s="1"/>
  <c r="L397" i="21"/>
  <c r="O397" i="21" s="1"/>
  <c r="L396" i="21"/>
  <c r="O396" i="21" s="1"/>
  <c r="L450" i="21"/>
  <c r="O450" i="21" s="1"/>
  <c r="L406" i="21"/>
  <c r="O406" i="21" s="1"/>
  <c r="L430" i="21"/>
  <c r="O430" i="21" s="1"/>
  <c r="L428" i="21"/>
  <c r="O428" i="21" s="1"/>
  <c r="L448" i="21"/>
  <c r="O448" i="21" s="1"/>
  <c r="L472" i="21"/>
  <c r="O472" i="21" s="1"/>
  <c r="L404" i="21"/>
  <c r="O404" i="21" s="1"/>
  <c r="L454" i="21"/>
  <c r="O454" i="21" s="1"/>
  <c r="L458" i="21"/>
  <c r="O458" i="21" s="1"/>
  <c r="L481" i="21"/>
  <c r="O481" i="21" s="1"/>
  <c r="L421" i="21"/>
  <c r="O421" i="21" s="1"/>
  <c r="L447" i="21"/>
  <c r="O447" i="21" s="1"/>
  <c r="L402" i="21"/>
  <c r="O402" i="21" s="1"/>
  <c r="L469" i="21"/>
  <c r="O469" i="21" s="1"/>
  <c r="L424" i="21"/>
  <c r="O424" i="21" s="1"/>
  <c r="L425" i="21"/>
  <c r="O425" i="21" s="1"/>
  <c r="L470" i="21"/>
  <c r="O470" i="21" s="1"/>
  <c r="L480" i="21"/>
  <c r="O480" i="21" s="1"/>
  <c r="L449" i="21"/>
  <c r="O449" i="21" s="1"/>
  <c r="L484" i="21"/>
  <c r="O484" i="21" s="1"/>
  <c r="L446" i="21"/>
  <c r="O446" i="21" s="1"/>
  <c r="L405" i="21"/>
  <c r="O405" i="21" s="1"/>
  <c r="AG277" i="16"/>
  <c r="L444" i="21"/>
  <c r="O444" i="21" s="1"/>
  <c r="L398" i="21"/>
  <c r="O398" i="21" s="1"/>
  <c r="L466" i="21"/>
  <c r="O466" i="21" s="1"/>
  <c r="L420" i="21"/>
  <c r="O420" i="21" s="1"/>
  <c r="L423" i="21"/>
  <c r="O423" i="21" s="1"/>
  <c r="L461" i="21"/>
  <c r="O461" i="21" s="1"/>
  <c r="L452" i="21"/>
  <c r="O452" i="21" s="1"/>
  <c r="L409" i="21"/>
  <c r="O409" i="21" s="1"/>
  <c r="L475" i="21"/>
  <c r="O475" i="21" s="1"/>
  <c r="L440" i="21"/>
  <c r="O440" i="21" s="1"/>
  <c r="L277" i="21"/>
  <c r="L485" i="21"/>
  <c r="O485" i="21" s="1"/>
  <c r="L426" i="21"/>
  <c r="O426" i="21" s="1"/>
  <c r="L465" i="21"/>
  <c r="O465" i="21" s="1"/>
  <c r="L463" i="21"/>
  <c r="O463" i="21" s="1"/>
  <c r="L416" i="21"/>
  <c r="O416" i="21" s="1"/>
  <c r="L483" i="21"/>
  <c r="O483" i="21" s="1"/>
  <c r="L445" i="21"/>
  <c r="O445" i="21" s="1"/>
  <c r="L443" i="21"/>
  <c r="O443" i="21" s="1"/>
  <c r="L407" i="21"/>
  <c r="O407" i="21" s="1"/>
  <c r="L473" i="21"/>
  <c r="O473" i="21" s="1"/>
  <c r="L438" i="21"/>
  <c r="O438" i="21" s="1"/>
  <c r="L432" i="21"/>
  <c r="O432" i="21" s="1"/>
  <c r="L482" i="21"/>
  <c r="O482" i="21" s="1"/>
  <c r="L422" i="21"/>
  <c r="O422" i="21" s="1"/>
  <c r="L462" i="21"/>
  <c r="O462" i="21" s="1"/>
  <c r="L460" i="21"/>
  <c r="O460" i="21" s="1"/>
  <c r="L412" i="21"/>
  <c r="O412" i="21" s="1"/>
  <c r="L474" i="21"/>
  <c r="O474" i="21" s="1"/>
  <c r="L439" i="21"/>
  <c r="O439" i="21" s="1"/>
  <c r="L441" i="21"/>
  <c r="O441" i="21" s="1"/>
  <c r="L399" i="21"/>
  <c r="O399" i="21" s="1"/>
  <c r="L451" i="21"/>
  <c r="O451" i="21" s="1"/>
  <c r="L429" i="21"/>
  <c r="O429" i="21" s="1"/>
  <c r="L401" i="21"/>
  <c r="O401" i="21" s="1"/>
  <c r="L479" i="21"/>
  <c r="O479" i="21" s="1"/>
  <c r="L418" i="21"/>
  <c r="O418" i="21" s="1"/>
  <c r="L459" i="21"/>
  <c r="O459" i="21" s="1"/>
  <c r="L437" i="21"/>
  <c r="O437" i="21" s="1"/>
  <c r="L408" i="21"/>
  <c r="O408" i="21" s="1"/>
  <c r="L468" i="21"/>
  <c r="O468" i="21" s="1"/>
  <c r="L435" i="21"/>
  <c r="O435" i="21" s="1"/>
  <c r="L413" i="21"/>
  <c r="O413" i="21" s="1"/>
  <c r="L477" i="21"/>
  <c r="O477" i="21" s="1"/>
  <c r="L442" i="21"/>
  <c r="O442" i="21" s="1"/>
  <c r="L427" i="21"/>
  <c r="O427" i="21" s="1"/>
  <c r="L394" i="21"/>
  <c r="L476" i="21"/>
  <c r="O476" i="21" s="1"/>
  <c r="L414" i="21"/>
  <c r="O414" i="21" s="1"/>
  <c r="L456" i="21"/>
  <c r="O456" i="21" s="1"/>
  <c r="L434" i="21"/>
  <c r="O434" i="21" s="1"/>
  <c r="L464" i="21"/>
  <c r="O464" i="21" s="1"/>
  <c r="L457" i="21"/>
  <c r="O457" i="21" s="1"/>
  <c r="L417" i="21"/>
  <c r="O417" i="21" s="1"/>
  <c r="L411" i="21"/>
  <c r="O411" i="21" s="1"/>
  <c r="L471" i="21"/>
  <c r="O471" i="21" s="1"/>
  <c r="L436" i="21"/>
  <c r="O436" i="21" s="1"/>
  <c r="L400" i="21"/>
  <c r="O400" i="21" s="1"/>
  <c r="L419" i="21"/>
  <c r="O419" i="21" s="1"/>
  <c r="L305" i="21"/>
  <c r="O305" i="21" s="1"/>
  <c r="AG305" i="16"/>
  <c r="AG296" i="16"/>
  <c r="L296" i="21"/>
  <c r="O296" i="21" s="1"/>
  <c r="AG26" i="16"/>
  <c r="L26" i="21"/>
  <c r="O26" i="21" s="1"/>
  <c r="AG19" i="16"/>
  <c r="L19" i="21"/>
  <c r="O19" i="21" s="1"/>
  <c r="AG31" i="16"/>
  <c r="L31" i="21"/>
  <c r="O31" i="21" s="1"/>
  <c r="AG30" i="16"/>
  <c r="L30" i="21"/>
  <c r="O30" i="21" s="1"/>
  <c r="AG118" i="16"/>
  <c r="L118" i="21"/>
  <c r="O118" i="21" s="1"/>
  <c r="AG495" i="16"/>
  <c r="L495" i="21"/>
  <c r="O495" i="21" s="1"/>
  <c r="L533" i="21"/>
  <c r="O533" i="21" s="1"/>
  <c r="AG533" i="16"/>
  <c r="AG496" i="16"/>
  <c r="L496" i="21"/>
  <c r="O496" i="21" s="1"/>
  <c r="L526" i="21"/>
  <c r="O526" i="21" s="1"/>
  <c r="AG526" i="16"/>
  <c r="AG545" i="16"/>
  <c r="L545" i="21"/>
  <c r="O545" i="21" s="1"/>
  <c r="AG575" i="16"/>
  <c r="L575" i="21"/>
  <c r="O575" i="21" s="1"/>
  <c r="AG515" i="16"/>
  <c r="L515" i="21"/>
  <c r="O515" i="21" s="1"/>
  <c r="AG501" i="16"/>
  <c r="L501" i="21"/>
  <c r="O501" i="21" s="1"/>
  <c r="AG519" i="16"/>
  <c r="L519" i="21"/>
  <c r="O519" i="21" s="1"/>
  <c r="AG564" i="16"/>
  <c r="L564" i="21"/>
  <c r="O564" i="21" s="1"/>
  <c r="L513" i="21"/>
  <c r="O513" i="21" s="1"/>
  <c r="AG513" i="16"/>
  <c r="AG566" i="16"/>
  <c r="L566" i="21"/>
  <c r="O566" i="21" s="1"/>
  <c r="AG498" i="16"/>
  <c r="L498" i="21"/>
  <c r="O498" i="21" s="1"/>
  <c r="AG600" i="16"/>
  <c r="L600" i="21"/>
  <c r="O600" i="21" s="1"/>
  <c r="AG597" i="16"/>
  <c r="L597" i="21"/>
  <c r="O597" i="21" s="1"/>
  <c r="O360" i="21"/>
  <c r="O364" i="21"/>
  <c r="O349" i="21"/>
  <c r="O378" i="21"/>
  <c r="O340" i="21"/>
  <c r="O314" i="21"/>
  <c r="O321" i="21"/>
  <c r="AG298" i="16"/>
  <c r="L298" i="21"/>
  <c r="O298" i="21" s="1"/>
  <c r="L311" i="21"/>
  <c r="O311" i="21" s="1"/>
  <c r="AG311" i="16"/>
  <c r="AG302" i="16"/>
  <c r="L302" i="21"/>
  <c r="O302" i="21" s="1"/>
  <c r="AG307" i="16"/>
  <c r="L307" i="21"/>
  <c r="O307" i="21" s="1"/>
  <c r="AG290" i="16"/>
  <c r="L290" i="21"/>
  <c r="O290" i="21" s="1"/>
  <c r="O344" i="21"/>
  <c r="AG29" i="16"/>
  <c r="L29" i="21"/>
  <c r="O29" i="21" s="1"/>
  <c r="AG117" i="16"/>
  <c r="L117" i="21"/>
  <c r="O117" i="21" s="1"/>
  <c r="AG112" i="16"/>
  <c r="L112" i="21"/>
  <c r="O112" i="21" s="1"/>
  <c r="L120" i="21"/>
  <c r="O120" i="21" s="1"/>
  <c r="AG120" i="16"/>
  <c r="AG488" i="16"/>
  <c r="L488" i="21"/>
  <c r="O488" i="21" s="1"/>
  <c r="L518" i="21"/>
  <c r="O518" i="21" s="1"/>
  <c r="AG518" i="16"/>
  <c r="AG570" i="16"/>
  <c r="L570" i="21"/>
  <c r="O570" i="21" s="1"/>
  <c r="AG549" i="16"/>
  <c r="L549" i="21"/>
  <c r="O549" i="21" s="1"/>
  <c r="L522" i="21"/>
  <c r="O522" i="21" s="1"/>
  <c r="AG522" i="16"/>
  <c r="AG500" i="16"/>
  <c r="L500" i="21"/>
  <c r="O500" i="21" s="1"/>
  <c r="L511" i="21"/>
  <c r="O511" i="21" s="1"/>
  <c r="AG511" i="16"/>
  <c r="AG486" i="16"/>
  <c r="L486" i="21"/>
  <c r="AG528" i="16"/>
  <c r="L528" i="21"/>
  <c r="O528" i="21" s="1"/>
  <c r="AG558" i="16"/>
  <c r="L558" i="21"/>
  <c r="O558" i="21" s="1"/>
  <c r="AG490" i="16"/>
  <c r="L490" i="21"/>
  <c r="O490" i="21" s="1"/>
  <c r="AG572" i="16"/>
  <c r="L572" i="21"/>
  <c r="O572" i="21" s="1"/>
  <c r="AG601" i="16"/>
  <c r="L601" i="21"/>
  <c r="O601" i="21" s="1"/>
  <c r="AG590" i="16"/>
  <c r="L590" i="21"/>
  <c r="O590" i="21" s="1"/>
  <c r="O348" i="21"/>
  <c r="O354" i="21"/>
  <c r="AG282" i="16"/>
  <c r="L282" i="21"/>
  <c r="O282" i="21" s="1"/>
  <c r="AG300" i="16"/>
  <c r="L300" i="21"/>
  <c r="O300" i="21" s="1"/>
  <c r="L281" i="21"/>
  <c r="O281" i="21" s="1"/>
  <c r="AG281" i="16"/>
  <c r="L279" i="21"/>
  <c r="O279" i="21" s="1"/>
  <c r="AG279" i="16"/>
  <c r="AG293" i="16"/>
  <c r="L293" i="21"/>
  <c r="O293" i="21" s="1"/>
  <c r="AG292" i="16"/>
  <c r="L292" i="21"/>
  <c r="O292" i="21" s="1"/>
  <c r="O368" i="21"/>
  <c r="AG113" i="16"/>
  <c r="L113" i="21"/>
  <c r="O113" i="21" s="1"/>
  <c r="AG22" i="16"/>
  <c r="L22" i="21"/>
  <c r="O22" i="21" s="1"/>
  <c r="AG27" i="16"/>
  <c r="L27" i="21"/>
  <c r="O27" i="21" s="1"/>
  <c r="AG116" i="16"/>
  <c r="L116" i="21"/>
  <c r="O116" i="21" s="1"/>
  <c r="AG34" i="16"/>
  <c r="L34" i="21"/>
  <c r="O34" i="21" s="1"/>
  <c r="AG554" i="16"/>
  <c r="L554" i="21"/>
  <c r="O554" i="21" s="1"/>
  <c r="AG569" i="16"/>
  <c r="L569" i="21"/>
  <c r="O569" i="21" s="1"/>
  <c r="AG537" i="16"/>
  <c r="L537" i="21"/>
  <c r="O537" i="21" s="1"/>
  <c r="AG567" i="16"/>
  <c r="L567" i="21"/>
  <c r="O567" i="21" s="1"/>
  <c r="L507" i="21"/>
  <c r="O507" i="21" s="1"/>
  <c r="AG507" i="16"/>
  <c r="AG493" i="16"/>
  <c r="L493" i="21"/>
  <c r="O493" i="21" s="1"/>
  <c r="AG520" i="16"/>
  <c r="L520" i="21"/>
  <c r="O520" i="21" s="1"/>
  <c r="AG551" i="16"/>
  <c r="L551" i="21"/>
  <c r="O551" i="21" s="1"/>
  <c r="AG505" i="16"/>
  <c r="L505" i="21"/>
  <c r="O505" i="21" s="1"/>
  <c r="AG556" i="16"/>
  <c r="L556" i="21"/>
  <c r="O556" i="21" s="1"/>
  <c r="AG547" i="16"/>
  <c r="L547" i="21"/>
  <c r="O547" i="21" s="1"/>
  <c r="AG599" i="16"/>
  <c r="L599" i="21"/>
  <c r="O599" i="21" s="1"/>
  <c r="O316" i="21"/>
  <c r="O376" i="21"/>
  <c r="O320" i="21"/>
  <c r="O350" i="21"/>
  <c r="L278" i="21"/>
  <c r="O278" i="21" s="1"/>
  <c r="AG278" i="16"/>
  <c r="L283" i="21"/>
  <c r="O283" i="21" s="1"/>
  <c r="AG283" i="16"/>
  <c r="AG297" i="16"/>
  <c r="L297" i="21"/>
  <c r="O297" i="21" s="1"/>
  <c r="AG288" i="16"/>
  <c r="L288" i="21"/>
  <c r="O288" i="21" s="1"/>
  <c r="AG309" i="16"/>
  <c r="L309" i="21"/>
  <c r="O309" i="21" s="1"/>
  <c r="O356" i="21"/>
  <c r="L119" i="21"/>
  <c r="O119" i="21" s="1"/>
  <c r="AG119" i="16"/>
  <c r="AG121" i="16"/>
  <c r="L121" i="21"/>
  <c r="O121" i="21" s="1"/>
  <c r="L181" i="21"/>
  <c r="O181" i="21" s="1"/>
  <c r="L228" i="21"/>
  <c r="O228" i="21" s="1"/>
  <c r="L170" i="21"/>
  <c r="O170" i="21" s="1"/>
  <c r="L232" i="21"/>
  <c r="O232" i="21" s="1"/>
  <c r="L172" i="21"/>
  <c r="O172" i="21" s="1"/>
  <c r="L183" i="21"/>
  <c r="O183" i="21" s="1"/>
  <c r="L173" i="21"/>
  <c r="O173" i="21" s="1"/>
  <c r="L171" i="21"/>
  <c r="O171" i="21" s="1"/>
  <c r="L230" i="21"/>
  <c r="O230" i="21" s="1"/>
  <c r="L184" i="21"/>
  <c r="O184" i="21" s="1"/>
  <c r="L185" i="21"/>
  <c r="O185" i="21" s="1"/>
  <c r="L179" i="21"/>
  <c r="O179" i="21" s="1"/>
  <c r="L168" i="21"/>
  <c r="O168" i="21" s="1"/>
  <c r="L227" i="21"/>
  <c r="O227" i="21" s="1"/>
  <c r="L233" i="21"/>
  <c r="O233" i="21" s="1"/>
  <c r="L182" i="21"/>
  <c r="O182" i="21" s="1"/>
  <c r="L180" i="21"/>
  <c r="O180" i="21" s="1"/>
  <c r="AG125" i="16"/>
  <c r="L162" i="21"/>
  <c r="O162" i="21" s="1"/>
  <c r="L224" i="21"/>
  <c r="O224" i="21" s="1"/>
  <c r="L175" i="21"/>
  <c r="O175" i="21" s="1"/>
  <c r="L167" i="21"/>
  <c r="O167" i="21" s="1"/>
  <c r="L223" i="21"/>
  <c r="O223" i="21" s="1"/>
  <c r="L229" i="21"/>
  <c r="O229" i="21" s="1"/>
  <c r="L159" i="21"/>
  <c r="O159" i="21" s="1"/>
  <c r="L177" i="21"/>
  <c r="O177" i="21" s="1"/>
  <c r="L235" i="21"/>
  <c r="O235" i="21" s="1"/>
  <c r="L226" i="21"/>
  <c r="O226" i="21" s="1"/>
  <c r="L169" i="21"/>
  <c r="O169" i="21" s="1"/>
  <c r="L161" i="21"/>
  <c r="O161" i="21" s="1"/>
  <c r="L166" i="21"/>
  <c r="O166" i="21" s="1"/>
  <c r="L234" i="21"/>
  <c r="O234" i="21" s="1"/>
  <c r="L231" i="21"/>
  <c r="O231" i="21" s="1"/>
  <c r="L163" i="21"/>
  <c r="O163" i="21" s="1"/>
  <c r="L176" i="21"/>
  <c r="O176" i="21" s="1"/>
  <c r="L236" i="21"/>
  <c r="O236" i="21" s="1"/>
  <c r="L160" i="21"/>
  <c r="O160" i="21" s="1"/>
  <c r="L174" i="21"/>
  <c r="O174" i="21" s="1"/>
  <c r="L125" i="21"/>
  <c r="O125" i="21" s="1"/>
  <c r="L225" i="21"/>
  <c r="O225" i="21" s="1"/>
  <c r="L178" i="21"/>
  <c r="O178" i="21" s="1"/>
  <c r="L165" i="21"/>
  <c r="O165" i="21" s="1"/>
  <c r="L222" i="21"/>
  <c r="O222" i="21" s="1"/>
  <c r="L158" i="21"/>
  <c r="O158" i="21" s="1"/>
  <c r="L164" i="21"/>
  <c r="O164" i="21" s="1"/>
  <c r="L186" i="21"/>
  <c r="O186" i="21" s="1"/>
  <c r="AG124" i="16"/>
  <c r="L124" i="21"/>
  <c r="O124" i="21" s="1"/>
  <c r="AG529" i="16"/>
  <c r="L529" i="21"/>
  <c r="O529" i="21" s="1"/>
  <c r="L559" i="21"/>
  <c r="O559" i="21" s="1"/>
  <c r="AG559" i="16"/>
  <c r="AG514" i="16"/>
  <c r="L514" i="21"/>
  <c r="O514" i="21" s="1"/>
  <c r="AG492" i="16"/>
  <c r="L492" i="21"/>
  <c r="O492" i="21" s="1"/>
  <c r="L563" i="21"/>
  <c r="O563" i="21" s="1"/>
  <c r="AG563" i="16"/>
  <c r="AG497" i="16"/>
  <c r="L497" i="21"/>
  <c r="O497" i="21" s="1"/>
  <c r="AG573" i="16"/>
  <c r="L573" i="21"/>
  <c r="O573" i="21" s="1"/>
  <c r="L546" i="21"/>
  <c r="O546" i="21" s="1"/>
  <c r="AG546" i="16"/>
  <c r="AG539" i="16"/>
  <c r="L539" i="21"/>
  <c r="O539" i="21" s="1"/>
  <c r="AG532" i="16"/>
  <c r="L532" i="21"/>
  <c r="O532" i="21" s="1"/>
  <c r="O375" i="21"/>
  <c r="AG598" i="16"/>
  <c r="L598" i="21"/>
  <c r="O598" i="21" s="1"/>
  <c r="AG589" i="16"/>
  <c r="L589" i="21"/>
  <c r="O352" i="21"/>
  <c r="O355" i="21"/>
  <c r="O347" i="21"/>
  <c r="AG71" i="16" l="1"/>
  <c r="L71" i="21"/>
  <c r="O71" i="21" s="1"/>
  <c r="AA15" i="16"/>
  <c r="AG15" i="16" s="1"/>
  <c r="AA268" i="16"/>
  <c r="AG268" i="16" s="1"/>
  <c r="AA67" i="16"/>
  <c r="L67" i="21" s="1"/>
  <c r="O67" i="21" s="1"/>
  <c r="AA98" i="17"/>
  <c r="AA70" i="16"/>
  <c r="L70" i="21" s="1"/>
  <c r="O70" i="21" s="1"/>
  <c r="AA273" i="16"/>
  <c r="AG273" i="16" s="1"/>
  <c r="AA157" i="17"/>
  <c r="AA211" i="16"/>
  <c r="AG211" i="16" s="1"/>
  <c r="AA265" i="16"/>
  <c r="AG265" i="16" s="1"/>
  <c r="K13" i="26"/>
  <c r="AB43" i="13"/>
  <c r="G5" i="29"/>
  <c r="G10" i="29"/>
  <c r="AA270" i="16"/>
  <c r="AG270" i="16" s="1"/>
  <c r="AA153" i="16"/>
  <c r="AA161" i="17"/>
  <c r="AA160" i="17"/>
  <c r="AA65" i="16"/>
  <c r="AG65" i="16" s="1"/>
  <c r="AA262" i="16"/>
  <c r="AG262" i="16" s="1"/>
  <c r="AA152" i="17"/>
  <c r="AA69" i="16"/>
  <c r="L69" i="21" s="1"/>
  <c r="O69" i="21" s="1"/>
  <c r="AA64" i="16"/>
  <c r="AA275" i="16"/>
  <c r="AG275" i="16" s="1"/>
  <c r="AA213" i="16"/>
  <c r="AG213" i="16" s="1"/>
  <c r="AA157" i="16"/>
  <c r="L270" i="21" s="1"/>
  <c r="AA212" i="16"/>
  <c r="AG212" i="16" s="1"/>
  <c r="AA12" i="16"/>
  <c r="AG12" i="16" s="1"/>
  <c r="AA217" i="16"/>
  <c r="AG217" i="16" s="1"/>
  <c r="AA156" i="17"/>
  <c r="AA148" i="16"/>
  <c r="AG148" i="16" s="1"/>
  <c r="AA150" i="17"/>
  <c r="AA104" i="17"/>
  <c r="AA60" i="16"/>
  <c r="AG60" i="16" s="1"/>
  <c r="AA101" i="17"/>
  <c r="AA269" i="16"/>
  <c r="AG269" i="16" s="1"/>
  <c r="AA154" i="17"/>
  <c r="AA79" i="16"/>
  <c r="L79" i="21" s="1"/>
  <c r="O79" i="21" s="1"/>
  <c r="AA153" i="17"/>
  <c r="AA215" i="16"/>
  <c r="AG215" i="16" s="1"/>
  <c r="AA11" i="17"/>
  <c r="AA218" i="16"/>
  <c r="AG218" i="16" s="1"/>
  <c r="AA77" i="16"/>
  <c r="AA210" i="16"/>
  <c r="AG210" i="16" s="1"/>
  <c r="AA62" i="16"/>
  <c r="N14" i="25"/>
  <c r="N15" i="25"/>
  <c r="AA221" i="16"/>
  <c r="AG221" i="16" s="1"/>
  <c r="AA151" i="17"/>
  <c r="AA266" i="16"/>
  <c r="AG266" i="16" s="1"/>
  <c r="AA219" i="16"/>
  <c r="AG219" i="16" s="1"/>
  <c r="AA147" i="16"/>
  <c r="AG147" i="16" s="1"/>
  <c r="AA164" i="17"/>
  <c r="AA220" i="16"/>
  <c r="AG220" i="16" s="1"/>
  <c r="AA274" i="16"/>
  <c r="AG274" i="16" s="1"/>
  <c r="AA154" i="16"/>
  <c r="AG154" i="16" s="1"/>
  <c r="AA103" i="17"/>
  <c r="AA61" i="16"/>
  <c r="AA209" i="16"/>
  <c r="AG209" i="16" s="1"/>
  <c r="AA13" i="17"/>
  <c r="AA216" i="16"/>
  <c r="AG216" i="16" s="1"/>
  <c r="AA12" i="17"/>
  <c r="AA151" i="16"/>
  <c r="AG151" i="16" s="1"/>
  <c r="AA159" i="17"/>
  <c r="AA68" i="16"/>
  <c r="L68" i="21" s="1"/>
  <c r="O68" i="21" s="1"/>
  <c r="AA66" i="16"/>
  <c r="AA63" i="16"/>
  <c r="L63" i="21" s="1"/>
  <c r="O63" i="21" s="1"/>
  <c r="AA97" i="17"/>
  <c r="AA72" i="16"/>
  <c r="L72" i="21" s="1"/>
  <c r="O72" i="21" s="1"/>
  <c r="AA152" i="16"/>
  <c r="L152" i="21" s="1"/>
  <c r="O152" i="21" s="1"/>
  <c r="AA214" i="16"/>
  <c r="AG214" i="16" s="1"/>
  <c r="AA76" i="16"/>
  <c r="AA267" i="16"/>
  <c r="AG267" i="16" s="1"/>
  <c r="AA109" i="17"/>
  <c r="AA3" i="16"/>
  <c r="L11" i="21" s="1"/>
  <c r="AA162" i="17"/>
  <c r="AA145" i="16"/>
  <c r="AA73" i="16"/>
  <c r="AA272" i="16"/>
  <c r="AG272" i="16" s="1"/>
  <c r="AA144" i="16"/>
  <c r="AA264" i="16"/>
  <c r="AG264" i="16" s="1"/>
  <c r="AA155" i="16"/>
  <c r="AG155" i="16" s="1"/>
  <c r="I9" i="25"/>
  <c r="I7" i="25"/>
  <c r="I13" i="25" s="1"/>
  <c r="I11" i="25"/>
  <c r="AA158" i="17"/>
  <c r="M15" i="26"/>
  <c r="M14" i="26"/>
  <c r="AA75" i="16"/>
  <c r="AA8" i="17"/>
  <c r="AA13" i="16"/>
  <c r="AG13" i="16" s="1"/>
  <c r="AA146" i="16"/>
  <c r="AG146" i="16" s="1"/>
  <c r="AA11" i="16"/>
  <c r="AG11" i="16" s="1"/>
  <c r="AA150" i="16"/>
  <c r="AA263" i="16"/>
  <c r="AG263" i="16" s="1"/>
  <c r="AA102" i="17"/>
  <c r="AA108" i="17"/>
  <c r="AA163" i="17"/>
  <c r="AA78" i="16"/>
  <c r="AA99" i="17"/>
  <c r="AA276" i="16"/>
  <c r="AG276" i="16" s="1"/>
  <c r="AA149" i="16"/>
  <c r="AA100" i="17"/>
  <c r="AA107" i="17"/>
  <c r="AA14" i="16"/>
  <c r="AG14" i="16" s="1"/>
  <c r="AA106" i="17"/>
  <c r="AA156" i="16"/>
  <c r="AG156" i="16" s="1"/>
  <c r="AA271" i="16"/>
  <c r="AG271" i="16" s="1"/>
  <c r="AA105" i="17"/>
  <c r="AA74" i="16"/>
  <c r="L74" i="21" s="1"/>
  <c r="O74" i="21" s="1"/>
  <c r="AA9" i="17"/>
  <c r="AA155" i="17"/>
  <c r="AA10" i="17"/>
  <c r="AA10" i="16"/>
  <c r="AG10" i="16" s="1"/>
  <c r="L262" i="21"/>
  <c r="AG67" i="16"/>
  <c r="O277" i="21"/>
  <c r="W9" i="21" s="1"/>
  <c r="T9" i="21"/>
  <c r="T11" i="21"/>
  <c r="O486" i="21"/>
  <c r="W11" i="21" s="1"/>
  <c r="AC11" i="21"/>
  <c r="AP5" i="16"/>
  <c r="AQ5" i="16" s="1"/>
  <c r="AC9" i="21"/>
  <c r="AP3" i="16"/>
  <c r="O589" i="21"/>
  <c r="W12" i="21" s="1"/>
  <c r="T12" i="21"/>
  <c r="T10" i="21"/>
  <c r="O394" i="21"/>
  <c r="W10" i="21" s="1"/>
  <c r="AP6" i="16"/>
  <c r="AQ6" i="16" s="1"/>
  <c r="AC12" i="21"/>
  <c r="AG72" i="16" l="1"/>
  <c r="L154" i="21"/>
  <c r="O154" i="21" s="1"/>
  <c r="AG74" i="16"/>
  <c r="AG70" i="16"/>
  <c r="AG79" i="16"/>
  <c r="AG152" i="16"/>
  <c r="L65" i="21"/>
  <c r="O65" i="21" s="1"/>
  <c r="L220" i="21"/>
  <c r="O220" i="21" s="1"/>
  <c r="L218" i="21"/>
  <c r="O218" i="21" s="1"/>
  <c r="L211" i="21"/>
  <c r="O211" i="21" s="1"/>
  <c r="L215" i="21"/>
  <c r="O215" i="21" s="1"/>
  <c r="L267" i="21"/>
  <c r="O267" i="21" s="1"/>
  <c r="L213" i="21"/>
  <c r="O213" i="21" s="1"/>
  <c r="L272" i="21"/>
  <c r="O272" i="21" s="1"/>
  <c r="L273" i="21"/>
  <c r="O273" i="21" s="1"/>
  <c r="L264" i="21"/>
  <c r="O264" i="21" s="1"/>
  <c r="L266" i="21"/>
  <c r="O266" i="21" s="1"/>
  <c r="L60" i="21"/>
  <c r="O60" i="21" s="1"/>
  <c r="L157" i="21"/>
  <c r="O157" i="21" s="1"/>
  <c r="L269" i="21"/>
  <c r="O269" i="21" s="1"/>
  <c r="L276" i="21"/>
  <c r="O276" i="21" s="1"/>
  <c r="L216" i="21"/>
  <c r="O216" i="21" s="1"/>
  <c r="L271" i="21"/>
  <c r="O271" i="21" s="1"/>
  <c r="L210" i="21"/>
  <c r="O210" i="21" s="1"/>
  <c r="AG157" i="16"/>
  <c r="L275" i="21"/>
  <c r="O275" i="21" s="1"/>
  <c r="L151" i="21"/>
  <c r="O151" i="21" s="1"/>
  <c r="L155" i="21"/>
  <c r="O155" i="21" s="1"/>
  <c r="L214" i="21"/>
  <c r="O214" i="21" s="1"/>
  <c r="L219" i="21"/>
  <c r="O219" i="21" s="1"/>
  <c r="L221" i="21"/>
  <c r="O221" i="21" s="1"/>
  <c r="L265" i="21"/>
  <c r="O265" i="21" s="1"/>
  <c r="L274" i="21"/>
  <c r="O274" i="21" s="1"/>
  <c r="L212" i="21"/>
  <c r="O212" i="21" s="1"/>
  <c r="L268" i="21"/>
  <c r="O268" i="21" s="1"/>
  <c r="L263" i="21"/>
  <c r="O263" i="21" s="1"/>
  <c r="L217" i="21"/>
  <c r="O217" i="21" s="1"/>
  <c r="L209" i="21"/>
  <c r="O209" i="21" s="1"/>
  <c r="L156" i="21"/>
  <c r="O156" i="21" s="1"/>
  <c r="AG68" i="16"/>
  <c r="L14" i="21"/>
  <c r="O14" i="21" s="1"/>
  <c r="AG3" i="16"/>
  <c r="L147" i="21"/>
  <c r="O147" i="21" s="1"/>
  <c r="L12" i="21"/>
  <c r="O12" i="21" s="1"/>
  <c r="AG63" i="16"/>
  <c r="L62" i="21"/>
  <c r="O62" i="21" s="1"/>
  <c r="AG62" i="16"/>
  <c r="I15" i="25"/>
  <c r="I14" i="25"/>
  <c r="L3" i="21"/>
  <c r="O3" i="21" s="1"/>
  <c r="L10" i="21"/>
  <c r="O10" i="21" s="1"/>
  <c r="L15" i="21"/>
  <c r="O15" i="21" s="1"/>
  <c r="L13" i="21"/>
  <c r="O13" i="21" s="1"/>
  <c r="AG77" i="16"/>
  <c r="L77" i="21"/>
  <c r="O77" i="21" s="1"/>
  <c r="AG69" i="16"/>
  <c r="L66" i="21"/>
  <c r="O66" i="21" s="1"/>
  <c r="AG66" i="16"/>
  <c r="AG61" i="16"/>
  <c r="AP2" i="16" s="1"/>
  <c r="L61" i="21"/>
  <c r="O61" i="21" s="1"/>
  <c r="L144" i="21"/>
  <c r="O144" i="21" s="1"/>
  <c r="AG144" i="16"/>
  <c r="L76" i="21"/>
  <c r="O76" i="21" s="1"/>
  <c r="AG76" i="16"/>
  <c r="O270" i="21"/>
  <c r="O262" i="21"/>
  <c r="L148" i="21"/>
  <c r="O148" i="21" s="1"/>
  <c r="AG73" i="16"/>
  <c r="L73" i="21"/>
  <c r="O73" i="21" s="1"/>
  <c r="L153" i="21"/>
  <c r="O153" i="21" s="1"/>
  <c r="AG153" i="16"/>
  <c r="L145" i="21"/>
  <c r="O145" i="21" s="1"/>
  <c r="AG145" i="16"/>
  <c r="AG64" i="16"/>
  <c r="L64" i="21"/>
  <c r="O64" i="21" s="1"/>
  <c r="L146" i="21"/>
  <c r="O146" i="21" s="1"/>
  <c r="AG150" i="16"/>
  <c r="L150" i="21"/>
  <c r="O150" i="21" s="1"/>
  <c r="L78" i="21"/>
  <c r="O78" i="21" s="1"/>
  <c r="AG78" i="16"/>
  <c r="L75" i="21"/>
  <c r="O75" i="21" s="1"/>
  <c r="AG75" i="16"/>
  <c r="AG149" i="16"/>
  <c r="L149" i="21"/>
  <c r="O149" i="21" s="1"/>
  <c r="O11" i="21"/>
  <c r="T7" i="21"/>
  <c r="AC7" i="21"/>
  <c r="Z10" i="21"/>
  <c r="AH10" i="21" s="1"/>
  <c r="Z12" i="21"/>
  <c r="AH12" i="21" s="1"/>
  <c r="Z11" i="21"/>
  <c r="AH11" i="21" s="1"/>
  <c r="Z9" i="21"/>
  <c r="AH9" i="21" s="1"/>
  <c r="AQ3" i="16"/>
  <c r="AP8" i="16"/>
  <c r="W7" i="21" l="1"/>
  <c r="Z7" i="21" s="1"/>
  <c r="AH7" i="21" s="1"/>
  <c r="AP7" i="16"/>
  <c r="AQ7" i="16" s="1"/>
  <c r="AQ2" i="16"/>
  <c r="AQ8" i="16"/>
  <c r="AP9" i="16" l="1"/>
  <c r="AQ9" i="16" s="1"/>
  <c r="AF159" i="16"/>
  <c r="Z159" i="16"/>
  <c r="N75" i="21"/>
  <c r="K75" i="21"/>
  <c r="AE267" i="17"/>
  <c r="Z267" i="17"/>
  <c r="AF11" i="16"/>
  <c r="Z11" i="16"/>
  <c r="N345" i="21"/>
  <c r="K345" i="21"/>
  <c r="AF329" i="16"/>
  <c r="Z329" i="16"/>
  <c r="AE36" i="17"/>
  <c r="Z36" i="17"/>
  <c r="N504" i="21"/>
  <c r="K504" i="21"/>
  <c r="AF235" i="16"/>
  <c r="Z235" i="16"/>
  <c r="N320" i="21"/>
  <c r="K320" i="21"/>
  <c r="N395" i="21"/>
  <c r="K395" i="21"/>
  <c r="N19" i="21"/>
  <c r="K19" i="21"/>
  <c r="M129" i="21"/>
  <c r="J129" i="21"/>
  <c r="AG18" i="9"/>
  <c r="AE18" i="9"/>
  <c r="AO18" i="9"/>
  <c r="N468" i="21"/>
  <c r="K468" i="21"/>
  <c r="AB61" i="23"/>
  <c r="AB9" i="23"/>
  <c r="AE194" i="16"/>
  <c r="Y194" i="16"/>
  <c r="N420" i="21"/>
  <c r="K420" i="21"/>
  <c r="N328" i="21"/>
  <c r="K328" i="21"/>
  <c r="N96" i="23"/>
  <c r="N44" i="23"/>
  <c r="AE182" i="17"/>
  <c r="Z182" i="17"/>
  <c r="N567" i="21"/>
  <c r="K567" i="21"/>
  <c r="N385" i="21"/>
  <c r="K385" i="21"/>
  <c r="AF335" i="16"/>
  <c r="Z335" i="16"/>
  <c r="AE15" i="16"/>
  <c r="Y15" i="16"/>
  <c r="AF483" i="16"/>
  <c r="Z483" i="16"/>
  <c r="M198" i="21"/>
  <c r="J198" i="21"/>
  <c r="AE132" i="16"/>
  <c r="N530" i="21"/>
  <c r="K530" i="21"/>
  <c r="AF15" i="16"/>
  <c r="Z15" i="16"/>
  <c r="N174" i="21"/>
  <c r="K174" i="21"/>
  <c r="AE112" i="17"/>
  <c r="Z112" i="17"/>
  <c r="N540" i="21"/>
  <c r="K540" i="21"/>
  <c r="M91" i="21"/>
  <c r="J91" i="21"/>
  <c r="AC98" i="23"/>
  <c r="AC46" i="23"/>
  <c r="AF46" i="8"/>
  <c r="AP46" i="8"/>
  <c r="AE282" i="17"/>
  <c r="Z282" i="17"/>
  <c r="AM8" i="8"/>
  <c r="T8" i="8"/>
  <c r="N8" i="8"/>
  <c r="N491" i="21"/>
  <c r="K491" i="21"/>
  <c r="AB58" i="23"/>
  <c r="AB6" i="23"/>
  <c r="AF175" i="16"/>
  <c r="Z175" i="16"/>
  <c r="AE10" i="21"/>
  <c r="AE247" i="17"/>
  <c r="Z247" i="17"/>
  <c r="N268" i="21"/>
  <c r="K268" i="21"/>
  <c r="N574" i="21"/>
  <c r="K574" i="21"/>
  <c r="N462" i="21"/>
  <c r="K462" i="21"/>
  <c r="N386" i="21"/>
  <c r="K386" i="21"/>
  <c r="AF352" i="16"/>
  <c r="Z352" i="16"/>
  <c r="AF69" i="23"/>
  <c r="AF17" i="23"/>
  <c r="N102" i="21"/>
  <c r="K102" i="21"/>
  <c r="AG20" i="9"/>
  <c r="AE20" i="9"/>
  <c r="AO20" i="9"/>
  <c r="AF457" i="16"/>
  <c r="Z457" i="16"/>
  <c r="N335" i="21"/>
  <c r="K335" i="21"/>
  <c r="AF365" i="16"/>
  <c r="Z365" i="16"/>
  <c r="N514" i="21"/>
  <c r="K514" i="21"/>
  <c r="N77" i="21"/>
  <c r="K77" i="21"/>
  <c r="AE301" i="17"/>
  <c r="Z301" i="17"/>
  <c r="AC74" i="23"/>
  <c r="AC22" i="23"/>
  <c r="AF22" i="8"/>
  <c r="AP22" i="8"/>
  <c r="M130" i="21"/>
  <c r="J130" i="21"/>
  <c r="AF471" i="16"/>
  <c r="Z471" i="16"/>
  <c r="N262" i="21"/>
  <c r="K262" i="21"/>
  <c r="N106" i="21"/>
  <c r="K106" i="21"/>
  <c r="AF441" i="16"/>
  <c r="Z441" i="16"/>
  <c r="AE201" i="17"/>
  <c r="Z201" i="17"/>
  <c r="M248" i="21"/>
  <c r="J248" i="21"/>
  <c r="N121" i="21"/>
  <c r="K121" i="21"/>
  <c r="AD142" i="17"/>
  <c r="Y142" i="17"/>
  <c r="N292" i="21"/>
  <c r="K292" i="21"/>
  <c r="AL29" i="9"/>
  <c r="AJ29" i="9"/>
  <c r="AK58" i="7"/>
  <c r="AK53" i="7"/>
  <c r="N166" i="21"/>
  <c r="K166" i="21"/>
  <c r="AG32" i="8"/>
  <c r="AF537" i="16"/>
  <c r="N476" i="21"/>
  <c r="K476" i="21"/>
  <c r="N311" i="21"/>
  <c r="K311" i="21"/>
  <c r="N313" i="21"/>
  <c r="K313" i="21"/>
  <c r="AE134" i="16"/>
  <c r="N224" i="21"/>
  <c r="K224" i="21"/>
  <c r="N409" i="21"/>
  <c r="K409" i="21"/>
  <c r="AE263" i="17"/>
  <c r="Z263" i="17"/>
  <c r="AE191" i="16"/>
  <c r="Y191" i="16"/>
  <c r="AB100" i="23"/>
  <c r="AB48" i="23"/>
  <c r="AE7" i="16"/>
  <c r="Y7" i="16"/>
  <c r="M241" i="21"/>
  <c r="J241" i="21"/>
  <c r="AE105" i="17"/>
  <c r="Z105" i="17"/>
  <c r="N113" i="21"/>
  <c r="K113" i="21"/>
  <c r="AG84" i="23"/>
  <c r="AG32" i="23"/>
  <c r="N84" i="21"/>
  <c r="K84" i="21"/>
  <c r="N342" i="21"/>
  <c r="K342" i="21"/>
  <c r="N298" i="21"/>
  <c r="K298" i="21"/>
  <c r="Y134" i="16"/>
  <c r="J134" i="21"/>
  <c r="M134" i="21"/>
  <c r="AF346" i="16"/>
  <c r="Z346" i="16"/>
  <c r="AF481" i="16"/>
  <c r="Z481" i="16"/>
  <c r="N154" i="21"/>
  <c r="K154" i="21"/>
  <c r="AF174" i="16"/>
  <c r="Z174" i="16"/>
  <c r="Y132" i="16"/>
  <c r="J132" i="21"/>
  <c r="M132" i="21"/>
  <c r="AF341" i="16"/>
  <c r="Z341" i="16"/>
  <c r="N223" i="21"/>
  <c r="K223" i="21"/>
  <c r="N79" i="21"/>
  <c r="K79" i="21"/>
  <c r="Z292" i="16"/>
  <c r="AF292" i="16"/>
  <c r="AF297" i="16"/>
  <c r="AP14" i="8"/>
  <c r="AF14" i="8"/>
  <c r="AC14" i="23"/>
  <c r="AC66" i="23"/>
  <c r="AE350" i="17"/>
  <c r="Z350" i="17"/>
  <c r="AF400" i="16"/>
  <c r="Z400" i="16"/>
  <c r="AE193" i="17"/>
  <c r="Z193" i="17"/>
  <c r="N460" i="21"/>
  <c r="K460" i="21"/>
  <c r="Z537" i="16"/>
  <c r="K537" i="21"/>
  <c r="N537" i="21"/>
  <c r="AF350" i="16"/>
  <c r="Z350" i="16"/>
  <c r="AJ11" i="21"/>
  <c r="V11" i="21"/>
  <c r="N486" i="21"/>
  <c r="AF172" i="16"/>
  <c r="Z172" i="16"/>
  <c r="AE216" i="17"/>
  <c r="Z216" i="17"/>
  <c r="AB74" i="23"/>
  <c r="AB22" i="23"/>
  <c r="AE249" i="17"/>
  <c r="Z249" i="17"/>
  <c r="N184" i="21"/>
  <c r="K184" i="21"/>
  <c r="N578" i="21"/>
  <c r="K578" i="21"/>
  <c r="AE309" i="17"/>
  <c r="Z309" i="17"/>
  <c r="M189" i="21"/>
  <c r="J189" i="21"/>
  <c r="AD147" i="17"/>
  <c r="Y147" i="17"/>
  <c r="AF345" i="16"/>
  <c r="Z345" i="16"/>
  <c r="AF427" i="16"/>
  <c r="Z427" i="16"/>
  <c r="AF343" i="16"/>
  <c r="Z343" i="16"/>
  <c r="Z297" i="16"/>
  <c r="K297" i="21"/>
  <c r="N297" i="21"/>
  <c r="AF81" i="16"/>
  <c r="AF349" i="16"/>
  <c r="Z349" i="16"/>
  <c r="N570" i="21"/>
  <c r="K570" i="21"/>
  <c r="N164" i="21"/>
  <c r="K164" i="21"/>
  <c r="N482" i="21"/>
  <c r="K482" i="21"/>
  <c r="M206" i="21"/>
  <c r="J206" i="21"/>
  <c r="Z84" i="16"/>
  <c r="AF84" i="16"/>
  <c r="N89" i="23"/>
  <c r="N37" i="23"/>
  <c r="M238" i="21"/>
  <c r="J238" i="21"/>
  <c r="AG40" i="9"/>
  <c r="AE40" i="9"/>
  <c r="AO40" i="9"/>
  <c r="N432" i="21"/>
  <c r="K432" i="21"/>
  <c r="N489" i="21"/>
  <c r="K489" i="21"/>
  <c r="N116" i="21"/>
  <c r="K116" i="21"/>
  <c r="N160" i="21"/>
  <c r="K160" i="21"/>
  <c r="N24" i="21"/>
  <c r="K24" i="21"/>
  <c r="N231" i="21"/>
  <c r="K231" i="21"/>
  <c r="N69" i="23"/>
  <c r="N17" i="23"/>
  <c r="AM24" i="8"/>
  <c r="T24" i="8"/>
  <c r="N24" i="8"/>
  <c r="AF359" i="16"/>
  <c r="Z359" i="16"/>
  <c r="AF413" i="16"/>
  <c r="Z413" i="16"/>
  <c r="AK51" i="9"/>
  <c r="AK51" i="8"/>
  <c r="N459" i="21"/>
  <c r="K459" i="21"/>
  <c r="AF276" i="16"/>
  <c r="Z276" i="16"/>
  <c r="N172" i="21"/>
  <c r="K172" i="21"/>
  <c r="AF332" i="16"/>
  <c r="Z332" i="16"/>
  <c r="N354" i="21"/>
  <c r="K354" i="21"/>
  <c r="AF498" i="16"/>
  <c r="M94" i="21"/>
  <c r="J94" i="21"/>
  <c r="N371" i="21"/>
  <c r="K371" i="21"/>
  <c r="N581" i="21"/>
  <c r="K581" i="21"/>
  <c r="AF334" i="16"/>
  <c r="Z334" i="16"/>
  <c r="R14" i="29"/>
  <c r="AM32" i="7"/>
  <c r="U14" i="29"/>
  <c r="N479" i="21"/>
  <c r="K479" i="21"/>
  <c r="N344" i="21"/>
  <c r="K344" i="21"/>
  <c r="AF420" i="16"/>
  <c r="Z420" i="16"/>
  <c r="AF213" i="16"/>
  <c r="Z213" i="16"/>
  <c r="N85" i="23"/>
  <c r="N33" i="23"/>
  <c r="AB91" i="23"/>
  <c r="AB39" i="23"/>
  <c r="AF374" i="16"/>
  <c r="Z374" i="16"/>
  <c r="AE110" i="17"/>
  <c r="Z110" i="17"/>
  <c r="N495" i="21"/>
  <c r="K495" i="21"/>
  <c r="AL33" i="8"/>
  <c r="AJ33" i="8"/>
  <c r="AF150" i="16"/>
  <c r="AF384" i="16"/>
  <c r="Z384" i="16"/>
  <c r="AE177" i="17"/>
  <c r="Z177" i="17"/>
  <c r="Z81" i="16"/>
  <c r="K81" i="21"/>
  <c r="N81" i="21"/>
  <c r="N286" i="21"/>
  <c r="K286" i="21"/>
  <c r="AF355" i="16"/>
  <c r="Z355" i="16"/>
  <c r="AE57" i="16"/>
  <c r="AF173" i="16"/>
  <c r="Z173" i="16"/>
  <c r="AL16" i="9"/>
  <c r="AJ16" i="9"/>
  <c r="AE164" i="17"/>
  <c r="Z164" i="17"/>
  <c r="N274" i="21"/>
  <c r="K274" i="21"/>
  <c r="N571" i="21"/>
  <c r="K571" i="21"/>
  <c r="AC70" i="23"/>
  <c r="AC18" i="23"/>
  <c r="AF18" i="8"/>
  <c r="AP18" i="8"/>
  <c r="N548" i="21"/>
  <c r="K548" i="21"/>
  <c r="AL25" i="9"/>
  <c r="AJ25" i="9"/>
  <c r="AF323" i="16"/>
  <c r="Z323" i="16"/>
  <c r="X13" i="25"/>
  <c r="X7" i="25"/>
  <c r="AF80" i="16"/>
  <c r="AF16" i="9"/>
  <c r="AP16" i="9"/>
  <c r="AE52" i="17"/>
  <c r="Z52" i="17"/>
  <c r="AE197" i="17"/>
  <c r="Z197" i="17"/>
  <c r="N378" i="21"/>
  <c r="K378" i="21"/>
  <c r="AF369" i="16"/>
  <c r="Z369" i="16"/>
  <c r="Y94" i="16"/>
  <c r="AE94" i="16"/>
  <c r="AD76" i="17"/>
  <c r="Y76" i="17"/>
  <c r="N222" i="21"/>
  <c r="K222" i="21"/>
  <c r="AE200" i="16"/>
  <c r="Y200" i="16"/>
  <c r="AF512" i="16"/>
  <c r="AL37" i="9"/>
  <c r="AJ37" i="9"/>
  <c r="AF219" i="16"/>
  <c r="Z219" i="16"/>
  <c r="AF72" i="23"/>
  <c r="AF20" i="23"/>
  <c r="AL46" i="8"/>
  <c r="AJ46" i="8"/>
  <c r="AG12" i="8"/>
  <c r="AE250" i="16"/>
  <c r="Y250" i="16"/>
  <c r="AD129" i="17"/>
  <c r="Y129" i="17"/>
  <c r="N440" i="21"/>
  <c r="K440" i="21"/>
  <c r="AE189" i="16"/>
  <c r="Y189" i="16"/>
  <c r="N509" i="21"/>
  <c r="K509" i="21"/>
  <c r="M196" i="21"/>
  <c r="J196" i="21"/>
  <c r="AL41" i="8"/>
  <c r="AJ41" i="8"/>
  <c r="AK12" i="8"/>
  <c r="AK12" i="9"/>
  <c r="R30" i="29"/>
  <c r="AM49" i="7"/>
  <c r="U30" i="29"/>
  <c r="AG53" i="9"/>
  <c r="AF236" i="16"/>
  <c r="Z236" i="16"/>
  <c r="AF600" i="16"/>
  <c r="AF454" i="16"/>
  <c r="Z454" i="16"/>
  <c r="AO39" i="8"/>
  <c r="AE39" i="8"/>
  <c r="AG39" i="8"/>
  <c r="N419" i="21"/>
  <c r="K419" i="21"/>
  <c r="AF440" i="16"/>
  <c r="Z440" i="16"/>
  <c r="AF342" i="16"/>
  <c r="Z342" i="16"/>
  <c r="Z600" i="16"/>
  <c r="K600" i="21"/>
  <c r="N600" i="21"/>
  <c r="Z495" i="16"/>
  <c r="AF495" i="16"/>
  <c r="N177" i="21"/>
  <c r="K177" i="21"/>
  <c r="Z150" i="16"/>
  <c r="K150" i="21"/>
  <c r="N150" i="21"/>
  <c r="N306" i="21"/>
  <c r="K306" i="21"/>
  <c r="AD137" i="17"/>
  <c r="Y137" i="17"/>
  <c r="N293" i="21"/>
  <c r="K293" i="21"/>
  <c r="AE335" i="17"/>
  <c r="Z335" i="17"/>
  <c r="AE203" i="17"/>
  <c r="Z203" i="17"/>
  <c r="N271" i="21"/>
  <c r="K271" i="21"/>
  <c r="AM29" i="9"/>
  <c r="T29" i="9"/>
  <c r="N29" i="9"/>
  <c r="N416" i="21"/>
  <c r="K416" i="21"/>
  <c r="AE151" i="17"/>
  <c r="Z151" i="17"/>
  <c r="M14" i="21"/>
  <c r="J14" i="21"/>
  <c r="AE241" i="16"/>
  <c r="Y241" i="16"/>
  <c r="AE124" i="17"/>
  <c r="Z124" i="17"/>
  <c r="AF358" i="16"/>
  <c r="Z358" i="16"/>
  <c r="AE297" i="17"/>
  <c r="Z297" i="17"/>
  <c r="AB85" i="23"/>
  <c r="AB33" i="23"/>
  <c r="AP41" i="8"/>
  <c r="AF41" i="8"/>
  <c r="AC41" i="23"/>
  <c r="AC93" i="23"/>
  <c r="AF339" i="16"/>
  <c r="Z339" i="16"/>
  <c r="Z80" i="16"/>
  <c r="K80" i="21"/>
  <c r="N80" i="21"/>
  <c r="AF23" i="16"/>
  <c r="AL45" i="9"/>
  <c r="AJ45" i="9"/>
  <c r="AE253" i="16"/>
  <c r="Y253" i="16"/>
  <c r="AF223" i="16"/>
  <c r="Z223" i="16"/>
  <c r="N83" i="21"/>
  <c r="K83" i="21"/>
  <c r="Z83" i="16"/>
  <c r="AF83" i="16"/>
  <c r="M137" i="21"/>
  <c r="J137" i="21"/>
  <c r="N503" i="21"/>
  <c r="K503" i="21"/>
  <c r="M247" i="21"/>
  <c r="J247" i="21"/>
  <c r="M39" i="21"/>
  <c r="J39" i="21"/>
  <c r="AF527" i="16"/>
  <c r="N358" i="21"/>
  <c r="K358" i="21"/>
  <c r="Z154" i="16"/>
  <c r="AF154" i="16"/>
  <c r="AF273" i="16"/>
  <c r="Z273" i="16"/>
  <c r="AE3" i="17"/>
  <c r="Z3" i="17"/>
  <c r="AD88" i="17"/>
  <c r="Y88" i="17"/>
  <c r="N593" i="21"/>
  <c r="K593" i="21"/>
  <c r="AF388" i="16"/>
  <c r="Z388" i="16"/>
  <c r="Z79" i="16"/>
  <c r="AF79" i="16"/>
  <c r="M258" i="21"/>
  <c r="J258" i="21"/>
  <c r="M195" i="21"/>
  <c r="J195" i="21"/>
  <c r="AD128" i="17"/>
  <c r="Y128" i="17"/>
  <c r="AF110" i="16"/>
  <c r="N513" i="21"/>
  <c r="K513" i="21"/>
  <c r="Z527" i="16"/>
  <c r="K527" i="21"/>
  <c r="N527" i="21"/>
  <c r="AF233" i="16"/>
  <c r="Z233" i="16"/>
  <c r="N446" i="21"/>
  <c r="K446" i="21"/>
  <c r="M3" i="21"/>
  <c r="J3" i="21"/>
  <c r="AF464" i="16"/>
  <c r="Z464" i="16"/>
  <c r="AF582" i="16"/>
  <c r="Z582" i="16"/>
  <c r="AE342" i="17"/>
  <c r="Z342" i="17"/>
  <c r="AF381" i="16"/>
  <c r="Z381" i="16"/>
  <c r="AF6" i="16"/>
  <c r="Z6" i="16"/>
  <c r="AF20" i="9"/>
  <c r="AP20" i="9"/>
  <c r="N301" i="21"/>
  <c r="K301" i="21"/>
  <c r="AE176" i="17"/>
  <c r="Z176" i="17"/>
  <c r="M13" i="21"/>
  <c r="J13" i="21"/>
  <c r="AF505" i="16"/>
  <c r="AE184" i="17"/>
  <c r="Z184" i="17"/>
  <c r="N151" i="21"/>
  <c r="K151" i="21"/>
  <c r="AF533" i="16"/>
  <c r="N589" i="21"/>
  <c r="V12" i="21"/>
  <c r="AJ12" i="21"/>
  <c r="AL8" i="9"/>
  <c r="AJ8" i="9"/>
  <c r="Z286" i="16"/>
  <c r="AF286" i="16"/>
  <c r="N388" i="21"/>
  <c r="K388" i="21"/>
  <c r="AD130" i="17"/>
  <c r="Y130" i="17"/>
  <c r="AE8" i="17"/>
  <c r="Z8" i="17"/>
  <c r="M6" i="21"/>
  <c r="J6" i="21"/>
  <c r="AF263" i="16"/>
  <c r="Z263" i="16"/>
  <c r="N368" i="21"/>
  <c r="K368" i="21"/>
  <c r="Z306" i="16"/>
  <c r="AF306" i="16"/>
  <c r="Z293" i="16"/>
  <c r="AF293" i="16"/>
  <c r="N382" i="21"/>
  <c r="K382" i="21"/>
  <c r="AE12" i="16"/>
  <c r="Y12" i="16"/>
  <c r="AE202" i="17"/>
  <c r="Z202" i="17"/>
  <c r="N417" i="21"/>
  <c r="K417" i="21"/>
  <c r="N283" i="21"/>
  <c r="K283" i="21"/>
  <c r="M56" i="21"/>
  <c r="J56" i="21"/>
  <c r="AF168" i="16"/>
  <c r="Z168" i="16"/>
  <c r="AE136" i="16"/>
  <c r="AD148" i="17"/>
  <c r="Y148" i="17"/>
  <c r="AL30" i="9"/>
  <c r="AJ30" i="9"/>
  <c r="AF592" i="16"/>
  <c r="AM35" i="9"/>
  <c r="T35" i="9"/>
  <c r="N35" i="9"/>
  <c r="N428" i="21"/>
  <c r="K428" i="21"/>
  <c r="AF29" i="16"/>
  <c r="N77" i="23"/>
  <c r="N25" i="23"/>
  <c r="N280" i="21"/>
  <c r="K280" i="21"/>
  <c r="AE327" i="17"/>
  <c r="Z327" i="17"/>
  <c r="M90" i="21"/>
  <c r="J90" i="21"/>
  <c r="Z23" i="16"/>
  <c r="K23" i="21"/>
  <c r="N23" i="21"/>
  <c r="AV6" i="16"/>
  <c r="AU6" i="16"/>
  <c r="AG51" i="9"/>
  <c r="AE51" i="9"/>
  <c r="AO51" i="9"/>
  <c r="N26" i="21"/>
  <c r="K26" i="21"/>
  <c r="N431" i="21"/>
  <c r="K431" i="21"/>
  <c r="Y137" i="16"/>
  <c r="AE137" i="16"/>
  <c r="N451" i="21"/>
  <c r="K451" i="21"/>
  <c r="Z512" i="16"/>
  <c r="K512" i="21"/>
  <c r="N512" i="21"/>
  <c r="Z503" i="16"/>
  <c r="AF503" i="16"/>
  <c r="N579" i="21"/>
  <c r="K579" i="21"/>
  <c r="Y39" i="16"/>
  <c r="AE39" i="16"/>
  <c r="AE313" i="17"/>
  <c r="Z313" i="17"/>
  <c r="AE180" i="17"/>
  <c r="Z180" i="17"/>
  <c r="N334" i="21"/>
  <c r="K334" i="21"/>
  <c r="AE68" i="17"/>
  <c r="Z68" i="17"/>
  <c r="Z567" i="16"/>
  <c r="AF567" i="16"/>
  <c r="Z102" i="16"/>
  <c r="AF102" i="16"/>
  <c r="Z110" i="16"/>
  <c r="K110" i="21"/>
  <c r="N110" i="21"/>
  <c r="Z593" i="16"/>
  <c r="AF593" i="16"/>
  <c r="AE5" i="16"/>
  <c r="Y5" i="16"/>
  <c r="AL48" i="9"/>
  <c r="AJ48" i="9"/>
  <c r="N277" i="21"/>
  <c r="V9" i="21"/>
  <c r="AJ9" i="21"/>
  <c r="M11" i="21"/>
  <c r="J11" i="21"/>
  <c r="N408" i="21"/>
  <c r="K408" i="21"/>
  <c r="AF479" i="16"/>
  <c r="Z479" i="16"/>
  <c r="AE158" i="17"/>
  <c r="Z158" i="17"/>
  <c r="AK51" i="6"/>
  <c r="AK51" i="7"/>
  <c r="AG51" i="23"/>
  <c r="AG103" i="23"/>
  <c r="N414" i="21"/>
  <c r="K414" i="21"/>
  <c r="Z513" i="16"/>
  <c r="AF513" i="16"/>
  <c r="AL15" i="8"/>
  <c r="AJ15" i="8"/>
  <c r="AD8" i="17"/>
  <c r="Y8" i="17"/>
  <c r="AK12" i="6"/>
  <c r="AK12" i="7"/>
  <c r="AG12" i="23"/>
  <c r="AG64" i="23"/>
  <c r="Z498" i="16"/>
  <c r="K498" i="21"/>
  <c r="N498" i="21"/>
  <c r="N337" i="21"/>
  <c r="K337" i="21"/>
  <c r="Z311" i="16"/>
  <c r="AF311" i="16"/>
  <c r="AO9" i="8"/>
  <c r="AE9" i="8"/>
  <c r="AG9" i="8"/>
  <c r="AK20" i="8"/>
  <c r="AK20" i="9"/>
  <c r="AE204" i="17"/>
  <c r="Z204" i="17"/>
  <c r="Z505" i="16"/>
  <c r="K505" i="21"/>
  <c r="N505" i="21"/>
  <c r="N40" i="8"/>
  <c r="T40" i="8"/>
  <c r="AM40" i="8"/>
  <c r="N27" i="21"/>
  <c r="K27" i="21"/>
  <c r="Z151" i="16"/>
  <c r="AF151" i="16"/>
  <c r="N71" i="21"/>
  <c r="K71" i="21"/>
  <c r="N357" i="21"/>
  <c r="K357" i="21"/>
  <c r="Z533" i="16"/>
  <c r="K533" i="21"/>
  <c r="N533" i="21"/>
  <c r="AF69" i="16"/>
  <c r="N218" i="21"/>
  <c r="K218" i="21"/>
  <c r="AG32" i="9"/>
  <c r="AE32" i="9"/>
  <c r="AO32" i="9"/>
  <c r="N517" i="21"/>
  <c r="K517" i="21"/>
  <c r="N34" i="21"/>
  <c r="K34" i="21"/>
  <c r="N146" i="21"/>
  <c r="K146" i="21"/>
  <c r="AF75" i="23"/>
  <c r="AF23" i="23"/>
  <c r="Z69" i="16"/>
  <c r="K69" i="21"/>
  <c r="N69" i="21"/>
  <c r="AF568" i="16"/>
  <c r="Z568" i="16"/>
  <c r="K568" i="21"/>
  <c r="N568" i="21"/>
  <c r="AF418" i="16"/>
  <c r="Z418" i="16"/>
  <c r="AM44" i="9"/>
  <c r="T44" i="9"/>
  <c r="N44" i="9"/>
  <c r="AE114" i="17"/>
  <c r="Z114" i="17"/>
  <c r="Z283" i="16"/>
  <c r="AF283" i="16"/>
  <c r="AF160" i="16"/>
  <c r="Z160" i="16"/>
  <c r="AE244" i="16"/>
  <c r="Y244" i="16"/>
  <c r="Y136" i="16"/>
  <c r="J136" i="21"/>
  <c r="M136" i="21"/>
  <c r="M96" i="21"/>
  <c r="J96" i="21"/>
  <c r="AF450" i="16"/>
  <c r="Z450" i="16"/>
  <c r="AG6" i="9"/>
  <c r="AE6" i="9"/>
  <c r="AO6" i="9"/>
  <c r="AF148" i="16"/>
  <c r="AD87" i="17"/>
  <c r="Y87" i="17"/>
  <c r="N324" i="21"/>
  <c r="K324" i="21"/>
  <c r="N499" i="21"/>
  <c r="K499" i="21"/>
  <c r="AE319" i="17"/>
  <c r="Z319" i="17"/>
  <c r="Z29" i="16"/>
  <c r="K29" i="21"/>
  <c r="N29" i="21"/>
  <c r="N551" i="21"/>
  <c r="K551" i="21"/>
  <c r="AF91" i="23"/>
  <c r="AF39" i="23"/>
  <c r="AG41" i="8"/>
  <c r="AE55" i="17"/>
  <c r="Z55" i="17"/>
  <c r="AF169" i="16"/>
  <c r="Z169" i="16"/>
  <c r="N475" i="21"/>
  <c r="K475" i="21"/>
  <c r="N176" i="21"/>
  <c r="K176" i="21"/>
  <c r="N584" i="21"/>
  <c r="K584" i="21"/>
  <c r="AK20" i="6"/>
  <c r="AK20" i="7"/>
  <c r="AG20" i="23"/>
  <c r="AG72" i="23"/>
  <c r="N82" i="23"/>
  <c r="N30" i="23"/>
  <c r="AC77" i="23"/>
  <c r="AP25" i="8"/>
  <c r="AF25" i="8"/>
  <c r="AC25" i="23"/>
  <c r="Z570" i="16"/>
  <c r="AF570" i="16"/>
  <c r="Z27" i="16"/>
  <c r="AF27" i="16"/>
  <c r="Z71" i="16"/>
  <c r="AF71" i="16"/>
  <c r="Z517" i="16"/>
  <c r="AF517" i="16"/>
  <c r="AF32" i="9"/>
  <c r="AP32" i="9"/>
  <c r="AF112" i="16"/>
  <c r="AF586" i="16"/>
  <c r="Z586" i="16"/>
  <c r="AP55" i="8"/>
  <c r="AP53" i="8"/>
  <c r="AM47" i="8"/>
  <c r="T47" i="8"/>
  <c r="N47" i="8"/>
  <c r="AE237" i="16"/>
  <c r="Y237" i="16"/>
  <c r="AF61" i="16"/>
  <c r="Z530" i="16"/>
  <c r="AF530" i="16"/>
  <c r="AF405" i="16"/>
  <c r="Z405" i="16"/>
  <c r="AE254" i="16"/>
  <c r="Y254" i="16"/>
  <c r="N228" i="21"/>
  <c r="K228" i="21"/>
  <c r="AF49" i="9"/>
  <c r="AP49" i="9"/>
  <c r="AE254" i="17"/>
  <c r="Z254" i="17"/>
  <c r="N477" i="21"/>
  <c r="K477" i="21"/>
  <c r="AF496" i="16"/>
  <c r="Y96" i="16"/>
  <c r="AE96" i="16"/>
  <c r="AE100" i="16"/>
  <c r="AF114" i="16"/>
  <c r="Z148" i="16"/>
  <c r="K148" i="21"/>
  <c r="N148" i="21"/>
  <c r="AE330" i="17"/>
  <c r="Z330" i="17"/>
  <c r="AL43" i="9"/>
  <c r="AJ43" i="9"/>
  <c r="AE236" i="17"/>
  <c r="Z236" i="17"/>
  <c r="AE333" i="17"/>
  <c r="Z333" i="17"/>
  <c r="AO22" i="8"/>
  <c r="AE22" i="8"/>
  <c r="AG22" i="8"/>
  <c r="Z121" i="16"/>
  <c r="AF121" i="16"/>
  <c r="AO32" i="8"/>
  <c r="AE32" i="8"/>
  <c r="AB32" i="23"/>
  <c r="AB84" i="23"/>
  <c r="Z301" i="16"/>
  <c r="AF301" i="16"/>
  <c r="AE256" i="16"/>
  <c r="Y256" i="16"/>
  <c r="Z540" i="16"/>
  <c r="AF540" i="16"/>
  <c r="Z514" i="16"/>
  <c r="AF514" i="16"/>
  <c r="N95" i="23"/>
  <c r="N43" i="23"/>
  <c r="M257" i="21"/>
  <c r="J257" i="21"/>
  <c r="N425" i="21"/>
  <c r="K425" i="21"/>
  <c r="Z77" i="16"/>
  <c r="AF77" i="16"/>
  <c r="AO12" i="8"/>
  <c r="AE12" i="8"/>
  <c r="AB12" i="23"/>
  <c r="AB64" i="23"/>
  <c r="N427" i="21"/>
  <c r="K427" i="21"/>
  <c r="N12" i="9"/>
  <c r="T12" i="9"/>
  <c r="AM12" i="9"/>
  <c r="Z509" i="16"/>
  <c r="AF509" i="16"/>
  <c r="M253" i="21"/>
  <c r="J253" i="21"/>
  <c r="Y91" i="16"/>
  <c r="AE91" i="16"/>
  <c r="N586" i="21"/>
  <c r="K586" i="21"/>
  <c r="AE320" i="17"/>
  <c r="Z320" i="17"/>
  <c r="AO48" i="8"/>
  <c r="AE48" i="8"/>
  <c r="AG48" i="8"/>
  <c r="AG101" i="23"/>
  <c r="AG49" i="23"/>
  <c r="AE37" i="17"/>
  <c r="Z37" i="17"/>
  <c r="AF5" i="16"/>
  <c r="Z5" i="16"/>
  <c r="N392" i="21"/>
  <c r="K392" i="21"/>
  <c r="Z75" i="16"/>
  <c r="AF75" i="16"/>
  <c r="Z504" i="16"/>
  <c r="AF504" i="16"/>
  <c r="AL29" i="8"/>
  <c r="AJ29" i="8"/>
  <c r="AP26" i="8"/>
  <c r="AF26" i="8"/>
  <c r="AC26" i="23"/>
  <c r="AC78" i="23"/>
  <c r="Z113" i="16"/>
  <c r="AF113" i="16"/>
  <c r="AE99" i="17"/>
  <c r="Z99" i="17"/>
  <c r="AF445" i="16"/>
  <c r="Z445" i="16"/>
  <c r="Y56" i="16"/>
  <c r="AE56" i="16"/>
  <c r="M244" i="21"/>
  <c r="J244" i="21"/>
  <c r="AD26" i="17"/>
  <c r="Y26" i="17"/>
  <c r="AF22" i="9"/>
  <c r="AP22" i="9"/>
  <c r="AE240" i="16"/>
  <c r="Y240" i="16"/>
  <c r="AF437" i="16"/>
  <c r="Z437" i="16"/>
  <c r="N396" i="21"/>
  <c r="K396" i="21"/>
  <c r="AK32" i="8"/>
  <c r="AK32" i="6"/>
  <c r="AK32" i="7"/>
  <c r="AK32" i="9"/>
  <c r="AF232" i="16"/>
  <c r="Z232" i="16"/>
  <c r="M143" i="21"/>
  <c r="J143" i="21"/>
  <c r="N309" i="21"/>
  <c r="K309" i="21"/>
  <c r="Z112" i="16"/>
  <c r="K112" i="21"/>
  <c r="N112" i="21"/>
  <c r="Y57" i="16"/>
  <c r="J57" i="21"/>
  <c r="M57" i="21"/>
  <c r="Z491" i="16"/>
  <c r="AF491" i="16"/>
  <c r="Z2" i="17"/>
  <c r="AE2" i="17"/>
  <c r="AE7" i="21"/>
  <c r="Y130" i="16"/>
  <c r="AE130" i="16"/>
  <c r="AF162" i="16"/>
  <c r="Z162" i="16"/>
  <c r="AO6" i="8"/>
  <c r="AE6" i="8"/>
  <c r="AG6" i="8"/>
  <c r="Z61" i="16"/>
  <c r="K61" i="21"/>
  <c r="N61" i="21"/>
  <c r="U24" i="29"/>
  <c r="AM40" i="7"/>
  <c r="R24" i="29"/>
  <c r="X11" i="25"/>
  <c r="D11" i="25"/>
  <c r="AF9" i="16"/>
  <c r="Z9" i="16"/>
  <c r="Z19" i="16"/>
  <c r="AF19" i="16"/>
  <c r="M5" i="21"/>
  <c r="J5" i="21"/>
  <c r="Z496" i="16"/>
  <c r="K496" i="21"/>
  <c r="N496" i="21"/>
  <c r="Z298" i="16"/>
  <c r="AF298" i="16"/>
  <c r="Y129" i="16"/>
  <c r="AE129" i="16"/>
  <c r="N430" i="21"/>
  <c r="K430" i="21"/>
  <c r="AF70" i="16"/>
  <c r="N349" i="21"/>
  <c r="K349" i="21"/>
  <c r="N65" i="21"/>
  <c r="K65" i="21"/>
  <c r="AF124" i="16"/>
  <c r="AF493" i="16"/>
  <c r="AL18" i="8"/>
  <c r="AJ18" i="8"/>
  <c r="Z124" i="16"/>
  <c r="K124" i="21"/>
  <c r="N124" i="21"/>
  <c r="AL5" i="16"/>
  <c r="AK5" i="16"/>
  <c r="N398" i="21"/>
  <c r="K398" i="21"/>
  <c r="AF312" i="16"/>
  <c r="AE170" i="17"/>
  <c r="Z170" i="17"/>
  <c r="M44" i="21"/>
  <c r="J44" i="21"/>
  <c r="AF588" i="16"/>
  <c r="Z588" i="16"/>
  <c r="N122" i="21"/>
  <c r="K122" i="21"/>
  <c r="AF109" i="16"/>
  <c r="N32" i="21"/>
  <c r="K32" i="21"/>
  <c r="AE209" i="17"/>
  <c r="Z209" i="17"/>
  <c r="N186" i="21"/>
  <c r="K186" i="21"/>
  <c r="D7" i="25"/>
  <c r="D13" i="25"/>
  <c r="Z493" i="16"/>
  <c r="K493" i="21"/>
  <c r="N493" i="21"/>
  <c r="Z489" i="16"/>
  <c r="AF489" i="16"/>
  <c r="AE252" i="17"/>
  <c r="Z252" i="17"/>
  <c r="AE246" i="16"/>
  <c r="Y246" i="16"/>
  <c r="AL40" i="9"/>
  <c r="AJ40" i="9"/>
  <c r="AG71" i="23"/>
  <c r="AG19" i="23"/>
  <c r="AL36" i="8"/>
  <c r="AJ36" i="8"/>
  <c r="N316" i="21"/>
  <c r="K316" i="21"/>
  <c r="AF218" i="16"/>
  <c r="Z218" i="16"/>
  <c r="N473" i="21"/>
  <c r="K473" i="21"/>
  <c r="N481" i="21"/>
  <c r="K481" i="21"/>
  <c r="AE304" i="17"/>
  <c r="Z304" i="17"/>
  <c r="AF325" i="16"/>
  <c r="Z325" i="16"/>
  <c r="Y44" i="16"/>
  <c r="AE44" i="16"/>
  <c r="AE259" i="16"/>
  <c r="Y259" i="16"/>
  <c r="M47" i="21"/>
  <c r="J47" i="21"/>
  <c r="N478" i="21"/>
  <c r="K478" i="21"/>
  <c r="AB95" i="23"/>
  <c r="AB43" i="23"/>
  <c r="AD28" i="17"/>
  <c r="Y28" i="17"/>
  <c r="AF585" i="16"/>
  <c r="Z585" i="16"/>
  <c r="Y100" i="16"/>
  <c r="J100" i="21"/>
  <c r="M100" i="21"/>
  <c r="N291" i="21"/>
  <c r="K291" i="21"/>
  <c r="N426" i="21"/>
  <c r="K426" i="21"/>
  <c r="AE205" i="16"/>
  <c r="Y205" i="16"/>
  <c r="AG85" i="23"/>
  <c r="AG33" i="23"/>
  <c r="AO33" i="8"/>
  <c r="AE33" i="8"/>
  <c r="AG33" i="8"/>
  <c r="Z146" i="16"/>
  <c r="AF146" i="16"/>
  <c r="Z548" i="16"/>
  <c r="AF548" i="16"/>
  <c r="Z280" i="16"/>
  <c r="AF280" i="16"/>
  <c r="N300" i="21"/>
  <c r="K300" i="21"/>
  <c r="N587" i="21"/>
  <c r="K587" i="21"/>
  <c r="AE255" i="17"/>
  <c r="Z255" i="17"/>
  <c r="N404" i="21"/>
  <c r="K404" i="21"/>
  <c r="U27" i="29"/>
  <c r="AM45" i="7"/>
  <c r="R27" i="29"/>
  <c r="N88" i="23"/>
  <c r="N36" i="23"/>
  <c r="AF430" i="16"/>
  <c r="Z430" i="16"/>
  <c r="M135" i="21"/>
  <c r="J135" i="21"/>
  <c r="N528" i="21"/>
  <c r="K528" i="21"/>
  <c r="AG9" i="21"/>
  <c r="Y9" i="21"/>
  <c r="K277" i="21"/>
  <c r="S9" i="21"/>
  <c r="AE104" i="17"/>
  <c r="Z104" i="17"/>
  <c r="AF117" i="16"/>
  <c r="AF452" i="16"/>
  <c r="Z452" i="16"/>
  <c r="AG82" i="23"/>
  <c r="AG30" i="23"/>
  <c r="AF296" i="16"/>
  <c r="N452" i="21"/>
  <c r="K452" i="21"/>
  <c r="M194" i="21"/>
  <c r="J194" i="21"/>
  <c r="AD13" i="17"/>
  <c r="Y13" i="17"/>
  <c r="AD141" i="17"/>
  <c r="Y141" i="17"/>
  <c r="N13" i="21"/>
  <c r="K13" i="21"/>
  <c r="AF270" i="16"/>
  <c r="Z270" i="16"/>
  <c r="N464" i="21"/>
  <c r="K464" i="21"/>
  <c r="Z300" i="16"/>
  <c r="AF300" i="16"/>
  <c r="Z65" i="16"/>
  <c r="AF65" i="16"/>
  <c r="AF522" i="16"/>
  <c r="AF310" i="16"/>
  <c r="N412" i="21"/>
  <c r="K412" i="21"/>
  <c r="AF149" i="16"/>
  <c r="AB72" i="23"/>
  <c r="AB20" i="23"/>
  <c r="N598" i="21"/>
  <c r="K598" i="21"/>
  <c r="AF573" i="16"/>
  <c r="AF326" i="16"/>
  <c r="Z326" i="16"/>
  <c r="AF492" i="16"/>
  <c r="M237" i="21"/>
  <c r="J237" i="21"/>
  <c r="N67" i="21"/>
  <c r="K67" i="21"/>
  <c r="N230" i="21"/>
  <c r="K230" i="21"/>
  <c r="Z117" i="16"/>
  <c r="K117" i="21"/>
  <c r="N117" i="21"/>
  <c r="AP20" i="8"/>
  <c r="AF20" i="8"/>
  <c r="AC20" i="23"/>
  <c r="AC72" i="23"/>
  <c r="Z291" i="16"/>
  <c r="AF291" i="16"/>
  <c r="N170" i="21"/>
  <c r="K170" i="21"/>
  <c r="N502" i="21"/>
  <c r="K502" i="21"/>
  <c r="N361" i="21"/>
  <c r="K361" i="21"/>
  <c r="AE196" i="16"/>
  <c r="Y196" i="16"/>
  <c r="N67" i="23"/>
  <c r="N15" i="23"/>
  <c r="AE66" i="17"/>
  <c r="Z66" i="17"/>
  <c r="AF10" i="16"/>
  <c r="Z10" i="16"/>
  <c r="Z296" i="16"/>
  <c r="K296" i="21"/>
  <c r="N296" i="21"/>
  <c r="N210" i="21"/>
  <c r="K210" i="21"/>
  <c r="N59" i="23"/>
  <c r="N7" i="23"/>
  <c r="AF407" i="16"/>
  <c r="Z407" i="16"/>
  <c r="AO29" i="9"/>
  <c r="AE29" i="9"/>
  <c r="AG29" i="9"/>
  <c r="AE255" i="16"/>
  <c r="Y255" i="16"/>
  <c r="N276" i="21"/>
  <c r="K276" i="21"/>
  <c r="M199" i="21"/>
  <c r="J199" i="21"/>
  <c r="Z70" i="16"/>
  <c r="K70" i="21"/>
  <c r="N70" i="21"/>
  <c r="AE286" i="17"/>
  <c r="Z286" i="17"/>
  <c r="Z499" i="16"/>
  <c r="AF499" i="16"/>
  <c r="M208" i="21"/>
  <c r="J208" i="21"/>
  <c r="AO20" i="8"/>
  <c r="AE20" i="8"/>
  <c r="AG20" i="8"/>
  <c r="Z122" i="16"/>
  <c r="AF122" i="16"/>
  <c r="Z522" i="16"/>
  <c r="K522" i="21"/>
  <c r="N522" i="21"/>
  <c r="N19" i="8"/>
  <c r="T19" i="8"/>
  <c r="AM19" i="8"/>
  <c r="AK19" i="8"/>
  <c r="AK19" i="6"/>
  <c r="AK19" i="7"/>
  <c r="AK19" i="9"/>
  <c r="M205" i="21"/>
  <c r="J205" i="21"/>
  <c r="Z310" i="16"/>
  <c r="K310" i="21"/>
  <c r="N310" i="21"/>
  <c r="AL7" i="8"/>
  <c r="AJ7" i="8"/>
  <c r="Z149" i="16"/>
  <c r="K149" i="21"/>
  <c r="N149" i="21"/>
  <c r="M254" i="21"/>
  <c r="J254" i="21"/>
  <c r="N343" i="21"/>
  <c r="K343" i="21"/>
  <c r="AF422" i="16"/>
  <c r="Z422" i="16"/>
  <c r="Y90" i="16"/>
  <c r="AE90" i="16"/>
  <c r="AE283" i="17"/>
  <c r="Z283" i="17"/>
  <c r="M48" i="21"/>
  <c r="J48" i="21"/>
  <c r="Z573" i="16"/>
  <c r="K573" i="21"/>
  <c r="N573" i="21"/>
  <c r="Z492" i="16"/>
  <c r="K492" i="21"/>
  <c r="N492" i="21"/>
  <c r="Z574" i="16"/>
  <c r="AF574" i="16"/>
  <c r="Z116" i="16"/>
  <c r="AF116" i="16"/>
  <c r="AF572" i="16"/>
  <c r="N68" i="23"/>
  <c r="N16" i="23"/>
  <c r="AV4" i="16"/>
  <c r="AU4" i="16"/>
  <c r="Z34" i="16"/>
  <c r="AF34" i="16"/>
  <c r="AF410" i="16"/>
  <c r="Z410" i="16"/>
  <c r="N590" i="21"/>
  <c r="K590" i="21"/>
  <c r="AF14" i="16"/>
  <c r="Z14" i="16"/>
  <c r="M35" i="21"/>
  <c r="J35" i="21"/>
  <c r="AL42" i="8"/>
  <c r="AJ42" i="8"/>
  <c r="AL32" i="9"/>
  <c r="AJ32" i="9"/>
  <c r="N330" i="21"/>
  <c r="K330" i="21"/>
  <c r="AE116" i="17"/>
  <c r="Z116" i="17"/>
  <c r="AF544" i="16"/>
  <c r="AF438" i="16"/>
  <c r="Z438" i="16"/>
  <c r="AF516" i="16"/>
  <c r="AG45" i="8"/>
  <c r="AF546" i="16"/>
  <c r="AE257" i="17"/>
  <c r="Z257" i="17"/>
  <c r="Y135" i="16"/>
  <c r="AE135" i="16"/>
  <c r="Y48" i="16"/>
  <c r="AE48" i="16"/>
  <c r="N171" i="21"/>
  <c r="K171" i="21"/>
  <c r="Z572" i="16"/>
  <c r="K572" i="21"/>
  <c r="N572" i="21"/>
  <c r="AE173" i="17"/>
  <c r="Z173" i="17"/>
  <c r="N411" i="21"/>
  <c r="K411" i="21"/>
  <c r="N53" i="9"/>
  <c r="AF66" i="23"/>
  <c r="AF14" i="23"/>
  <c r="AF596" i="16"/>
  <c r="N235" i="21"/>
  <c r="K235" i="21"/>
  <c r="N535" i="21"/>
  <c r="K535" i="21"/>
  <c r="N433" i="21"/>
  <c r="K433" i="21"/>
  <c r="AM33" i="9"/>
  <c r="T33" i="9"/>
  <c r="N33" i="9"/>
  <c r="AF13" i="9"/>
  <c r="AP13" i="9"/>
  <c r="AE295" i="17"/>
  <c r="Z295" i="17"/>
  <c r="AE206" i="16"/>
  <c r="Y206" i="16"/>
  <c r="AE251" i="16"/>
  <c r="Y251" i="16"/>
  <c r="AF24" i="9"/>
  <c r="AP24" i="9"/>
  <c r="N389" i="21"/>
  <c r="K389" i="21"/>
  <c r="AO7" i="9"/>
  <c r="AE7" i="9"/>
  <c r="AG7" i="9"/>
  <c r="N406" i="21"/>
  <c r="K406" i="21"/>
  <c r="Z592" i="16"/>
  <c r="K592" i="21"/>
  <c r="N592" i="21"/>
  <c r="N169" i="21"/>
  <c r="K169" i="21"/>
  <c r="AF357" i="16"/>
  <c r="Z357" i="16"/>
  <c r="Z106" i="16"/>
  <c r="AF106" i="16"/>
  <c r="N51" i="9"/>
  <c r="T51" i="9"/>
  <c r="AM51" i="9"/>
  <c r="AF362" i="16"/>
  <c r="Z362" i="16"/>
  <c r="AK49" i="8"/>
  <c r="AK49" i="6"/>
  <c r="AK49" i="7"/>
  <c r="AK49" i="9"/>
  <c r="Z571" i="16"/>
  <c r="AF571" i="16"/>
  <c r="AK33" i="9"/>
  <c r="AK33" i="6"/>
  <c r="AK33" i="7"/>
  <c r="AK33" i="8"/>
  <c r="Z551" i="16"/>
  <c r="AF551" i="16"/>
  <c r="AE247" i="16"/>
  <c r="Y247" i="16"/>
  <c r="AF377" i="16"/>
  <c r="Z377" i="16"/>
  <c r="N165" i="21"/>
  <c r="K165" i="21"/>
  <c r="AL27" i="9"/>
  <c r="AJ27" i="9"/>
  <c r="AF186" i="16"/>
  <c r="Z186" i="16"/>
  <c r="AF181" i="16"/>
  <c r="Z181" i="16"/>
  <c r="AD140" i="17"/>
  <c r="Y140" i="17"/>
  <c r="U22" i="29"/>
  <c r="AM38" i="7"/>
  <c r="R22" i="29"/>
  <c r="N221" i="21"/>
  <c r="K221" i="21"/>
  <c r="AE103" i="17"/>
  <c r="Z103" i="17"/>
  <c r="AO41" i="8"/>
  <c r="AE41" i="8"/>
  <c r="AB41" i="23"/>
  <c r="AB93" i="23"/>
  <c r="Z544" i="16"/>
  <c r="K544" i="21"/>
  <c r="N544" i="21"/>
  <c r="Z516" i="16"/>
  <c r="K516" i="21"/>
  <c r="N516" i="21"/>
  <c r="Z546" i="16"/>
  <c r="K546" i="21"/>
  <c r="N546" i="21"/>
  <c r="N9" i="8"/>
  <c r="T9" i="8"/>
  <c r="AM9" i="8"/>
  <c r="Z502" i="16"/>
  <c r="AF502" i="16"/>
  <c r="Z26" i="16"/>
  <c r="AF26" i="16"/>
  <c r="N387" i="21"/>
  <c r="K387" i="21"/>
  <c r="Z24" i="16"/>
  <c r="AF24" i="16"/>
  <c r="AF569" i="16"/>
  <c r="N410" i="21"/>
  <c r="K410" i="21"/>
  <c r="AE53" i="16"/>
  <c r="Z109" i="16"/>
  <c r="K109" i="21"/>
  <c r="N109" i="21"/>
  <c r="N58" i="23"/>
  <c r="N6" i="23"/>
  <c r="AG11" i="21"/>
  <c r="K486" i="21"/>
  <c r="S11" i="21"/>
  <c r="Y11" i="21"/>
  <c r="N104" i="21"/>
  <c r="K104" i="21"/>
  <c r="AB11" i="21"/>
  <c r="AF108" i="16"/>
  <c r="AL53" i="8"/>
  <c r="N107" i="21"/>
  <c r="K107" i="21"/>
  <c r="N15" i="21"/>
  <c r="K15" i="21"/>
  <c r="AD86" i="17"/>
  <c r="Y86" i="17"/>
  <c r="AF386" i="16"/>
  <c r="Z386" i="16"/>
  <c r="N375" i="21"/>
  <c r="K375" i="21"/>
  <c r="N25" i="21"/>
  <c r="K25" i="21"/>
  <c r="AL12" i="9"/>
  <c r="AJ12" i="9"/>
  <c r="AM10" i="8"/>
  <c r="T10" i="8"/>
  <c r="N10" i="8"/>
  <c r="AV7" i="16"/>
  <c r="AU7" i="16"/>
  <c r="AE139" i="16"/>
  <c r="N236" i="21"/>
  <c r="K236" i="21"/>
  <c r="N556" i="21"/>
  <c r="K556" i="21"/>
  <c r="Z596" i="16"/>
  <c r="K596" i="21"/>
  <c r="N596" i="21"/>
  <c r="AL31" i="8"/>
  <c r="AJ31" i="8"/>
  <c r="AM27" i="9"/>
  <c r="T27" i="9"/>
  <c r="N27" i="9"/>
  <c r="Y53" i="16"/>
  <c r="J53" i="21"/>
  <c r="M53" i="21"/>
  <c r="Z569" i="16"/>
  <c r="K569" i="21"/>
  <c r="N569" i="21"/>
  <c r="AE284" i="17"/>
  <c r="Z284" i="17"/>
  <c r="AK31" i="8"/>
  <c r="AK31" i="9"/>
  <c r="AF118" i="16"/>
  <c r="N346" i="21"/>
  <c r="K346" i="21"/>
  <c r="AF165" i="16"/>
  <c r="Z165" i="16"/>
  <c r="AO45" i="8"/>
  <c r="AE45" i="8"/>
  <c r="AB45" i="23"/>
  <c r="AB97" i="23"/>
  <c r="N299" i="21"/>
  <c r="K299" i="21"/>
  <c r="AE241" i="17"/>
  <c r="Z241" i="17"/>
  <c r="AG100" i="23"/>
  <c r="AG48" i="23"/>
  <c r="AG44" i="8"/>
  <c r="N220" i="21"/>
  <c r="K220" i="21"/>
  <c r="N7" i="21"/>
  <c r="K7" i="21"/>
  <c r="AB69" i="23"/>
  <c r="AB17" i="23"/>
  <c r="N273" i="21"/>
  <c r="K273" i="21"/>
  <c r="N543" i="21"/>
  <c r="K543" i="21"/>
  <c r="AL14" i="8"/>
  <c r="AJ14" i="8"/>
  <c r="Z114" i="16"/>
  <c r="K114" i="21"/>
  <c r="N114" i="21"/>
  <c r="AU2" i="16"/>
  <c r="AV2" i="16"/>
  <c r="N227" i="21"/>
  <c r="K227" i="21"/>
  <c r="Y139" i="16"/>
  <c r="J139" i="21"/>
  <c r="M139" i="21"/>
  <c r="AF211" i="16"/>
  <c r="Z211" i="16"/>
  <c r="AE155" i="17"/>
  <c r="Z155" i="17"/>
  <c r="M9" i="21"/>
  <c r="J9" i="21"/>
  <c r="Z556" i="16"/>
  <c r="AF556" i="16"/>
  <c r="AF268" i="16"/>
  <c r="Z268" i="16"/>
  <c r="N351" i="21"/>
  <c r="K351" i="21"/>
  <c r="N2" i="21"/>
  <c r="V7" i="21"/>
  <c r="AJ7" i="21"/>
  <c r="AF82" i="23"/>
  <c r="AF30" i="23"/>
  <c r="N352" i="21"/>
  <c r="K352" i="21"/>
  <c r="AF472" i="16"/>
  <c r="Z472" i="16"/>
  <c r="AF46" i="9"/>
  <c r="AP46" i="9"/>
  <c r="AK31" i="6"/>
  <c r="AK31" i="7"/>
  <c r="AG31" i="23"/>
  <c r="AG83" i="23"/>
  <c r="Z590" i="16"/>
  <c r="AF590" i="16"/>
  <c r="Z118" i="16"/>
  <c r="K118" i="21"/>
  <c r="N118" i="21"/>
  <c r="N549" i="21"/>
  <c r="K549" i="21"/>
  <c r="N367" i="21"/>
  <c r="K367" i="21"/>
  <c r="AE70" i="17"/>
  <c r="Z70" i="17"/>
  <c r="AE41" i="17"/>
  <c r="Z41" i="17"/>
  <c r="AF368" i="16"/>
  <c r="Z368" i="16"/>
  <c r="AG46" i="9"/>
  <c r="AE46" i="9"/>
  <c r="AO46" i="9"/>
  <c r="AD136" i="17"/>
  <c r="Y136" i="17"/>
  <c r="AF402" i="16"/>
  <c r="Z402" i="16"/>
  <c r="AO34" i="9"/>
  <c r="AE34" i="9"/>
  <c r="AG34" i="9"/>
  <c r="M204" i="21"/>
  <c r="J204" i="21"/>
  <c r="AE14" i="17"/>
  <c r="Z14" i="17"/>
  <c r="AB90" i="23"/>
  <c r="AB38" i="23"/>
  <c r="AF185" i="16"/>
  <c r="Z185" i="16"/>
  <c r="Z528" i="16"/>
  <c r="AF528" i="16"/>
  <c r="AE260" i="17"/>
  <c r="Z260" i="17"/>
  <c r="AL49" i="8"/>
  <c r="AJ49" i="8"/>
  <c r="AD11" i="17"/>
  <c r="Y11" i="17"/>
  <c r="AB7" i="21"/>
  <c r="AF2" i="16"/>
  <c r="M197" i="21"/>
  <c r="J197" i="21"/>
  <c r="AF90" i="23"/>
  <c r="AF38" i="23"/>
  <c r="AE115" i="17"/>
  <c r="Z115" i="17"/>
  <c r="AE72" i="17"/>
  <c r="Z72" i="17"/>
  <c r="AL39" i="8"/>
  <c r="AJ39" i="8"/>
  <c r="AB12" i="21"/>
  <c r="AE250" i="17"/>
  <c r="Z250" i="17"/>
  <c r="N520" i="21"/>
  <c r="K520" i="21"/>
  <c r="AE10" i="16"/>
  <c r="Y10" i="16"/>
  <c r="M38" i="21"/>
  <c r="J38" i="21"/>
  <c r="AP36" i="8"/>
  <c r="AF36" i="8"/>
  <c r="AC36" i="23"/>
  <c r="AC88" i="23"/>
  <c r="AP12" i="8"/>
  <c r="AF12" i="8"/>
  <c r="AC12" i="23"/>
  <c r="AC64" i="23"/>
  <c r="AF87" i="23"/>
  <c r="AF35" i="23"/>
  <c r="AK28" i="8"/>
  <c r="AK28" i="9"/>
  <c r="AO43" i="8"/>
  <c r="AE43" i="8"/>
  <c r="AG43" i="8"/>
  <c r="AE248" i="16"/>
  <c r="Y248" i="16"/>
  <c r="AE157" i="17"/>
  <c r="Z157" i="17"/>
  <c r="M250" i="21"/>
  <c r="J250" i="21"/>
  <c r="N564" i="21"/>
  <c r="K564" i="21"/>
  <c r="N267" i="21"/>
  <c r="K267" i="21"/>
  <c r="N178" i="21"/>
  <c r="K178" i="21"/>
  <c r="Z312" i="16"/>
  <c r="K312" i="21"/>
  <c r="N312" i="21"/>
  <c r="N577" i="21"/>
  <c r="K577" i="21"/>
  <c r="AF555" i="16"/>
  <c r="N454" i="21"/>
  <c r="K454" i="21"/>
  <c r="AE337" i="17"/>
  <c r="Z337" i="17"/>
  <c r="AJ2" i="17"/>
  <c r="AD24" i="17"/>
  <c r="Y24" i="17"/>
  <c r="AF577" i="16"/>
  <c r="Z577" i="16"/>
  <c r="Z535" i="16"/>
  <c r="AF535" i="16"/>
  <c r="AF490" i="16"/>
  <c r="AK30" i="8"/>
  <c r="AK30" i="6"/>
  <c r="AK30" i="7"/>
  <c r="AK30" i="9"/>
  <c r="AF589" i="16"/>
  <c r="AK6" i="16"/>
  <c r="AL6" i="16"/>
  <c r="AE50" i="16"/>
  <c r="AF60" i="16"/>
  <c r="AP44" i="8"/>
  <c r="AF44" i="8"/>
  <c r="AC44" i="23"/>
  <c r="AC96" i="23"/>
  <c r="Z555" i="16"/>
  <c r="K555" i="21"/>
  <c r="N555" i="21"/>
  <c r="Z32" i="16"/>
  <c r="AF32" i="16"/>
  <c r="Y38" i="16"/>
  <c r="AE38" i="16"/>
  <c r="AF28" i="16"/>
  <c r="M10" i="21"/>
  <c r="J10" i="21"/>
  <c r="AF317" i="16"/>
  <c r="Z317" i="16"/>
  <c r="AE4" i="17"/>
  <c r="Z4" i="17"/>
  <c r="M58" i="21"/>
  <c r="J58" i="21"/>
  <c r="M245" i="21"/>
  <c r="J245" i="21"/>
  <c r="M99" i="21"/>
  <c r="J99" i="21"/>
  <c r="N338" i="21"/>
  <c r="K338" i="21"/>
  <c r="E49" i="5"/>
  <c r="E48" i="5"/>
  <c r="E52" i="5"/>
  <c r="N449" i="21"/>
  <c r="K449" i="21"/>
  <c r="AF515" i="16"/>
  <c r="AE198" i="17"/>
  <c r="Z198" i="17"/>
  <c r="AF583" i="16"/>
  <c r="Z583" i="16"/>
  <c r="AF485" i="16"/>
  <c r="Z485" i="16"/>
  <c r="AF6" i="9"/>
  <c r="AP6" i="9"/>
  <c r="AF473" i="16"/>
  <c r="Z473" i="16"/>
  <c r="N355" i="21"/>
  <c r="K355" i="21"/>
  <c r="N534" i="21"/>
  <c r="K534" i="21"/>
  <c r="N5" i="9"/>
  <c r="T5" i="9"/>
  <c r="AM5" i="9"/>
  <c r="T53" i="9"/>
  <c r="N380" i="21"/>
  <c r="K380" i="21"/>
  <c r="AE160" i="17"/>
  <c r="Z160" i="17"/>
  <c r="AF265" i="16"/>
  <c r="Z265" i="16"/>
  <c r="AL10" i="8"/>
  <c r="AJ10" i="8"/>
  <c r="AL18" i="9"/>
  <c r="AJ18" i="9"/>
  <c r="N225" i="21"/>
  <c r="K225" i="21"/>
  <c r="N384" i="21"/>
  <c r="K384" i="21"/>
  <c r="M126" i="21"/>
  <c r="J126" i="21"/>
  <c r="Z490" i="16"/>
  <c r="K490" i="21"/>
  <c r="N490" i="21"/>
  <c r="AF508" i="16"/>
  <c r="AF147" i="16"/>
  <c r="AE67" i="17"/>
  <c r="Z67" i="17"/>
  <c r="Q34" i="29"/>
  <c r="AM15" i="7"/>
  <c r="T34" i="29"/>
  <c r="AF392" i="16"/>
  <c r="Z392" i="16"/>
  <c r="AF558" i="16"/>
  <c r="AD89" i="17"/>
  <c r="Y89" i="17"/>
  <c r="Y50" i="16"/>
  <c r="J50" i="21"/>
  <c r="M50" i="21"/>
  <c r="Z60" i="16"/>
  <c r="K60" i="21"/>
  <c r="N60" i="21"/>
  <c r="N457" i="21"/>
  <c r="K457" i="21"/>
  <c r="V13" i="25"/>
  <c r="V7" i="25"/>
  <c r="Z299" i="16"/>
  <c r="AF299" i="16"/>
  <c r="R17" i="29"/>
  <c r="AM34" i="7"/>
  <c r="U17" i="29"/>
  <c r="AE60" i="17"/>
  <c r="Z60" i="17"/>
  <c r="AF287" i="16"/>
  <c r="AF34" i="9"/>
  <c r="AP34" i="9"/>
  <c r="AF417" i="16"/>
  <c r="Z417" i="16"/>
  <c r="K2" i="21"/>
  <c r="S7" i="21"/>
  <c r="Y7" i="21"/>
  <c r="AG7" i="21"/>
  <c r="AE272" i="17"/>
  <c r="Z272" i="17"/>
  <c r="Y47" i="16"/>
  <c r="AE47" i="16"/>
  <c r="N363" i="21"/>
  <c r="K363" i="21"/>
  <c r="AK6" i="9"/>
  <c r="AK6" i="8"/>
  <c r="V15" i="25"/>
  <c r="V9" i="25"/>
  <c r="V14" i="25"/>
  <c r="AD94" i="17"/>
  <c r="Y94" i="17"/>
  <c r="N435" i="21"/>
  <c r="K435" i="21"/>
  <c r="AE214" i="17"/>
  <c r="Z214" i="17"/>
  <c r="AM21" i="9"/>
  <c r="T21" i="9"/>
  <c r="N21" i="9"/>
  <c r="AG86" i="23"/>
  <c r="AG34" i="23"/>
  <c r="M203" i="21"/>
  <c r="J203" i="21"/>
  <c r="N8" i="21"/>
  <c r="K8" i="21"/>
  <c r="T35" i="29"/>
  <c r="AM16" i="7"/>
  <c r="Q35" i="29"/>
  <c r="AF99" i="23"/>
  <c r="AF47" i="23"/>
  <c r="M239" i="21"/>
  <c r="J239" i="21"/>
  <c r="Y126" i="16"/>
  <c r="AE126" i="16"/>
  <c r="Z508" i="16"/>
  <c r="K508" i="21"/>
  <c r="N508" i="21"/>
  <c r="Z147" i="16"/>
  <c r="K147" i="21"/>
  <c r="N147" i="21"/>
  <c r="AE102" i="17"/>
  <c r="Z102" i="17"/>
  <c r="Z67" i="16"/>
  <c r="AF67" i="16"/>
  <c r="N444" i="21"/>
  <c r="K444" i="21"/>
  <c r="N340" i="21"/>
  <c r="K340" i="21"/>
  <c r="Z28" i="16"/>
  <c r="K28" i="21"/>
  <c r="N28" i="21"/>
  <c r="AF62" i="23"/>
  <c r="AF10" i="23"/>
  <c r="AF94" i="23"/>
  <c r="AF42" i="23"/>
  <c r="N302" i="21"/>
  <c r="K302" i="21"/>
  <c r="AF79" i="23"/>
  <c r="AF27" i="23"/>
  <c r="Z287" i="16"/>
  <c r="K287" i="21"/>
  <c r="N287" i="21"/>
  <c r="AD12" i="17"/>
  <c r="Y12" i="17"/>
  <c r="N506" i="21"/>
  <c r="K506" i="21"/>
  <c r="AF222" i="16"/>
  <c r="Z222" i="16"/>
  <c r="AF468" i="16"/>
  <c r="Z468" i="16"/>
  <c r="N327" i="21"/>
  <c r="K327" i="21"/>
  <c r="N394" i="21"/>
  <c r="V10" i="21"/>
  <c r="AJ10" i="21"/>
  <c r="AK6" i="7"/>
  <c r="AG6" i="23"/>
  <c r="AG58" i="23"/>
  <c r="AF5" i="23"/>
  <c r="AF57" i="23"/>
  <c r="V11" i="25"/>
  <c r="AD35" i="17"/>
  <c r="Y35" i="17"/>
  <c r="AF356" i="16"/>
  <c r="Z356" i="16"/>
  <c r="AE169" i="17"/>
  <c r="Z169" i="17"/>
  <c r="AK13" i="9"/>
  <c r="AK13" i="8"/>
  <c r="AF167" i="16"/>
  <c r="Z167" i="16"/>
  <c r="AE246" i="17"/>
  <c r="Z246" i="17"/>
  <c r="N381" i="21"/>
  <c r="K381" i="21"/>
  <c r="AF319" i="16"/>
  <c r="Z319" i="16"/>
  <c r="AG90" i="23"/>
  <c r="AG38" i="23"/>
  <c r="AM15" i="9"/>
  <c r="T15" i="9"/>
  <c r="N15" i="9"/>
  <c r="AF439" i="16"/>
  <c r="Z439" i="16"/>
  <c r="AE197" i="16"/>
  <c r="Y197" i="16"/>
  <c r="AK34" i="8"/>
  <c r="AK34" i="6"/>
  <c r="AK34" i="7"/>
  <c r="AK34" i="9"/>
  <c r="N347" i="21"/>
  <c r="K347" i="21"/>
  <c r="AL51" i="8"/>
  <c r="AJ51" i="8"/>
  <c r="N92" i="23"/>
  <c r="N40" i="23"/>
  <c r="N72" i="21"/>
  <c r="K72" i="21"/>
  <c r="AF331" i="16"/>
  <c r="Z331" i="16"/>
  <c r="M191" i="21"/>
  <c r="J191" i="21"/>
  <c r="N470" i="21"/>
  <c r="K470" i="21"/>
  <c r="AG12" i="9"/>
  <c r="AE12" i="9"/>
  <c r="AO12" i="9"/>
  <c r="AK5" i="8"/>
  <c r="AK5" i="9"/>
  <c r="AE191" i="17"/>
  <c r="Z191" i="17"/>
  <c r="AE175" i="17"/>
  <c r="Z175" i="17"/>
  <c r="AB62" i="23"/>
  <c r="AB10" i="23"/>
  <c r="N18" i="21"/>
  <c r="K18" i="21"/>
  <c r="U33" i="29"/>
  <c r="AM51" i="7"/>
  <c r="R33" i="29"/>
  <c r="AB59" i="23"/>
  <c r="AB7" i="23"/>
  <c r="M249" i="21"/>
  <c r="J249" i="21"/>
  <c r="N339" i="21"/>
  <c r="K339" i="21"/>
  <c r="N163" i="21"/>
  <c r="K163" i="21"/>
  <c r="AF428" i="16"/>
  <c r="Z428" i="16"/>
  <c r="AB10" i="21"/>
  <c r="M59" i="21"/>
  <c r="J59" i="21"/>
  <c r="N588" i="21"/>
  <c r="K588" i="21"/>
  <c r="AE285" i="17"/>
  <c r="Z285" i="17"/>
  <c r="AG87" i="23"/>
  <c r="AG35" i="23"/>
  <c r="N484" i="21"/>
  <c r="K484" i="21"/>
  <c r="Z549" i="16"/>
  <c r="AF549" i="16"/>
  <c r="AE325" i="17"/>
  <c r="Z325" i="17"/>
  <c r="AF351" i="16"/>
  <c r="Z351" i="16"/>
  <c r="AK29" i="8"/>
  <c r="AK29" i="9"/>
  <c r="N441" i="21"/>
  <c r="K441" i="21"/>
  <c r="Z598" i="16"/>
  <c r="AF598" i="16"/>
  <c r="Z506" i="16"/>
  <c r="AF506" i="16"/>
  <c r="AE113" i="17"/>
  <c r="Z113" i="17"/>
  <c r="AD91" i="17"/>
  <c r="Y91" i="17"/>
  <c r="AF178" i="16"/>
  <c r="Z178" i="16"/>
  <c r="N461" i="21"/>
  <c r="K461" i="21"/>
  <c r="AO44" i="8"/>
  <c r="AE44" i="8"/>
  <c r="AB44" i="23"/>
  <c r="AB96" i="23"/>
  <c r="AE290" i="17"/>
  <c r="Z290" i="17"/>
  <c r="AE188" i="16"/>
  <c r="Y188" i="16"/>
  <c r="AE171" i="17"/>
  <c r="Z171" i="17"/>
  <c r="AE243" i="17"/>
  <c r="Z243" i="17"/>
  <c r="AK28" i="6"/>
  <c r="AK28" i="7"/>
  <c r="AG28" i="23"/>
  <c r="AG80" i="23"/>
  <c r="AL50" i="9"/>
  <c r="AJ50" i="9"/>
  <c r="AF41" i="9"/>
  <c r="AP41" i="9"/>
  <c r="AO38" i="8"/>
  <c r="AE38" i="8"/>
  <c r="AG38" i="8"/>
  <c r="AE231" i="17"/>
  <c r="Z231" i="17"/>
  <c r="Y99" i="16"/>
  <c r="AE99" i="16"/>
  <c r="AK13" i="6"/>
  <c r="AK13" i="7"/>
  <c r="AG13" i="23"/>
  <c r="AG65" i="23"/>
  <c r="AE58" i="8"/>
  <c r="AM53" i="8"/>
  <c r="AF58" i="8"/>
  <c r="N401" i="21"/>
  <c r="K401" i="21"/>
  <c r="AD90" i="17"/>
  <c r="Y90" i="17"/>
  <c r="AD5" i="17"/>
  <c r="Y5" i="17"/>
  <c r="AF231" i="16"/>
  <c r="Z231" i="16"/>
  <c r="N332" i="21"/>
  <c r="K332" i="21"/>
  <c r="AL28" i="8"/>
  <c r="AJ28" i="8"/>
  <c r="N6" i="8"/>
  <c r="T6" i="8"/>
  <c r="AM6" i="8"/>
  <c r="AF87" i="16"/>
  <c r="AE253" i="17"/>
  <c r="Z253" i="17"/>
  <c r="AF497" i="16"/>
  <c r="N11" i="21"/>
  <c r="K11" i="21"/>
  <c r="N183" i="21"/>
  <c r="K183" i="21"/>
  <c r="AM28" i="9"/>
  <c r="T28" i="9"/>
  <c r="N28" i="9"/>
  <c r="AE218" i="17"/>
  <c r="Z218" i="17"/>
  <c r="AF354" i="16"/>
  <c r="Z354" i="16"/>
  <c r="N403" i="21"/>
  <c r="K403" i="21"/>
  <c r="AD139" i="17"/>
  <c r="Y139" i="17"/>
  <c r="AF337" i="16"/>
  <c r="Z337" i="16"/>
  <c r="N424" i="21"/>
  <c r="K424" i="21"/>
  <c r="AL41" i="9"/>
  <c r="AJ41" i="9"/>
  <c r="AD25" i="17"/>
  <c r="Y25" i="17"/>
  <c r="AE346" i="17"/>
  <c r="Z346" i="17"/>
  <c r="M259" i="21"/>
  <c r="J259" i="21"/>
  <c r="AE178" i="17"/>
  <c r="Z178" i="17"/>
  <c r="AF435" i="16"/>
  <c r="Z435" i="16"/>
  <c r="AD146" i="17"/>
  <c r="Y146" i="17"/>
  <c r="AB60" i="23"/>
  <c r="AB8" i="23"/>
  <c r="AJ7" i="17"/>
  <c r="AE46" i="17"/>
  <c r="Z46" i="17"/>
  <c r="AL31" i="9"/>
  <c r="AJ31" i="9"/>
  <c r="AF95" i="23"/>
  <c r="AF43" i="23"/>
  <c r="Z497" i="16"/>
  <c r="K497" i="21"/>
  <c r="N497" i="21"/>
  <c r="AF398" i="16"/>
  <c r="Z398" i="16"/>
  <c r="N532" i="21"/>
  <c r="K532" i="21"/>
  <c r="AJ5" i="17"/>
  <c r="Z339" i="17"/>
  <c r="AE339" i="17"/>
  <c r="AE11" i="21"/>
  <c r="N20" i="21"/>
  <c r="K20" i="21"/>
  <c r="AG43" i="9"/>
  <c r="AE43" i="9"/>
  <c r="AO43" i="9"/>
  <c r="AF88" i="16"/>
  <c r="AE234" i="17"/>
  <c r="Z234" i="17"/>
  <c r="N318" i="21"/>
  <c r="K318" i="21"/>
  <c r="N12" i="21"/>
  <c r="K12" i="21"/>
  <c r="AL18" i="7"/>
  <c r="N453" i="21"/>
  <c r="K453" i="21"/>
  <c r="AL7" i="16"/>
  <c r="AK7" i="16"/>
  <c r="N494" i="21"/>
  <c r="K494" i="21"/>
  <c r="N405" i="21"/>
  <c r="K405" i="21"/>
  <c r="M260" i="21"/>
  <c r="J260" i="21"/>
  <c r="AE279" i="17"/>
  <c r="Z279" i="17"/>
  <c r="AE332" i="17"/>
  <c r="Z332" i="17"/>
  <c r="AE58" i="17"/>
  <c r="Z58" i="17"/>
  <c r="AD143" i="17"/>
  <c r="Y143" i="17"/>
  <c r="Z309" i="16"/>
  <c r="AF309" i="16"/>
  <c r="AF363" i="16"/>
  <c r="Z363" i="16"/>
  <c r="AF221" i="16"/>
  <c r="Z221" i="16"/>
  <c r="AF17" i="9"/>
  <c r="AP17" i="9"/>
  <c r="N275" i="21"/>
  <c r="K275" i="21"/>
  <c r="AE303" i="17"/>
  <c r="Z303" i="17"/>
  <c r="M252" i="21"/>
  <c r="J252" i="21"/>
  <c r="AK37" i="8"/>
  <c r="AK37" i="9"/>
  <c r="AE40" i="17"/>
  <c r="Z40" i="17"/>
  <c r="AM39" i="8"/>
  <c r="T39" i="8"/>
  <c r="N39" i="8"/>
  <c r="Z486" i="16"/>
  <c r="AF486" i="16"/>
  <c r="AU5" i="16"/>
  <c r="AV5" i="16"/>
  <c r="Z515" i="16"/>
  <c r="K515" i="21"/>
  <c r="N515" i="21"/>
  <c r="Z108" i="16"/>
  <c r="K108" i="21"/>
  <c r="N108" i="21"/>
  <c r="AF182" i="16"/>
  <c r="Z182" i="16"/>
  <c r="AP35" i="8"/>
  <c r="AF35" i="8"/>
  <c r="AC35" i="23"/>
  <c r="AC87" i="23"/>
  <c r="N217" i="21"/>
  <c r="K217" i="21"/>
  <c r="AG53" i="8"/>
  <c r="AE205" i="17"/>
  <c r="Z205" i="17"/>
  <c r="N322" i="21"/>
  <c r="K322" i="21"/>
  <c r="N336" i="21"/>
  <c r="K336" i="21"/>
  <c r="AM43" i="8"/>
  <c r="T43" i="8"/>
  <c r="N43" i="8"/>
  <c r="AE343" i="17"/>
  <c r="Z343" i="17"/>
  <c r="N211" i="21"/>
  <c r="K211" i="21"/>
  <c r="Z88" i="16"/>
  <c r="K88" i="21"/>
  <c r="N88" i="21"/>
  <c r="AF102" i="23"/>
  <c r="AF50" i="23"/>
  <c r="AE204" i="16"/>
  <c r="Y204" i="16"/>
  <c r="R14" i="25"/>
  <c r="R9" i="25"/>
  <c r="R15" i="25"/>
  <c r="AJ18" i="7"/>
  <c r="AF18" i="23"/>
  <c r="AF70" i="23"/>
  <c r="N434" i="21"/>
  <c r="K434" i="21"/>
  <c r="AG24" i="8"/>
  <c r="AA7" i="21"/>
  <c r="AC83" i="23"/>
  <c r="AC31" i="23"/>
  <c r="AF31" i="8"/>
  <c r="AP31" i="8"/>
  <c r="N86" i="23"/>
  <c r="N34" i="23"/>
  <c r="AE133" i="16"/>
  <c r="AE8" i="16"/>
  <c r="Y8" i="16"/>
  <c r="AF234" i="16"/>
  <c r="Z234" i="16"/>
  <c r="AF460" i="16"/>
  <c r="Z460" i="16"/>
  <c r="Y35" i="16"/>
  <c r="AE35" i="16"/>
  <c r="AF100" i="23"/>
  <c r="AF48" i="23"/>
  <c r="Z558" i="16"/>
  <c r="K558" i="21"/>
  <c r="N558" i="21"/>
  <c r="Z302" i="16"/>
  <c r="AF302" i="16"/>
  <c r="N448" i="21"/>
  <c r="K448" i="21"/>
  <c r="AK29" i="6"/>
  <c r="AK29" i="7"/>
  <c r="AG29" i="23"/>
  <c r="AG81" i="23"/>
  <c r="AE245" i="17"/>
  <c r="Z245" i="17"/>
  <c r="N62" i="23"/>
  <c r="N10" i="23"/>
  <c r="AD81" i="17"/>
  <c r="Y81" i="17"/>
  <c r="N161" i="21"/>
  <c r="K161" i="21"/>
  <c r="N415" i="21"/>
  <c r="K415" i="21"/>
  <c r="M202" i="21"/>
  <c r="J202" i="21"/>
  <c r="AF318" i="16"/>
  <c r="Z318" i="16"/>
  <c r="Z107" i="16"/>
  <c r="AF107" i="16"/>
  <c r="AF50" i="9"/>
  <c r="AP50" i="9"/>
  <c r="N576" i="21"/>
  <c r="K576" i="21"/>
  <c r="AL49" i="9"/>
  <c r="AJ49" i="9"/>
  <c r="Z520" i="16"/>
  <c r="AF520" i="16"/>
  <c r="AF553" i="16"/>
  <c r="AG49" i="8"/>
  <c r="AF153" i="16"/>
  <c r="N70" i="23"/>
  <c r="N18" i="23"/>
  <c r="AD138" i="17"/>
  <c r="Y138" i="17"/>
  <c r="Z153" i="16"/>
  <c r="K153" i="21"/>
  <c r="N153" i="21"/>
  <c r="AK37" i="6"/>
  <c r="AK37" i="7"/>
  <c r="AG37" i="23"/>
  <c r="AG89" i="23"/>
  <c r="AE63" i="17"/>
  <c r="Z63" i="17"/>
  <c r="AG23" i="8"/>
  <c r="AE242" i="17"/>
  <c r="Z242" i="17"/>
  <c r="N523" i="21"/>
  <c r="K523" i="21"/>
  <c r="N265" i="21"/>
  <c r="K265" i="21"/>
  <c r="AG10" i="9"/>
  <c r="AE10" i="9"/>
  <c r="AO10" i="9"/>
  <c r="I7" i="29"/>
  <c r="F7" i="29"/>
  <c r="F8" i="29"/>
  <c r="AM8" i="7"/>
  <c r="I8" i="29"/>
  <c r="N325" i="21"/>
  <c r="K325" i="21"/>
  <c r="N331" i="21"/>
  <c r="K331" i="21"/>
  <c r="AE192" i="16"/>
  <c r="Y192" i="16"/>
  <c r="N65" i="23"/>
  <c r="N13" i="23"/>
  <c r="Y58" i="16"/>
  <c r="AE58" i="16"/>
  <c r="N487" i="21"/>
  <c r="K487" i="21"/>
  <c r="AE261" i="17"/>
  <c r="Z261" i="17"/>
  <c r="AO45" i="9"/>
  <c r="AE45" i="9"/>
  <c r="AG45" i="9"/>
  <c r="AK50" i="8"/>
  <c r="AK50" i="9"/>
  <c r="AE167" i="17"/>
  <c r="Z167" i="17"/>
  <c r="AF382" i="16"/>
  <c r="Z382" i="16"/>
  <c r="AF465" i="16"/>
  <c r="Z465" i="16"/>
  <c r="AE49" i="16"/>
  <c r="AF42" i="9"/>
  <c r="AP42" i="9"/>
  <c r="M138" i="21"/>
  <c r="J138" i="21"/>
  <c r="AM20" i="9"/>
  <c r="T20" i="9"/>
  <c r="N20" i="9"/>
  <c r="U23" i="29"/>
  <c r="AM39" i="7"/>
  <c r="R23" i="29"/>
  <c r="AD79" i="17"/>
  <c r="Y79" i="17"/>
  <c r="N447" i="21"/>
  <c r="K447" i="21"/>
  <c r="N98" i="23"/>
  <c r="N46" i="23"/>
  <c r="AL44" i="9"/>
  <c r="AJ44" i="9"/>
  <c r="S14" i="25"/>
  <c r="S9" i="25"/>
  <c r="S15" i="25"/>
  <c r="AE23" i="17"/>
  <c r="Z23" i="17"/>
  <c r="AB79" i="23"/>
  <c r="AB27" i="23"/>
  <c r="N601" i="21"/>
  <c r="K601" i="21"/>
  <c r="AF86" i="23"/>
  <c r="AF34" i="23"/>
  <c r="AE121" i="17"/>
  <c r="Z121" i="17"/>
  <c r="AF446" i="16"/>
  <c r="Z446" i="16"/>
  <c r="AE259" i="17"/>
  <c r="Z259" i="17"/>
  <c r="AL26" i="8"/>
  <c r="AJ26" i="8"/>
  <c r="AF266" i="16"/>
  <c r="Z266" i="16"/>
  <c r="Z553" i="16"/>
  <c r="K553" i="21"/>
  <c r="N553" i="21"/>
  <c r="AF7" i="9"/>
  <c r="AP7" i="9"/>
  <c r="AK48" i="9"/>
  <c r="AK48" i="6"/>
  <c r="AK48" i="7"/>
  <c r="AK48" i="8"/>
  <c r="AO49" i="8"/>
  <c r="AE49" i="8"/>
  <c r="AB49" i="23"/>
  <c r="AB101" i="23"/>
  <c r="AF484" i="16"/>
  <c r="Z484" i="16"/>
  <c r="AF307" i="16"/>
  <c r="N87" i="23"/>
  <c r="N35" i="23"/>
  <c r="AF214" i="16"/>
  <c r="Z214" i="16"/>
  <c r="AO23" i="8"/>
  <c r="AE23" i="8"/>
  <c r="AB23" i="23"/>
  <c r="AB75" i="23"/>
  <c r="N173" i="21"/>
  <c r="K173" i="21"/>
  <c r="AF11" i="9"/>
  <c r="AP11" i="9"/>
  <c r="Z104" i="16"/>
  <c r="AF104" i="16"/>
  <c r="AP34" i="8"/>
  <c r="AF34" i="8"/>
  <c r="AC34" i="23"/>
  <c r="AC86" i="23"/>
  <c r="AK50" i="6"/>
  <c r="AK50" i="7"/>
  <c r="AG50" i="23"/>
  <c r="AG102" i="23"/>
  <c r="U25" i="29"/>
  <c r="R20" i="29"/>
  <c r="R15" i="29"/>
  <c r="R25" i="29"/>
  <c r="U15" i="29"/>
  <c r="AM42" i="7"/>
  <c r="U20" i="29"/>
  <c r="Z487" i="16"/>
  <c r="AF487" i="16"/>
  <c r="Z523" i="16"/>
  <c r="AF523" i="16"/>
  <c r="AE192" i="17"/>
  <c r="Z192" i="17"/>
  <c r="Y49" i="16"/>
  <c r="J49" i="21"/>
  <c r="M49" i="21"/>
  <c r="Y138" i="16"/>
  <c r="AE138" i="16"/>
  <c r="AK18" i="8"/>
  <c r="AK18" i="9"/>
  <c r="Z532" i="16"/>
  <c r="AF532" i="16"/>
  <c r="AE5" i="17"/>
  <c r="Z5" i="17"/>
  <c r="AO17" i="8"/>
  <c r="AE17" i="8"/>
  <c r="AG17" i="8"/>
  <c r="AK38" i="8"/>
  <c r="AK38" i="6"/>
  <c r="AK38" i="7"/>
  <c r="AK38" i="9"/>
  <c r="Z25" i="16"/>
  <c r="AF25" i="16"/>
  <c r="N31" i="8"/>
  <c r="T31" i="8"/>
  <c r="AM31" i="8"/>
  <c r="AE201" i="16"/>
  <c r="Y201" i="16"/>
  <c r="Z534" i="16"/>
  <c r="AF534" i="16"/>
  <c r="AG36" i="9"/>
  <c r="AE36" i="9"/>
  <c r="AO36" i="9"/>
  <c r="AO24" i="8"/>
  <c r="AE24" i="8"/>
  <c r="AB24" i="23"/>
  <c r="AB76" i="23"/>
  <c r="N284" i="21"/>
  <c r="K284" i="21"/>
  <c r="N4" i="21"/>
  <c r="K4" i="21"/>
  <c r="Z564" i="16"/>
  <c r="AF564" i="16"/>
  <c r="AK18" i="6"/>
  <c r="AK18" i="7"/>
  <c r="AG18" i="23"/>
  <c r="AG70" i="23"/>
  <c r="AE119" i="17"/>
  <c r="Z119" i="17"/>
  <c r="AE210" i="17"/>
  <c r="Z210" i="17"/>
  <c r="AB66" i="23"/>
  <c r="AB14" i="23"/>
  <c r="AE154" i="17"/>
  <c r="Z154" i="17"/>
  <c r="N229" i="21"/>
  <c r="K229" i="21"/>
  <c r="N370" i="21"/>
  <c r="K370" i="21"/>
  <c r="AE305" i="17"/>
  <c r="Z305" i="17"/>
  <c r="AE212" i="17"/>
  <c r="Z212" i="17"/>
  <c r="AF321" i="16"/>
  <c r="Z321" i="16"/>
  <c r="AO26" i="9"/>
  <c r="AE26" i="9"/>
  <c r="AG26" i="9"/>
  <c r="AE9" i="17"/>
  <c r="Z9" i="17"/>
  <c r="M261" i="21"/>
  <c r="J261" i="21"/>
  <c r="AF229" i="16"/>
  <c r="Z229" i="16"/>
  <c r="AF77" i="23"/>
  <c r="AF25" i="23"/>
  <c r="AF455" i="16"/>
  <c r="Z455" i="16"/>
  <c r="N85" i="21"/>
  <c r="K85" i="21"/>
  <c r="AF451" i="16"/>
  <c r="Z451" i="16"/>
  <c r="AL10" i="7"/>
  <c r="M190" i="21"/>
  <c r="J190" i="21"/>
  <c r="N439" i="21"/>
  <c r="K439" i="21"/>
  <c r="AF322" i="16"/>
  <c r="Z322" i="16"/>
  <c r="N350" i="21"/>
  <c r="K350" i="21"/>
  <c r="N14" i="8"/>
  <c r="T14" i="8"/>
  <c r="AM14" i="8"/>
  <c r="AF320" i="16"/>
  <c r="Z320" i="16"/>
  <c r="N456" i="21"/>
  <c r="K456" i="21"/>
  <c r="M188" i="21"/>
  <c r="J188" i="21"/>
  <c r="N471" i="21"/>
  <c r="K471" i="21"/>
  <c r="N50" i="9"/>
  <c r="T50" i="9"/>
  <c r="AM50" i="9"/>
  <c r="AF8" i="16"/>
  <c r="Z8" i="16"/>
  <c r="N488" i="21"/>
  <c r="K488" i="21"/>
  <c r="N181" i="21"/>
  <c r="K181" i="21"/>
  <c r="AF10" i="9"/>
  <c r="AP10" i="9"/>
  <c r="AE54" i="16"/>
  <c r="N377" i="21"/>
  <c r="K377" i="21"/>
  <c r="AL9" i="16"/>
  <c r="AK9" i="16"/>
  <c r="N5" i="21"/>
  <c r="K5" i="21"/>
  <c r="AE45" i="16"/>
  <c r="AE156" i="17"/>
  <c r="Z156" i="17"/>
  <c r="AF338" i="16"/>
  <c r="Z338" i="16"/>
  <c r="N180" i="21"/>
  <c r="K180" i="21"/>
  <c r="AD6" i="17"/>
  <c r="Y6" i="17"/>
  <c r="N90" i="23"/>
  <c r="N38" i="23"/>
  <c r="AF103" i="16"/>
  <c r="N413" i="21"/>
  <c r="K413" i="21"/>
  <c r="AF340" i="16"/>
  <c r="Z340" i="16"/>
  <c r="N319" i="21"/>
  <c r="K319" i="21"/>
  <c r="AF458" i="16"/>
  <c r="Z458" i="16"/>
  <c r="AM47" i="9"/>
  <c r="T47" i="9"/>
  <c r="N47" i="9"/>
  <c r="Z20" i="16"/>
  <c r="AF20" i="16"/>
  <c r="AE243" i="16"/>
  <c r="Y243" i="16"/>
  <c r="Z284" i="16"/>
  <c r="AF284" i="16"/>
  <c r="N594" i="21"/>
  <c r="K594" i="21"/>
  <c r="AF364" i="16"/>
  <c r="Z364" i="16"/>
  <c r="AF267" i="16"/>
  <c r="Z267" i="16"/>
  <c r="AE207" i="17"/>
  <c r="Z207" i="17"/>
  <c r="N365" i="21"/>
  <c r="K365" i="21"/>
  <c r="AF470" i="16"/>
  <c r="Z470" i="16"/>
  <c r="AE6" i="17"/>
  <c r="Z6" i="17"/>
  <c r="AF500" i="16"/>
  <c r="AP6" i="8"/>
  <c r="AF6" i="8"/>
  <c r="AC6" i="23"/>
  <c r="AC58" i="23"/>
  <c r="M128" i="21"/>
  <c r="J128" i="21"/>
  <c r="AL24" i="8"/>
  <c r="AJ24" i="8"/>
  <c r="AF16" i="16"/>
  <c r="M40" i="21"/>
  <c r="J40" i="21"/>
  <c r="N182" i="21"/>
  <c r="K182" i="21"/>
  <c r="AK8" i="16"/>
  <c r="AL8" i="16"/>
  <c r="AC71" i="23"/>
  <c r="AC19" i="23"/>
  <c r="AF19" i="8"/>
  <c r="AP19" i="8"/>
  <c r="AF426" i="16"/>
  <c r="Z426" i="16"/>
  <c r="Y54" i="16"/>
  <c r="J54" i="21"/>
  <c r="M54" i="21"/>
  <c r="Y45" i="16"/>
  <c r="J45" i="21"/>
  <c r="M45" i="21"/>
  <c r="AF73" i="16"/>
  <c r="AF63" i="16"/>
  <c r="AC69" i="23"/>
  <c r="AC17" i="23"/>
  <c r="AF17" i="8"/>
  <c r="AP17" i="8"/>
  <c r="AL23" i="8"/>
  <c r="AJ23" i="8"/>
  <c r="AG10" i="21"/>
  <c r="Y10" i="21"/>
  <c r="K394" i="21"/>
  <c r="S10" i="21"/>
  <c r="AE293" i="17"/>
  <c r="Z293" i="17"/>
  <c r="N429" i="21"/>
  <c r="K429" i="21"/>
  <c r="N65" i="6"/>
  <c r="N71" i="23"/>
  <c r="N19" i="23"/>
  <c r="AF390" i="16"/>
  <c r="Z390" i="16"/>
  <c r="Z103" i="16"/>
  <c r="K103" i="21"/>
  <c r="N103" i="21"/>
  <c r="AE299" i="17"/>
  <c r="Z299" i="17"/>
  <c r="W14" i="25"/>
  <c r="W9" i="25"/>
  <c r="W15" i="25"/>
  <c r="M256" i="21"/>
  <c r="J256" i="21"/>
  <c r="AL12" i="8"/>
  <c r="AJ12" i="8"/>
  <c r="AD78" i="17"/>
  <c r="Y78" i="17"/>
  <c r="AF12" i="16"/>
  <c r="Z12" i="16"/>
  <c r="M15" i="21"/>
  <c r="J15" i="21"/>
  <c r="AD127" i="17"/>
  <c r="Y127" i="17"/>
  <c r="AK35" i="8"/>
  <c r="AK35" i="6"/>
  <c r="AK35" i="7"/>
  <c r="AK35" i="9"/>
  <c r="R28" i="29"/>
  <c r="AM46" i="7"/>
  <c r="U28" i="29"/>
  <c r="Z589" i="16"/>
  <c r="K589" i="21"/>
  <c r="S12" i="21"/>
  <c r="Y12" i="21"/>
  <c r="AG12" i="21"/>
  <c r="N402" i="21"/>
  <c r="K402" i="21"/>
  <c r="N66" i="21"/>
  <c r="K66" i="21"/>
  <c r="Z594" i="16"/>
  <c r="AF594" i="16"/>
  <c r="AO7" i="8"/>
  <c r="AE7" i="8"/>
  <c r="AG7" i="8"/>
  <c r="Y128" i="16"/>
  <c r="AE128" i="16"/>
  <c r="N269" i="21"/>
  <c r="K269" i="21"/>
  <c r="N364" i="21"/>
  <c r="K364" i="21"/>
  <c r="AG27" i="9"/>
  <c r="AE27" i="9"/>
  <c r="AO27" i="9"/>
  <c r="AV9" i="16"/>
  <c r="AU9" i="16"/>
  <c r="G48" i="5"/>
  <c r="AE249" i="16"/>
  <c r="Y249" i="16"/>
  <c r="Z500" i="16"/>
  <c r="K500" i="21"/>
  <c r="N500" i="21"/>
  <c r="Y59" i="16"/>
  <c r="AE59" i="16"/>
  <c r="AD7" i="21"/>
  <c r="Y2" i="17"/>
  <c r="AD2" i="17"/>
  <c r="AJ6" i="17"/>
  <c r="AL5" i="8"/>
  <c r="AJ5" i="8"/>
  <c r="AJ53" i="8"/>
  <c r="D14" i="25"/>
  <c r="D15" i="25"/>
  <c r="Z16" i="16"/>
  <c r="K16" i="21"/>
  <c r="N16" i="21"/>
  <c r="AF180" i="16"/>
  <c r="Z180" i="16"/>
  <c r="AK3" i="16"/>
  <c r="AL3" i="16"/>
  <c r="N282" i="21"/>
  <c r="K282" i="21"/>
  <c r="N597" i="21"/>
  <c r="K597" i="21"/>
  <c r="N156" i="21"/>
  <c r="K156" i="21"/>
  <c r="Z73" i="16"/>
  <c r="K73" i="21"/>
  <c r="N73" i="21"/>
  <c r="Z63" i="16"/>
  <c r="K63" i="21"/>
  <c r="N63" i="21"/>
  <c r="N353" i="21"/>
  <c r="K353" i="21"/>
  <c r="N450" i="21"/>
  <c r="K450" i="21"/>
  <c r="Z66" i="16"/>
  <c r="AF66" i="16"/>
  <c r="N437" i="21"/>
  <c r="K437" i="21"/>
  <c r="N7" i="8"/>
  <c r="T7" i="8"/>
  <c r="AM7" i="8"/>
  <c r="AG51" i="8"/>
  <c r="AE187" i="17"/>
  <c r="Z187" i="17"/>
  <c r="AO14" i="8"/>
  <c r="AE14" i="8"/>
  <c r="AG14" i="8"/>
  <c r="N76" i="21"/>
  <c r="K76" i="21"/>
  <c r="N397" i="21"/>
  <c r="K397" i="21"/>
  <c r="AO10" i="8"/>
  <c r="AE10" i="8"/>
  <c r="AG10" i="8"/>
  <c r="AJ58" i="7"/>
  <c r="AJ53" i="7"/>
  <c r="AF562" i="16"/>
  <c r="AM29" i="8"/>
  <c r="T29" i="8"/>
  <c r="N29" i="8"/>
  <c r="AF18" i="9"/>
  <c r="AP18" i="9"/>
  <c r="Z597" i="16"/>
  <c r="AF597" i="16"/>
  <c r="Z156" i="16"/>
  <c r="AF156" i="16"/>
  <c r="AE268" i="17"/>
  <c r="Z268" i="17"/>
  <c r="N366" i="21"/>
  <c r="K366" i="21"/>
  <c r="AF412" i="16"/>
  <c r="Z412" i="16"/>
  <c r="N66" i="23"/>
  <c r="N14" i="23"/>
  <c r="AF391" i="16"/>
  <c r="Z391" i="16"/>
  <c r="AF447" i="16"/>
  <c r="Z447" i="16"/>
  <c r="Z87" i="16"/>
  <c r="K87" i="21"/>
  <c r="N87" i="21"/>
  <c r="AD10" i="17"/>
  <c r="Y10" i="17"/>
  <c r="AD145" i="17"/>
  <c r="Y145" i="17"/>
  <c r="N599" i="21"/>
  <c r="K599" i="21"/>
  <c r="Z599" i="16"/>
  <c r="AF599" i="16"/>
  <c r="Z307" i="16"/>
  <c r="K307" i="21"/>
  <c r="N307" i="21"/>
  <c r="Z394" i="16"/>
  <c r="AF394" i="16"/>
  <c r="AK4" i="16"/>
  <c r="AL4" i="16"/>
  <c r="AE187" i="16"/>
  <c r="Y187" i="16"/>
  <c r="X15" i="25"/>
  <c r="N5" i="23"/>
  <c r="N57" i="23"/>
  <c r="D9" i="25"/>
  <c r="X9" i="25"/>
  <c r="X14" i="25"/>
  <c r="N443" i="21"/>
  <c r="K443" i="21"/>
  <c r="N3" i="21"/>
  <c r="K3" i="21"/>
  <c r="AO27" i="8"/>
  <c r="AE27" i="8"/>
  <c r="AG27" i="8"/>
  <c r="Z601" i="16"/>
  <c r="AF601" i="16"/>
  <c r="AG5" i="8"/>
  <c r="AE53" i="8"/>
  <c r="AE199" i="16"/>
  <c r="Y199" i="16"/>
  <c r="N480" i="21"/>
  <c r="K480" i="21"/>
  <c r="AE2" i="16"/>
  <c r="AK2" i="16"/>
  <c r="AL2" i="16"/>
  <c r="N423" i="21"/>
  <c r="K423" i="21"/>
  <c r="Z72" i="16"/>
  <c r="AF72" i="16"/>
  <c r="AD144" i="17"/>
  <c r="Y144" i="17"/>
  <c r="AF421" i="16"/>
  <c r="Z421" i="16"/>
  <c r="AO51" i="8"/>
  <c r="AE51" i="8"/>
  <c r="AB51" i="23"/>
  <c r="AB103" i="23"/>
  <c r="AE73" i="17"/>
  <c r="Z73" i="17"/>
  <c r="AG75" i="23"/>
  <c r="AG23" i="23"/>
  <c r="AE122" i="17"/>
  <c r="Z122" i="17"/>
  <c r="AK7" i="8"/>
  <c r="AK7" i="9"/>
  <c r="Z76" i="16"/>
  <c r="AF76" i="16"/>
  <c r="N119" i="21"/>
  <c r="K119" i="21"/>
  <c r="Z282" i="16"/>
  <c r="AF282" i="16"/>
  <c r="AE183" i="17"/>
  <c r="Z183" i="17"/>
  <c r="AF38" i="9"/>
  <c r="AP38" i="9"/>
  <c r="AD32" i="17"/>
  <c r="Y32" i="17"/>
  <c r="Z562" i="16"/>
  <c r="K562" i="21"/>
  <c r="N562" i="21"/>
  <c r="AG31" i="8"/>
  <c r="N7" i="9"/>
  <c r="T7" i="9"/>
  <c r="AM7" i="9"/>
  <c r="AK25" i="9"/>
  <c r="AK25" i="8"/>
  <c r="Y40" i="16"/>
  <c r="AE40" i="16"/>
  <c r="AE55" i="16"/>
  <c r="AF86" i="16"/>
  <c r="AF560" i="16"/>
  <c r="AB9" i="21"/>
  <c r="AK7" i="7"/>
  <c r="AG7" i="23"/>
  <c r="AG59" i="23"/>
  <c r="Z119" i="16"/>
  <c r="AF119" i="16"/>
  <c r="M246" i="21"/>
  <c r="J246" i="21"/>
  <c r="AE298" i="17"/>
  <c r="Z298" i="17"/>
  <c r="AF380" i="16"/>
  <c r="Z380" i="16"/>
  <c r="AO31" i="8"/>
  <c r="AE31" i="8"/>
  <c r="AB31" i="23"/>
  <c r="AB83" i="23"/>
  <c r="AO8" i="8"/>
  <c r="AE8" i="8"/>
  <c r="AG8" i="8"/>
  <c r="AE315" i="17"/>
  <c r="Z315" i="17"/>
  <c r="AF443" i="16"/>
  <c r="Z443" i="16"/>
  <c r="AK25" i="6"/>
  <c r="AK25" i="7"/>
  <c r="AG25" i="23"/>
  <c r="AG77" i="23"/>
  <c r="U29" i="29"/>
  <c r="AM47" i="7"/>
  <c r="R29" i="29"/>
  <c r="AF225" i="16"/>
  <c r="Z225" i="16"/>
  <c r="Z494" i="16"/>
  <c r="AF494" i="16"/>
  <c r="N232" i="21"/>
  <c r="K232" i="21"/>
  <c r="AE59" i="17"/>
  <c r="Z59" i="17"/>
  <c r="AE93" i="16"/>
  <c r="AL38" i="9"/>
  <c r="AJ38" i="9"/>
  <c r="N315" i="21"/>
  <c r="K315" i="21"/>
  <c r="N14" i="21"/>
  <c r="K14" i="21"/>
  <c r="AF511" i="16"/>
  <c r="N31" i="21"/>
  <c r="K31" i="21"/>
  <c r="M200" i="21"/>
  <c r="J200" i="21"/>
  <c r="M242" i="21"/>
  <c r="J242" i="21"/>
  <c r="AF449" i="16"/>
  <c r="Z449" i="16"/>
  <c r="N105" i="21"/>
  <c r="K105" i="21"/>
  <c r="M140" i="21"/>
  <c r="J140" i="21"/>
  <c r="AE20" i="17"/>
  <c r="Z20" i="17"/>
  <c r="AD131" i="17"/>
  <c r="Y131" i="17"/>
  <c r="AG48" i="9"/>
  <c r="AE48" i="9"/>
  <c r="AO48" i="9"/>
  <c r="M8" i="21"/>
  <c r="J8" i="21"/>
  <c r="N376" i="21"/>
  <c r="K376" i="21"/>
  <c r="N359" i="21"/>
  <c r="K359" i="21"/>
  <c r="AL22" i="8"/>
  <c r="AJ22" i="8"/>
  <c r="AL38" i="8"/>
  <c r="AJ38" i="8"/>
  <c r="AF63" i="23"/>
  <c r="AF11" i="23"/>
  <c r="AE289" i="17"/>
  <c r="Z289" i="17"/>
  <c r="AD85" i="17"/>
  <c r="Y85" i="17"/>
  <c r="N167" i="21"/>
  <c r="K167" i="21"/>
  <c r="AC63" i="23"/>
  <c r="AC11" i="23"/>
  <c r="AF11" i="8"/>
  <c r="AP11" i="8"/>
  <c r="M43" i="21"/>
  <c r="J43" i="21"/>
  <c r="AL47" i="9"/>
  <c r="AJ47" i="9"/>
  <c r="N233" i="21"/>
  <c r="K233" i="21"/>
  <c r="AF315" i="16"/>
  <c r="Z315" i="16"/>
  <c r="AM28" i="8"/>
  <c r="T28" i="8"/>
  <c r="N28" i="8"/>
  <c r="AF344" i="16"/>
  <c r="Z344" i="16"/>
  <c r="M12" i="21"/>
  <c r="J12" i="21"/>
  <c r="AF372" i="16"/>
  <c r="Z372" i="16"/>
  <c r="M255" i="21"/>
  <c r="J255" i="21"/>
  <c r="AE296" i="17"/>
  <c r="Z296" i="17"/>
  <c r="AB102" i="23"/>
  <c r="AB50" i="23"/>
  <c r="AD149" i="17"/>
  <c r="Y149" i="17"/>
  <c r="N10" i="21"/>
  <c r="K10" i="21"/>
  <c r="N519" i="21"/>
  <c r="K519" i="21"/>
  <c r="N155" i="21"/>
  <c r="K155" i="21"/>
  <c r="M240" i="21"/>
  <c r="J240" i="21"/>
  <c r="AO55" i="8"/>
  <c r="AO53" i="8"/>
  <c r="AF581" i="16"/>
  <c r="Z581" i="16"/>
  <c r="AL25" i="8"/>
  <c r="AJ25" i="8"/>
  <c r="AO37" i="9"/>
  <c r="AE37" i="9"/>
  <c r="AG37" i="9"/>
  <c r="AF7" i="16"/>
  <c r="Z7" i="16"/>
  <c r="AJ25" i="7"/>
  <c r="AL25" i="7"/>
  <c r="AF228" i="16"/>
  <c r="Z228" i="16"/>
  <c r="Z511" i="16"/>
  <c r="K511" i="21"/>
  <c r="N511" i="21"/>
  <c r="AF434" i="16"/>
  <c r="Z434" i="16"/>
  <c r="AK23" i="9"/>
  <c r="AK23" i="6"/>
  <c r="AK23" i="7"/>
  <c r="AK23" i="8"/>
  <c r="AE307" i="17"/>
  <c r="Z307" i="17"/>
  <c r="AD9" i="17"/>
  <c r="Y9" i="17"/>
  <c r="Z31" i="16"/>
  <c r="AF31" i="16"/>
  <c r="AE206" i="17"/>
  <c r="Z206" i="17"/>
  <c r="AF67" i="23"/>
  <c r="AF15" i="23"/>
  <c r="R11" i="25"/>
  <c r="N21" i="21"/>
  <c r="K21" i="21"/>
  <c r="Y140" i="16"/>
  <c r="AE140" i="16"/>
  <c r="N115" i="21"/>
  <c r="K115" i="21"/>
  <c r="AE331" i="17"/>
  <c r="Z331" i="17"/>
  <c r="AL17" i="9"/>
  <c r="AJ17" i="9"/>
  <c r="N379" i="21"/>
  <c r="K379" i="21"/>
  <c r="AF30" i="16"/>
  <c r="AE101" i="16"/>
  <c r="N348" i="21"/>
  <c r="K348" i="21"/>
  <c r="AC101" i="23"/>
  <c r="AC49" i="23"/>
  <c r="AF49" i="8"/>
  <c r="AP49" i="8"/>
  <c r="AF591" i="16"/>
  <c r="AF563" i="16"/>
  <c r="AF279" i="16"/>
  <c r="AL21" i="9"/>
  <c r="AJ21" i="9"/>
  <c r="AF448" i="16"/>
  <c r="Z448" i="16"/>
  <c r="N216" i="21"/>
  <c r="K216" i="21"/>
  <c r="AF220" i="16"/>
  <c r="Z220" i="16"/>
  <c r="N552" i="21"/>
  <c r="K552" i="21"/>
  <c r="N483" i="21"/>
  <c r="K483" i="21"/>
  <c r="AF401" i="16"/>
  <c r="Z401" i="16"/>
  <c r="AE257" i="16"/>
  <c r="Y257" i="16"/>
  <c r="AO5" i="8"/>
  <c r="AE5" i="8"/>
  <c r="AB5" i="23"/>
  <c r="AB57" i="23"/>
  <c r="R7" i="25"/>
  <c r="R13" i="25"/>
  <c r="AU8" i="16"/>
  <c r="AV8" i="16"/>
  <c r="AE291" i="17"/>
  <c r="Z291" i="17"/>
  <c r="AF53" i="8"/>
  <c r="AF161" i="16"/>
  <c r="Z161" i="16"/>
  <c r="AL14" i="7"/>
  <c r="AG30" i="9"/>
  <c r="AE30" i="9"/>
  <c r="AO30" i="9"/>
  <c r="AE321" i="17"/>
  <c r="Z321" i="17"/>
  <c r="Z30" i="16"/>
  <c r="K30" i="21"/>
  <c r="N30" i="21"/>
  <c r="Y101" i="16"/>
  <c r="J101" i="21"/>
  <c r="M101" i="21"/>
  <c r="AE52" i="16"/>
  <c r="AE228" i="17"/>
  <c r="Z228" i="17"/>
  <c r="AE238" i="17"/>
  <c r="Z238" i="17"/>
  <c r="N390" i="21"/>
  <c r="K390" i="21"/>
  <c r="Z591" i="16"/>
  <c r="K591" i="21"/>
  <c r="N591" i="21"/>
  <c r="AE38" i="17"/>
  <c r="Z38" i="17"/>
  <c r="AE233" i="17"/>
  <c r="Z233" i="17"/>
  <c r="AE225" i="17"/>
  <c r="Z225" i="17"/>
  <c r="Z563" i="16"/>
  <c r="K563" i="21"/>
  <c r="N563" i="21"/>
  <c r="AF184" i="16"/>
  <c r="Z184" i="16"/>
  <c r="AO23" i="9"/>
  <c r="AE23" i="9"/>
  <c r="AG23" i="9"/>
  <c r="AF224" i="16"/>
  <c r="Z224" i="16"/>
  <c r="AD33" i="17"/>
  <c r="Y33" i="17"/>
  <c r="AE308" i="17"/>
  <c r="Z308" i="17"/>
  <c r="N595" i="21"/>
  <c r="K595" i="21"/>
  <c r="Z279" i="16"/>
  <c r="K279" i="21"/>
  <c r="N279" i="21"/>
  <c r="AD93" i="17"/>
  <c r="Y93" i="17"/>
  <c r="AE47" i="17"/>
  <c r="Z47" i="17"/>
  <c r="AE15" i="17"/>
  <c r="Z15" i="17"/>
  <c r="AB78" i="23"/>
  <c r="AB26" i="23"/>
  <c r="N583" i="21"/>
  <c r="K583" i="21"/>
  <c r="AF81" i="23"/>
  <c r="AF29" i="23"/>
  <c r="AE244" i="17"/>
  <c r="Z244" i="17"/>
  <c r="N369" i="21"/>
  <c r="K369" i="21"/>
  <c r="AL37" i="8"/>
  <c r="AJ37" i="8"/>
  <c r="AF177" i="16"/>
  <c r="Z177" i="16"/>
  <c r="N373" i="21"/>
  <c r="K373" i="21"/>
  <c r="AP48" i="8"/>
  <c r="AF48" i="8"/>
  <c r="AC48" i="23"/>
  <c r="AC100" i="23"/>
  <c r="AG63" i="23"/>
  <c r="AG11" i="23"/>
  <c r="N23" i="9"/>
  <c r="T23" i="9"/>
  <c r="AM23" i="9"/>
  <c r="Y133" i="16"/>
  <c r="J133" i="21"/>
  <c r="M133" i="21"/>
  <c r="AF554" i="16"/>
  <c r="Z488" i="16"/>
  <c r="AF488" i="16"/>
  <c r="AE311" i="17"/>
  <c r="Z311" i="17"/>
  <c r="AJ14" i="7"/>
  <c r="AJ14" i="9"/>
  <c r="AL14" i="9"/>
  <c r="AF303" i="16"/>
  <c r="N438" i="21"/>
  <c r="K438" i="21"/>
  <c r="N524" i="21"/>
  <c r="K524" i="21"/>
  <c r="AL53" i="7"/>
  <c r="N16" i="8"/>
  <c r="T16" i="8"/>
  <c r="AM16" i="8"/>
  <c r="AF210" i="16"/>
  <c r="Z210" i="16"/>
  <c r="Y52" i="16"/>
  <c r="J52" i="21"/>
  <c r="M52" i="21"/>
  <c r="AE262" i="17"/>
  <c r="Z262" i="17"/>
  <c r="Z595" i="16"/>
  <c r="AF595" i="16"/>
  <c r="AP13" i="8"/>
  <c r="AF13" i="8"/>
  <c r="AC13" i="23"/>
  <c r="AC65" i="23"/>
  <c r="AL9" i="8"/>
  <c r="AJ9" i="8"/>
  <c r="N33" i="8"/>
  <c r="T33" i="8"/>
  <c r="AM33" i="8"/>
  <c r="AF17" i="16"/>
  <c r="AM45" i="8"/>
  <c r="T45" i="8"/>
  <c r="N45" i="8"/>
  <c r="AF145" i="16"/>
  <c r="AG88" i="23"/>
  <c r="AG36" i="23"/>
  <c r="N585" i="21"/>
  <c r="K585" i="21"/>
  <c r="M243" i="21"/>
  <c r="J243" i="21"/>
  <c r="AL5" i="7"/>
  <c r="AM37" i="9"/>
  <c r="T37" i="9"/>
  <c r="N37" i="9"/>
  <c r="AB80" i="23"/>
  <c r="AB28" i="23"/>
  <c r="N422" i="21"/>
  <c r="K422" i="21"/>
  <c r="N125" i="21"/>
  <c r="K125" i="21"/>
  <c r="AE19" i="17"/>
  <c r="Z19" i="17"/>
  <c r="N270" i="21"/>
  <c r="K270" i="21"/>
  <c r="AF324" i="16"/>
  <c r="Z324" i="16"/>
  <c r="AP38" i="8"/>
  <c r="AF38" i="8"/>
  <c r="AC38" i="23"/>
  <c r="AC90" i="23"/>
  <c r="AF396" i="16"/>
  <c r="Z396" i="16"/>
  <c r="AF281" i="16"/>
  <c r="AF466" i="16"/>
  <c r="Z466" i="16"/>
  <c r="AP40" i="8"/>
  <c r="AF40" i="8"/>
  <c r="AC40" i="23"/>
  <c r="AC92" i="23"/>
  <c r="Z85" i="16"/>
  <c r="AF85" i="16"/>
  <c r="Z303" i="16"/>
  <c r="K303" i="21"/>
  <c r="N303" i="21"/>
  <c r="N179" i="21"/>
  <c r="K179" i="21"/>
  <c r="AM53" i="9"/>
  <c r="F48" i="5"/>
  <c r="F49" i="5"/>
  <c r="AL21" i="8"/>
  <c r="AJ21" i="8"/>
  <c r="AD132" i="17"/>
  <c r="Y132" i="17"/>
  <c r="Z524" i="16"/>
  <c r="AF524" i="16"/>
  <c r="AE159" i="17"/>
  <c r="Z159" i="17"/>
  <c r="N103" i="23"/>
  <c r="N51" i="23"/>
  <c r="AF536" i="16"/>
  <c r="AE6" i="16"/>
  <c r="Y6" i="16"/>
  <c r="U32" i="29"/>
  <c r="AM50" i="7"/>
  <c r="R32" i="29"/>
  <c r="AE316" i="17"/>
  <c r="Z316" i="17"/>
  <c r="N455" i="21"/>
  <c r="K455" i="21"/>
  <c r="AE202" i="16"/>
  <c r="Y202" i="16"/>
  <c r="AE265" i="17"/>
  <c r="Z265" i="17"/>
  <c r="AE190" i="17"/>
  <c r="Z190" i="17"/>
  <c r="AE42" i="17"/>
  <c r="Z42" i="17"/>
  <c r="Z17" i="16"/>
  <c r="K17" i="21"/>
  <c r="N17" i="21"/>
  <c r="AF404" i="16"/>
  <c r="Z404" i="16"/>
  <c r="AL35" i="9"/>
  <c r="AJ35" i="9"/>
  <c r="AE153" i="17"/>
  <c r="Z153" i="17"/>
  <c r="N226" i="21"/>
  <c r="K226" i="21"/>
  <c r="AF40" i="9"/>
  <c r="AP40" i="9"/>
  <c r="AF47" i="9"/>
  <c r="AP47" i="9"/>
  <c r="M201" i="21"/>
  <c r="J201" i="21"/>
  <c r="N531" i="21"/>
  <c r="K531" i="21"/>
  <c r="AM25" i="9"/>
  <c r="T25" i="9"/>
  <c r="N25" i="9"/>
  <c r="Z166" i="17"/>
  <c r="AE166" i="17"/>
  <c r="AJ8" i="17"/>
  <c r="AM25" i="8"/>
  <c r="T25" i="8"/>
  <c r="N25" i="8"/>
  <c r="R19" i="29"/>
  <c r="AM36" i="7"/>
  <c r="U19" i="29"/>
  <c r="AL11" i="9"/>
  <c r="AJ11" i="9"/>
  <c r="AF93" i="23"/>
  <c r="AF41" i="23"/>
  <c r="AF27" i="9"/>
  <c r="AP27" i="9"/>
  <c r="AB65" i="23"/>
  <c r="AB13" i="23"/>
  <c r="R12" i="29"/>
  <c r="AM30" i="7"/>
  <c r="U12" i="29"/>
  <c r="AE51" i="16"/>
  <c r="AF277" i="16"/>
  <c r="AU3" i="16"/>
  <c r="AV3" i="16"/>
  <c r="AF308" i="16"/>
  <c r="N329" i="21"/>
  <c r="K329" i="21"/>
  <c r="Z86" i="16"/>
  <c r="K86" i="21"/>
  <c r="N86" i="21"/>
  <c r="N550" i="21"/>
  <c r="K550" i="21"/>
  <c r="AL36" i="9"/>
  <c r="AJ36" i="9"/>
  <c r="AL19" i="8"/>
  <c r="AJ19" i="8"/>
  <c r="AE207" i="16"/>
  <c r="Y207" i="16"/>
  <c r="AF152" i="16"/>
  <c r="AF98" i="23"/>
  <c r="AF46" i="23"/>
  <c r="Z554" i="16"/>
  <c r="K554" i="21"/>
  <c r="N554" i="21"/>
  <c r="AF71" i="23"/>
  <c r="AF19" i="23"/>
  <c r="Z21" i="16"/>
  <c r="AF21" i="16"/>
  <c r="N234" i="21"/>
  <c r="K234" i="21"/>
  <c r="AE98" i="16"/>
  <c r="AL24" i="9"/>
  <c r="AJ24" i="9"/>
  <c r="AD84" i="17"/>
  <c r="Y84" i="17"/>
  <c r="M187" i="21"/>
  <c r="J187" i="21"/>
  <c r="Z560" i="16"/>
  <c r="K560" i="21"/>
  <c r="N560" i="21"/>
  <c r="AF44" i="9"/>
  <c r="AP44" i="9"/>
  <c r="N53" i="8"/>
  <c r="Y55" i="16"/>
  <c r="J55" i="21"/>
  <c r="M55" i="21"/>
  <c r="AF545" i="16"/>
  <c r="AK11" i="8"/>
  <c r="AK11" i="6"/>
  <c r="AK11" i="7"/>
  <c r="AK11" i="9"/>
  <c r="M142" i="21"/>
  <c r="J142" i="21"/>
  <c r="AE260" i="16"/>
  <c r="Y260" i="16"/>
  <c r="AF436" i="16"/>
  <c r="Z436" i="16"/>
  <c r="AD27" i="17"/>
  <c r="Y27" i="17"/>
  <c r="AM12" i="8"/>
  <c r="T12" i="8"/>
  <c r="N12" i="8"/>
  <c r="AF482" i="16"/>
  <c r="Z482" i="16"/>
  <c r="Z281" i="16"/>
  <c r="K281" i="21"/>
  <c r="N281" i="21"/>
  <c r="Y93" i="16"/>
  <c r="J93" i="21"/>
  <c r="M93" i="21"/>
  <c r="N465" i="21"/>
  <c r="K465" i="21"/>
  <c r="AJ10" i="7"/>
  <c r="AJ10" i="9"/>
  <c r="AL10" i="9"/>
  <c r="AF376" i="16"/>
  <c r="Z376" i="16"/>
  <c r="AF432" i="16"/>
  <c r="Z432" i="16"/>
  <c r="AF294" i="16"/>
  <c r="AE199" i="17"/>
  <c r="Z199" i="17"/>
  <c r="U7" i="29"/>
  <c r="AM19" i="7"/>
  <c r="R7" i="29"/>
  <c r="AF399" i="16"/>
  <c r="Z399" i="16"/>
  <c r="AE51" i="17"/>
  <c r="Z51" i="17"/>
  <c r="AL46" i="7"/>
  <c r="AF274" i="16"/>
  <c r="Z274" i="16"/>
  <c r="AK53" i="9"/>
  <c r="AE123" i="17"/>
  <c r="Z123" i="17"/>
  <c r="Z543" i="16"/>
  <c r="AF543" i="16"/>
  <c r="Z18" i="16"/>
  <c r="AF18" i="16"/>
  <c r="AF13" i="16"/>
  <c r="Z13" i="16"/>
  <c r="Y51" i="16"/>
  <c r="J51" i="21"/>
  <c r="M51" i="21"/>
  <c r="N326" i="21"/>
  <c r="K326" i="21"/>
  <c r="AF183" i="16"/>
  <c r="Z183" i="16"/>
  <c r="AO26" i="8"/>
  <c r="AE26" i="8"/>
  <c r="AG26" i="8"/>
  <c r="N80" i="23"/>
  <c r="N28" i="23"/>
  <c r="Z308" i="16"/>
  <c r="K308" i="21"/>
  <c r="N308" i="21"/>
  <c r="Z105" i="16"/>
  <c r="AF105" i="16"/>
  <c r="N16" i="9"/>
  <c r="T16" i="9"/>
  <c r="AM16" i="9"/>
  <c r="Z550" i="16"/>
  <c r="AF550" i="16"/>
  <c r="Z115" i="16"/>
  <c r="AF115" i="16"/>
  <c r="AL9" i="9"/>
  <c r="AJ9" i="9"/>
  <c r="Z152" i="16"/>
  <c r="K152" i="21"/>
  <c r="N152" i="21"/>
  <c r="AD83" i="17"/>
  <c r="Y83" i="17"/>
  <c r="AE266" i="17"/>
  <c r="Z266" i="17"/>
  <c r="Z536" i="16"/>
  <c r="K536" i="21"/>
  <c r="N536" i="21"/>
  <c r="AD95" i="17"/>
  <c r="Y95" i="17"/>
  <c r="Y98" i="16"/>
  <c r="J98" i="21"/>
  <c r="M98" i="21"/>
  <c r="AJ38" i="7"/>
  <c r="AL38" i="7"/>
  <c r="Z545" i="16"/>
  <c r="K545" i="21"/>
  <c r="N545" i="21"/>
  <c r="T53" i="8"/>
  <c r="N5" i="8"/>
  <c r="T5" i="8"/>
  <c r="AM5" i="8"/>
  <c r="AE273" i="17"/>
  <c r="Z273" i="17"/>
  <c r="Y43" i="16"/>
  <c r="AE43" i="16"/>
  <c r="N42" i="9"/>
  <c r="T42" i="9"/>
  <c r="AM42" i="9"/>
  <c r="Y3" i="16"/>
  <c r="AE3" i="16"/>
  <c r="AO50" i="8"/>
  <c r="AE50" i="8"/>
  <c r="AG50" i="8"/>
  <c r="Z3" i="16"/>
  <c r="AF3" i="16"/>
  <c r="AP42" i="8"/>
  <c r="AF42" i="8"/>
  <c r="AC42" i="23"/>
  <c r="AC94" i="23"/>
  <c r="Z519" i="16"/>
  <c r="AF519" i="16"/>
  <c r="AF327" i="16"/>
  <c r="Z327" i="16"/>
  <c r="N458" i="21"/>
  <c r="K458" i="21"/>
  <c r="AE4" i="16"/>
  <c r="Y4" i="16"/>
  <c r="N418" i="21"/>
  <c r="K418" i="21"/>
  <c r="N341" i="21"/>
  <c r="K341" i="21"/>
  <c r="AF58" i="23"/>
  <c r="AF6" i="23"/>
  <c r="AF477" i="16"/>
  <c r="Z477" i="16"/>
  <c r="AP12" i="9"/>
  <c r="AF12" i="9"/>
  <c r="AF584" i="16"/>
  <c r="Z584" i="16"/>
  <c r="AF19" i="9"/>
  <c r="AP19" i="9"/>
  <c r="AE13" i="16"/>
  <c r="Y13" i="16"/>
  <c r="AF25" i="9"/>
  <c r="AP25" i="9"/>
  <c r="L63" i="6"/>
  <c r="AE213" i="17"/>
  <c r="Z213" i="17"/>
  <c r="AK45" i="8"/>
  <c r="AK45" i="9"/>
  <c r="AE217" i="17"/>
  <c r="Z217" i="17"/>
  <c r="AL34" i="9"/>
  <c r="AJ34" i="9"/>
  <c r="AM34" i="8"/>
  <c r="T34" i="8"/>
  <c r="N34" i="8"/>
  <c r="AB77" i="23"/>
  <c r="AB25" i="23"/>
  <c r="AF389" i="16"/>
  <c r="Z389" i="16"/>
  <c r="AF375" i="16"/>
  <c r="Z375" i="16"/>
  <c r="AI7" i="21"/>
  <c r="U7" i="21"/>
  <c r="M2" i="21"/>
  <c r="Y142" i="16"/>
  <c r="AE142" i="16"/>
  <c r="N559" i="21"/>
  <c r="K559" i="21"/>
  <c r="AE11" i="17"/>
  <c r="Z11" i="17"/>
  <c r="N168" i="21"/>
  <c r="K168" i="21"/>
  <c r="AL36" i="7"/>
  <c r="AD4" i="17"/>
  <c r="Y4" i="17"/>
  <c r="Z294" i="16"/>
  <c r="K294" i="21"/>
  <c r="N294" i="21"/>
  <c r="R10" i="29"/>
  <c r="AM26" i="7"/>
  <c r="U10" i="29"/>
  <c r="Z145" i="16"/>
  <c r="K145" i="21"/>
  <c r="N145" i="21"/>
  <c r="AF370" i="16"/>
  <c r="Z370" i="16"/>
  <c r="AE190" i="16"/>
  <c r="Y190" i="16"/>
  <c r="E15" i="29"/>
  <c r="AM9" i="7"/>
  <c r="H15" i="29"/>
  <c r="AE328" i="17"/>
  <c r="Z328" i="17"/>
  <c r="AF579" i="16"/>
  <c r="Z579" i="16"/>
  <c r="N290" i="21"/>
  <c r="K290" i="21"/>
  <c r="AF367" i="16"/>
  <c r="Z367" i="16"/>
  <c r="AL37" i="7"/>
  <c r="AP30" i="8"/>
  <c r="AF30" i="8"/>
  <c r="AC30" i="23"/>
  <c r="AC82" i="23"/>
  <c r="N407" i="21"/>
  <c r="K407" i="21"/>
  <c r="N565" i="21"/>
  <c r="K565" i="21"/>
  <c r="AE62" i="17"/>
  <c r="Z62" i="17"/>
  <c r="AE69" i="17"/>
  <c r="Z69" i="17"/>
  <c r="N53" i="7"/>
  <c r="N58" i="7"/>
  <c r="AM24" i="9"/>
  <c r="T24" i="9"/>
  <c r="N24" i="9"/>
  <c r="AK45" i="6"/>
  <c r="AK45" i="7"/>
  <c r="AG45" i="23"/>
  <c r="AG97" i="23"/>
  <c r="N30" i="8"/>
  <c r="T30" i="8"/>
  <c r="AM30" i="8"/>
  <c r="AE323" i="17"/>
  <c r="Z323" i="17"/>
  <c r="AE196" i="17"/>
  <c r="Z196" i="17"/>
  <c r="AL11" i="8"/>
  <c r="AJ11" i="8"/>
  <c r="AG25" i="9"/>
  <c r="AE25" i="9"/>
  <c r="AO25" i="9"/>
  <c r="AO28" i="9"/>
  <c r="AE28" i="9"/>
  <c r="AG28" i="9"/>
  <c r="N219" i="21"/>
  <c r="K219" i="21"/>
  <c r="AF333" i="16"/>
  <c r="Z333" i="16"/>
  <c r="AF60" i="23"/>
  <c r="AF8" i="23"/>
  <c r="AE109" i="17"/>
  <c r="Z109" i="17"/>
  <c r="AC102" i="23"/>
  <c r="AC50" i="23"/>
  <c r="AF50" i="8"/>
  <c r="AP50" i="8"/>
  <c r="M207" i="21"/>
  <c r="J207" i="21"/>
  <c r="AD31" i="17"/>
  <c r="Y31" i="17"/>
  <c r="AF58" i="7"/>
  <c r="AE58" i="7"/>
  <c r="AF271" i="16"/>
  <c r="Z271" i="16"/>
  <c r="AG41" i="9"/>
  <c r="AE41" i="9"/>
  <c r="AO41" i="9"/>
  <c r="AL20" i="8"/>
  <c r="AJ20" i="8"/>
  <c r="AF59" i="23"/>
  <c r="AF7" i="23"/>
  <c r="AB87" i="23"/>
  <c r="AB35" i="23"/>
  <c r="AE278" i="17"/>
  <c r="Z278" i="17"/>
  <c r="AL16" i="8"/>
  <c r="AJ16" i="8"/>
  <c r="T49" i="7"/>
  <c r="AO49" i="9"/>
  <c r="AE49" i="9"/>
  <c r="AG49" i="9"/>
  <c r="R8" i="29"/>
  <c r="AM25" i="7"/>
  <c r="U8" i="29"/>
  <c r="AE117" i="17"/>
  <c r="Z117" i="17"/>
  <c r="N526" i="21"/>
  <c r="K526" i="21"/>
  <c r="AO14" i="9"/>
  <c r="AE14" i="9"/>
  <c r="AG14" i="9"/>
  <c r="AE150" i="17"/>
  <c r="Z150" i="17"/>
  <c r="AJ37" i="7"/>
  <c r="AF37" i="23"/>
  <c r="AF89" i="23"/>
  <c r="N333" i="21"/>
  <c r="K333" i="21"/>
  <c r="AG98" i="23"/>
  <c r="AG46" i="23"/>
  <c r="AF158" i="16"/>
  <c r="Z158" i="16"/>
  <c r="AE261" i="16"/>
  <c r="Y261" i="16"/>
  <c r="AF474" i="16"/>
  <c r="Z474" i="16"/>
  <c r="Z565" i="16"/>
  <c r="AF565" i="16"/>
  <c r="AG33" i="9"/>
  <c r="AE33" i="9"/>
  <c r="AO33" i="9"/>
  <c r="AF525" i="16"/>
  <c r="AE185" i="17"/>
  <c r="Z185" i="17"/>
  <c r="AF406" i="16"/>
  <c r="Z406" i="16"/>
  <c r="AF371" i="16"/>
  <c r="Z371" i="16"/>
  <c r="N9" i="23"/>
  <c r="N61" i="23"/>
  <c r="AB63" i="23"/>
  <c r="AB11" i="23"/>
  <c r="Z526" i="16"/>
  <c r="AF526" i="16"/>
  <c r="M92" i="21"/>
  <c r="J92" i="21"/>
  <c r="AO9" i="9"/>
  <c r="AE9" i="9"/>
  <c r="AG9" i="9"/>
  <c r="AF316" i="16"/>
  <c r="Z316" i="16"/>
  <c r="AC84" i="23"/>
  <c r="AC32" i="23"/>
  <c r="T32" i="7"/>
  <c r="AP32" i="8"/>
  <c r="AF32" i="8"/>
  <c r="AD29" i="17"/>
  <c r="Y29" i="17"/>
  <c r="AJ25" i="6"/>
  <c r="N25" i="6"/>
  <c r="N25" i="7"/>
  <c r="T25" i="7"/>
  <c r="AO25" i="8"/>
  <c r="AE25" i="8"/>
  <c r="AG25" i="8"/>
  <c r="AB67" i="23"/>
  <c r="AB15" i="23"/>
  <c r="AL50" i="7"/>
  <c r="AE195" i="16"/>
  <c r="Y195" i="16"/>
  <c r="AF353" i="16"/>
  <c r="Z353" i="16"/>
  <c r="AL39" i="7"/>
  <c r="AL31" i="7"/>
  <c r="AF45" i="9"/>
  <c r="AP45" i="9"/>
  <c r="AE14" i="16"/>
  <c r="Y14" i="16"/>
  <c r="AE65" i="17"/>
  <c r="Z65" i="17"/>
  <c r="N22" i="8"/>
  <c r="T22" i="8"/>
  <c r="AM22" i="8"/>
  <c r="AE294" i="17"/>
  <c r="Z294" i="17"/>
  <c r="Z525" i="16"/>
  <c r="K525" i="21"/>
  <c r="N525" i="21"/>
  <c r="AD133" i="17"/>
  <c r="Y133" i="17"/>
  <c r="N323" i="21"/>
  <c r="K323" i="21"/>
  <c r="AM48" i="9"/>
  <c r="T48" i="9"/>
  <c r="N48" i="9"/>
  <c r="AF85" i="23"/>
  <c r="AF33" i="23"/>
  <c r="AB86" i="23"/>
  <c r="AB34" i="23"/>
  <c r="AO11" i="8"/>
  <c r="AE11" i="8"/>
  <c r="AG11" i="8"/>
  <c r="T50" i="7"/>
  <c r="AO50" i="9"/>
  <c r="AE50" i="9"/>
  <c r="AG50" i="9"/>
  <c r="AD77" i="17"/>
  <c r="Y77" i="17"/>
  <c r="AF33" i="16"/>
  <c r="U13" i="29"/>
  <c r="AM31" i="7"/>
  <c r="R13" i="29"/>
  <c r="N436" i="21"/>
  <c r="K436" i="21"/>
  <c r="AF166" i="16"/>
  <c r="Z166" i="16"/>
  <c r="AF347" i="16"/>
  <c r="Z347" i="16"/>
  <c r="AG61" i="23"/>
  <c r="AG9" i="23"/>
  <c r="AL20" i="7"/>
  <c r="N13" i="9"/>
  <c r="T13" i="9"/>
  <c r="AM13" i="9"/>
  <c r="AF68" i="23"/>
  <c r="AF16" i="23"/>
  <c r="AE239" i="17"/>
  <c r="Z239" i="17"/>
  <c r="AF264" i="16"/>
  <c r="Z264" i="16"/>
  <c r="N100" i="23"/>
  <c r="N48" i="23"/>
  <c r="AG21" i="9"/>
  <c r="AE21" i="9"/>
  <c r="AO21" i="9"/>
  <c r="D52" i="5"/>
  <c r="AM53" i="7"/>
  <c r="D48" i="5"/>
  <c r="D49" i="5"/>
  <c r="N36" i="8"/>
  <c r="T36" i="8"/>
  <c r="AM36" i="8"/>
  <c r="AK21" i="9"/>
  <c r="AK21" i="8"/>
  <c r="AE264" i="17"/>
  <c r="Z264" i="17"/>
  <c r="AF467" i="16"/>
  <c r="Z467" i="16"/>
  <c r="AE54" i="17"/>
  <c r="Z54" i="17"/>
  <c r="AJ11" i="7"/>
  <c r="AL11" i="7"/>
  <c r="AE340" i="17"/>
  <c r="Z340" i="17"/>
  <c r="N157" i="21"/>
  <c r="K157" i="21"/>
  <c r="AJ41" i="7"/>
  <c r="AL41" i="7"/>
  <c r="N272" i="21"/>
  <c r="K272" i="21"/>
  <c r="Z552" i="16"/>
  <c r="AF552" i="16"/>
  <c r="AF36" i="9"/>
  <c r="AP36" i="9"/>
  <c r="AO28" i="8"/>
  <c r="AE28" i="8"/>
  <c r="AG28" i="8"/>
  <c r="N22" i="9"/>
  <c r="T22" i="9"/>
  <c r="AM22" i="9"/>
  <c r="AK46" i="8"/>
  <c r="AK46" i="6"/>
  <c r="AK46" i="7"/>
  <c r="AK46" i="9"/>
  <c r="U6" i="29"/>
  <c r="AM18" i="7"/>
  <c r="R6" i="29"/>
  <c r="N213" i="21"/>
  <c r="K213" i="21"/>
  <c r="AO13" i="8"/>
  <c r="AE13" i="8"/>
  <c r="AG13" i="8"/>
  <c r="N561" i="21"/>
  <c r="K561" i="21"/>
  <c r="AF230" i="16"/>
  <c r="Z230" i="16"/>
  <c r="AF212" i="16"/>
  <c r="Z212" i="16"/>
  <c r="Z33" i="16"/>
  <c r="K33" i="21"/>
  <c r="N33" i="21"/>
  <c r="AE336" i="17"/>
  <c r="Z336" i="17"/>
  <c r="AE334" i="17"/>
  <c r="Z334" i="17"/>
  <c r="AF84" i="23"/>
  <c r="AF32" i="23"/>
  <c r="AE106" i="17"/>
  <c r="Z106" i="17"/>
  <c r="AC62" i="23"/>
  <c r="AC10" i="23"/>
  <c r="AF10" i="8"/>
  <c r="AP10" i="8"/>
  <c r="AF444" i="16"/>
  <c r="Z444" i="16"/>
  <c r="AJ20" i="7"/>
  <c r="AJ20" i="9"/>
  <c r="AL20" i="9"/>
  <c r="N374" i="21"/>
  <c r="K374" i="21"/>
  <c r="N215" i="21"/>
  <c r="K215" i="21"/>
  <c r="AG78" i="23"/>
  <c r="AG26" i="23"/>
  <c r="N9" i="21"/>
  <c r="K9" i="21"/>
  <c r="AE71" i="17"/>
  <c r="Z71" i="17"/>
  <c r="AF305" i="16"/>
  <c r="AF209" i="16"/>
  <c r="Z209" i="16"/>
  <c r="AB92" i="23"/>
  <c r="AB40" i="23"/>
  <c r="AG19" i="8"/>
  <c r="AG30" i="8"/>
  <c r="N82" i="21"/>
  <c r="K82" i="21"/>
  <c r="N575" i="21"/>
  <c r="K575" i="21"/>
  <c r="AL49" i="7"/>
  <c r="AB89" i="23"/>
  <c r="AB37" i="23"/>
  <c r="AF587" i="16"/>
  <c r="Z587" i="16"/>
  <c r="AE39" i="17"/>
  <c r="Z39" i="17"/>
  <c r="AK15" i="9"/>
  <c r="AK15" i="8"/>
  <c r="AF431" i="16"/>
  <c r="Z431" i="16"/>
  <c r="AJ53" i="9"/>
  <c r="AJ5" i="7"/>
  <c r="AJ5" i="9"/>
  <c r="AL5" i="9"/>
  <c r="Z155" i="16"/>
  <c r="AF155" i="16"/>
  <c r="N9" i="9"/>
  <c r="T9" i="9"/>
  <c r="AM9" i="9"/>
  <c r="AE186" i="17"/>
  <c r="Z186" i="17"/>
  <c r="AF373" i="16"/>
  <c r="Z373" i="16"/>
  <c r="T34" i="7"/>
  <c r="AO34" i="8"/>
  <c r="AE34" i="8"/>
  <c r="AG34" i="8"/>
  <c r="AJ29" i="7"/>
  <c r="AL29" i="7"/>
  <c r="N362" i="21"/>
  <c r="K362" i="21"/>
  <c r="AK9" i="8"/>
  <c r="AK9" i="7"/>
  <c r="AK9" i="9"/>
  <c r="AE179" i="17"/>
  <c r="Z179" i="17"/>
  <c r="AM10" i="9"/>
  <c r="N10" i="9"/>
  <c r="T10" i="9"/>
  <c r="AM23" i="8"/>
  <c r="T23" i="8"/>
  <c r="N23" i="8"/>
  <c r="N158" i="21"/>
  <c r="K158" i="21"/>
  <c r="AJ46" i="7"/>
  <c r="AJ46" i="9"/>
  <c r="AL46" i="9"/>
  <c r="AL23" i="7"/>
  <c r="I14" i="29"/>
  <c r="AM14" i="7"/>
  <c r="F14" i="29"/>
  <c r="AG96" i="23"/>
  <c r="AG44" i="23"/>
  <c r="AF179" i="16"/>
  <c r="Z179" i="16"/>
  <c r="AM42" i="8"/>
  <c r="T42" i="8"/>
  <c r="N42" i="8"/>
  <c r="AF92" i="23"/>
  <c r="AF40" i="23"/>
  <c r="AF542" i="16"/>
  <c r="AF507" i="16"/>
  <c r="AE252" i="16"/>
  <c r="Y252" i="16"/>
  <c r="Z305" i="16"/>
  <c r="K305" i="21"/>
  <c r="N305" i="21"/>
  <c r="AE48" i="17"/>
  <c r="Z48" i="17"/>
  <c r="AF64" i="23"/>
  <c r="AF12" i="23"/>
  <c r="AM8" i="9"/>
  <c r="T8" i="9"/>
  <c r="N8" i="9"/>
  <c r="AO30" i="8"/>
  <c r="AE30" i="8"/>
  <c r="AB30" i="23"/>
  <c r="AB82" i="23"/>
  <c r="AF272" i="16"/>
  <c r="Z272" i="16"/>
  <c r="AG17" i="9"/>
  <c r="AE17" i="9"/>
  <c r="AO17" i="9"/>
  <c r="AE302" i="17"/>
  <c r="Z302" i="17"/>
  <c r="AK44" i="8"/>
  <c r="AK44" i="6"/>
  <c r="AK44" i="7"/>
  <c r="AK44" i="9"/>
  <c r="AE300" i="17"/>
  <c r="Z300" i="17"/>
  <c r="N19" i="9"/>
  <c r="T19" i="9"/>
  <c r="AM19" i="9"/>
  <c r="N51" i="8"/>
  <c r="T51" i="8"/>
  <c r="AM51" i="8"/>
  <c r="AJ23" i="7"/>
  <c r="AJ23" i="9"/>
  <c r="AL23" i="9"/>
  <c r="AP37" i="8"/>
  <c r="AF37" i="8"/>
  <c r="AC37" i="23"/>
  <c r="AC89" i="23"/>
  <c r="N41" i="8"/>
  <c r="T41" i="8"/>
  <c r="AM41" i="8"/>
  <c r="AE341" i="17"/>
  <c r="Z341" i="17"/>
  <c r="AF580" i="16"/>
  <c r="Z580" i="16"/>
  <c r="AF217" i="16"/>
  <c r="Z217" i="16"/>
  <c r="N6" i="9"/>
  <c r="T6" i="9"/>
  <c r="AM6" i="9"/>
  <c r="AE53" i="9"/>
  <c r="AG5" i="9"/>
  <c r="AE5" i="9"/>
  <c r="AO5" i="9"/>
  <c r="Z542" i="16"/>
  <c r="K542" i="21"/>
  <c r="N542" i="21"/>
  <c r="AE56" i="17"/>
  <c r="Z56" i="17"/>
  <c r="Z507" i="16"/>
  <c r="K507" i="21"/>
  <c r="N507" i="21"/>
  <c r="Z531" i="16"/>
  <c r="AF531" i="16"/>
  <c r="AE317" i="17"/>
  <c r="Z317" i="17"/>
  <c r="M251" i="21"/>
  <c r="J251" i="21"/>
  <c r="Z561" i="16"/>
  <c r="AF561" i="16"/>
  <c r="AG74" i="23"/>
  <c r="AG22" i="23"/>
  <c r="AE314" i="17"/>
  <c r="Z314" i="17"/>
  <c r="M7" i="21"/>
  <c r="J7" i="21"/>
  <c r="AF288" i="16"/>
  <c r="AF170" i="16"/>
  <c r="Z170" i="16"/>
  <c r="AL42" i="7"/>
  <c r="AE172" i="17"/>
  <c r="Z172" i="17"/>
  <c r="AD75" i="17"/>
  <c r="Y75" i="17"/>
  <c r="AL15" i="9"/>
  <c r="AJ15" i="9"/>
  <c r="AF313" i="16"/>
  <c r="Z313" i="16"/>
  <c r="N582" i="21"/>
  <c r="K582" i="21"/>
  <c r="Z165" i="17"/>
  <c r="AE165" i="17"/>
  <c r="AE9" i="21"/>
  <c r="AJ36" i="7"/>
  <c r="AF36" i="23"/>
  <c r="AF88" i="23"/>
  <c r="AE224" i="17"/>
  <c r="Z224" i="17"/>
  <c r="AE221" i="17"/>
  <c r="Z221" i="17"/>
  <c r="N45" i="9"/>
  <c r="T45" i="9"/>
  <c r="AM45" i="9"/>
  <c r="AF35" i="9"/>
  <c r="AP35" i="9"/>
  <c r="AE344" i="17"/>
  <c r="Z344" i="17"/>
  <c r="AE349" i="17"/>
  <c r="Z349" i="17"/>
  <c r="AK26" i="9"/>
  <c r="AK26" i="6"/>
  <c r="AK26" i="7"/>
  <c r="AK26" i="8"/>
  <c r="AE152" i="17"/>
  <c r="Z152" i="17"/>
  <c r="AJ42" i="7"/>
  <c r="AJ42" i="9"/>
  <c r="AL42" i="9"/>
  <c r="AF8" i="9"/>
  <c r="AP8" i="9"/>
  <c r="AF429" i="16"/>
  <c r="Z429" i="16"/>
  <c r="AJ39" i="7"/>
  <c r="AJ39" i="9"/>
  <c r="AL39" i="9"/>
  <c r="AF557" i="16"/>
  <c r="AD34" i="17"/>
  <c r="Y34" i="17"/>
  <c r="AJ49" i="7"/>
  <c r="AF49" i="23"/>
  <c r="AF101" i="23"/>
  <c r="AF97" i="23"/>
  <c r="AF45" i="23"/>
  <c r="AK21" i="6"/>
  <c r="AK21" i="7"/>
  <c r="AG21" i="23"/>
  <c r="AG73" i="23"/>
  <c r="AJ31" i="7"/>
  <c r="AF31" i="23"/>
  <c r="AF83" i="23"/>
  <c r="AB70" i="23"/>
  <c r="AB18" i="23"/>
  <c r="N209" i="21"/>
  <c r="K209" i="21"/>
  <c r="AE269" i="17"/>
  <c r="Z269" i="17"/>
  <c r="AE312" i="17"/>
  <c r="Z312" i="17"/>
  <c r="N120" i="21"/>
  <c r="K120" i="21"/>
  <c r="N539" i="21"/>
  <c r="K539" i="21"/>
  <c r="N289" i="21"/>
  <c r="K289" i="21"/>
  <c r="AC73" i="23"/>
  <c r="AP21" i="8"/>
  <c r="AF21" i="8"/>
  <c r="AC21" i="23"/>
  <c r="AG16" i="9"/>
  <c r="AE16" i="9"/>
  <c r="AO16" i="9"/>
  <c r="T30" i="7"/>
  <c r="AP30" i="9"/>
  <c r="AF30" i="9"/>
  <c r="N32" i="9"/>
  <c r="T32" i="9"/>
  <c r="AM32" i="9"/>
  <c r="AE240" i="17"/>
  <c r="Z240" i="17"/>
  <c r="AF39" i="9"/>
  <c r="AP39" i="9"/>
  <c r="AF378" i="16"/>
  <c r="Z378" i="16"/>
  <c r="AE198" i="16"/>
  <c r="Y198" i="16"/>
  <c r="N60" i="23"/>
  <c r="N8" i="23"/>
  <c r="AF78" i="23"/>
  <c r="AF26" i="23"/>
  <c r="AM27" i="7"/>
  <c r="Z557" i="16"/>
  <c r="K557" i="21"/>
  <c r="N557" i="21"/>
  <c r="AE168" i="17"/>
  <c r="Z168" i="17"/>
  <c r="AE203" i="16"/>
  <c r="Y203" i="16"/>
  <c r="N159" i="21"/>
  <c r="K159" i="21"/>
  <c r="AE329" i="17"/>
  <c r="Z329" i="17"/>
  <c r="N474" i="21"/>
  <c r="K474" i="21"/>
  <c r="AM14" i="9"/>
  <c r="N14" i="9"/>
  <c r="T14" i="9"/>
  <c r="N111" i="21"/>
  <c r="K111" i="21"/>
  <c r="N212" i="21"/>
  <c r="K212" i="21"/>
  <c r="AG8" i="9"/>
  <c r="AE8" i="9"/>
  <c r="AO8" i="9"/>
  <c r="AG68" i="23"/>
  <c r="AG16" i="23"/>
  <c r="AF425" i="16"/>
  <c r="Z425" i="16"/>
  <c r="AL19" i="7"/>
  <c r="N79" i="23"/>
  <c r="N27" i="23"/>
  <c r="AE12" i="17"/>
  <c r="Z12" i="17"/>
  <c r="AM21" i="8"/>
  <c r="T21" i="8"/>
  <c r="N21" i="8"/>
  <c r="AE49" i="17"/>
  <c r="Z49" i="17"/>
  <c r="AK15" i="7"/>
  <c r="AG15" i="23"/>
  <c r="AG67" i="23"/>
  <c r="AF80" i="23"/>
  <c r="AF28" i="23"/>
  <c r="AE98" i="17"/>
  <c r="Z98" i="17"/>
  <c r="AF348" i="16"/>
  <c r="Z348" i="16"/>
  <c r="AL51" i="9"/>
  <c r="AJ51" i="9"/>
  <c r="AE208" i="17"/>
  <c r="Z208" i="17"/>
  <c r="AO19" i="8"/>
  <c r="AE19" i="8"/>
  <c r="AB19" i="23"/>
  <c r="AB71" i="23"/>
  <c r="AF462" i="16"/>
  <c r="Z462" i="16"/>
  <c r="N214" i="21"/>
  <c r="K214" i="21"/>
  <c r="AG29" i="8"/>
  <c r="AF387" i="16"/>
  <c r="Z387" i="16"/>
  <c r="AD126" i="17"/>
  <c r="Y126" i="17"/>
  <c r="AP48" i="9"/>
  <c r="AF48" i="9"/>
  <c r="Z289" i="16"/>
  <c r="AF289" i="16"/>
  <c r="N18" i="9"/>
  <c r="T18" i="9"/>
  <c r="AM18" i="9"/>
  <c r="AE310" i="17"/>
  <c r="Z310" i="17"/>
  <c r="AF226" i="16"/>
  <c r="Z226" i="16"/>
  <c r="AF9" i="9"/>
  <c r="AP9" i="9"/>
  <c r="AF456" i="16"/>
  <c r="Z456" i="16"/>
  <c r="AE141" i="16"/>
  <c r="T53" i="7"/>
  <c r="AM43" i="9"/>
  <c r="T43" i="9"/>
  <c r="N43" i="9"/>
  <c r="AD80" i="17"/>
  <c r="Y80" i="17"/>
  <c r="N466" i="21"/>
  <c r="K466" i="21"/>
  <c r="N12" i="23"/>
  <c r="N64" i="23"/>
  <c r="AE13" i="17"/>
  <c r="Z13" i="17"/>
  <c r="N321" i="21"/>
  <c r="K321" i="21"/>
  <c r="AL13" i="9"/>
  <c r="AJ13" i="9"/>
  <c r="AE97" i="16"/>
  <c r="AG47" i="9"/>
  <c r="AE47" i="9"/>
  <c r="AO47" i="9"/>
  <c r="AE9" i="16"/>
  <c r="Y9" i="16"/>
  <c r="AG11" i="9"/>
  <c r="AE11" i="9"/>
  <c r="AO11" i="9"/>
  <c r="AE258" i="16"/>
  <c r="Y258" i="16"/>
  <c r="AE127" i="16"/>
  <c r="AL44" i="8"/>
  <c r="AJ44" i="8"/>
  <c r="AE74" i="17"/>
  <c r="Z74" i="17"/>
  <c r="AF501" i="16"/>
  <c r="Y92" i="16"/>
  <c r="AE92" i="16"/>
  <c r="AK22" i="9"/>
  <c r="AK22" i="6"/>
  <c r="AK22" i="7"/>
  <c r="AK22" i="8"/>
  <c r="AC59" i="23"/>
  <c r="AP7" i="8"/>
  <c r="AF7" i="8"/>
  <c r="AC7" i="23"/>
  <c r="R18" i="29"/>
  <c r="AM35" i="7"/>
  <c r="U18" i="29"/>
  <c r="Z290" i="16"/>
  <c r="AF290" i="16"/>
  <c r="AO29" i="8"/>
  <c r="AE29" i="8"/>
  <c r="AB29" i="23"/>
  <c r="AB81" i="23"/>
  <c r="AF4" i="16"/>
  <c r="Z4" i="16"/>
  <c r="N93" i="23"/>
  <c r="N41" i="23"/>
  <c r="AF53" i="9"/>
  <c r="AD134" i="17"/>
  <c r="Y134" i="17"/>
  <c r="AE223" i="17"/>
  <c r="Z223" i="17"/>
  <c r="AF269" i="16"/>
  <c r="Z269" i="16"/>
  <c r="AF414" i="16"/>
  <c r="Z414" i="16"/>
  <c r="AE46" i="16"/>
  <c r="T38" i="7"/>
  <c r="AO38" i="9"/>
  <c r="AE38" i="9"/>
  <c r="AG38" i="9"/>
  <c r="AE161" i="17"/>
  <c r="Z161" i="17"/>
  <c r="AC81" i="23"/>
  <c r="AC29" i="23"/>
  <c r="AF29" i="8"/>
  <c r="AP29" i="8"/>
  <c r="AF433" i="16"/>
  <c r="Z433" i="16"/>
  <c r="Y141" i="16"/>
  <c r="J141" i="21"/>
  <c r="M141" i="21"/>
  <c r="AE200" i="17"/>
  <c r="Z200" i="17"/>
  <c r="AE322" i="17"/>
  <c r="Z322" i="17"/>
  <c r="AE208" i="16"/>
  <c r="Y208" i="16"/>
  <c r="AE230" i="17"/>
  <c r="Z230" i="17"/>
  <c r="AL21" i="7"/>
  <c r="N17" i="8"/>
  <c r="T17" i="8"/>
  <c r="AM17" i="8"/>
  <c r="AE338" i="17"/>
  <c r="Z338" i="17"/>
  <c r="AE222" i="17"/>
  <c r="Z222" i="17"/>
  <c r="AD125" i="17"/>
  <c r="Y125" i="17"/>
  <c r="N11" i="9"/>
  <c r="T11" i="9"/>
  <c r="AM11" i="9"/>
  <c r="M192" i="21"/>
  <c r="J192" i="21"/>
  <c r="AF480" i="16"/>
  <c r="Z480" i="16"/>
  <c r="Y97" i="16"/>
  <c r="J97" i="21"/>
  <c r="M97" i="21"/>
  <c r="M41" i="21"/>
  <c r="J41" i="21"/>
  <c r="AL32" i="7"/>
  <c r="AM50" i="8"/>
  <c r="T50" i="8"/>
  <c r="N50" i="8"/>
  <c r="AE193" i="16"/>
  <c r="Y193" i="16"/>
  <c r="AJ12" i="7"/>
  <c r="AL12" i="7"/>
  <c r="AE271" i="17"/>
  <c r="Z271" i="17"/>
  <c r="N31" i="23"/>
  <c r="N83" i="23"/>
  <c r="N22" i="23"/>
  <c r="N74" i="23"/>
  <c r="AF385" i="16"/>
  <c r="Z385" i="16"/>
  <c r="AF541" i="16"/>
  <c r="N421" i="21"/>
  <c r="K421" i="21"/>
  <c r="N31" i="9"/>
  <c r="T31" i="9"/>
  <c r="AM31" i="9"/>
  <c r="AE42" i="16"/>
  <c r="AL53" i="9"/>
  <c r="Z559" i="16"/>
  <c r="AF559" i="16"/>
  <c r="N263" i="21"/>
  <c r="K263" i="21"/>
  <c r="AM43" i="7"/>
  <c r="N24" i="23"/>
  <c r="N76" i="23"/>
  <c r="AF538" i="16"/>
  <c r="Y46" i="16"/>
  <c r="J46" i="21"/>
  <c r="M46" i="21"/>
  <c r="N175" i="21"/>
  <c r="K175" i="21"/>
  <c r="AF361" i="16"/>
  <c r="Z361" i="16"/>
  <c r="AG24" i="9"/>
  <c r="AE24" i="9"/>
  <c r="AO24" i="9"/>
  <c r="AK39" i="9"/>
  <c r="AK39" i="8"/>
  <c r="AF529" i="16"/>
  <c r="AL35" i="7"/>
  <c r="AL6" i="9"/>
  <c r="AJ6" i="9"/>
  <c r="T27" i="7"/>
  <c r="AP27" i="8"/>
  <c r="AF27" i="8"/>
  <c r="AC27" i="23"/>
  <c r="AC79" i="23"/>
  <c r="AE306" i="17"/>
  <c r="Z306" i="17"/>
  <c r="AF383" i="16"/>
  <c r="Z383" i="16"/>
  <c r="AJ21" i="7"/>
  <c r="AF21" i="23"/>
  <c r="AF73" i="23"/>
  <c r="AG13" i="9"/>
  <c r="AE13" i="9"/>
  <c r="AO13" i="9"/>
  <c r="N6" i="21"/>
  <c r="Z2" i="16"/>
  <c r="K6" i="21"/>
  <c r="AE36" i="16"/>
  <c r="AG22" i="9"/>
  <c r="AE22" i="9"/>
  <c r="AO22" i="9"/>
  <c r="AF176" i="16"/>
  <c r="Z176" i="16"/>
  <c r="AO15" i="9"/>
  <c r="AE15" i="9"/>
  <c r="AG15" i="9"/>
  <c r="N510" i="21"/>
  <c r="K510" i="21"/>
  <c r="AE188" i="17"/>
  <c r="Z188" i="17"/>
  <c r="N400" i="21"/>
  <c r="K400" i="21"/>
  <c r="AL28" i="7"/>
  <c r="AE44" i="17"/>
  <c r="Z44" i="17"/>
  <c r="AF395" i="16"/>
  <c r="Z395" i="16"/>
  <c r="AE211" i="17"/>
  <c r="Z211" i="17"/>
  <c r="AL17" i="8"/>
  <c r="AJ17" i="8"/>
  <c r="AF360" i="16"/>
  <c r="Z360" i="16"/>
  <c r="AE107" i="17"/>
  <c r="Z107" i="17"/>
  <c r="N89" i="21"/>
  <c r="K89" i="21"/>
  <c r="Z541" i="16"/>
  <c r="K541" i="21"/>
  <c r="N541" i="21"/>
  <c r="N29" i="23"/>
  <c r="N81" i="23"/>
  <c r="AK53" i="8"/>
  <c r="AF171" i="16"/>
  <c r="Z171" i="16"/>
  <c r="AD30" i="17"/>
  <c r="Y30" i="17"/>
  <c r="Y42" i="16"/>
  <c r="J42" i="21"/>
  <c r="M42" i="21"/>
  <c r="M95" i="21"/>
  <c r="J95" i="21"/>
  <c r="AP55" i="9"/>
  <c r="AP53" i="9"/>
  <c r="AE287" i="17"/>
  <c r="Z287" i="17"/>
  <c r="AP43" i="9"/>
  <c r="AF43" i="9"/>
  <c r="N264" i="21"/>
  <c r="K264" i="21"/>
  <c r="AL30" i="7"/>
  <c r="Z538" i="16"/>
  <c r="K538" i="21"/>
  <c r="N538" i="21"/>
  <c r="AK17" i="8"/>
  <c r="AK17" i="9"/>
  <c r="AE237" i="17"/>
  <c r="Z237" i="17"/>
  <c r="AK39" i="6"/>
  <c r="AK39" i="7"/>
  <c r="AG39" i="23"/>
  <c r="AG91" i="23"/>
  <c r="AE238" i="16"/>
  <c r="Y238" i="16"/>
  <c r="AK36" i="8"/>
  <c r="AK36" i="6"/>
  <c r="AK36" i="7"/>
  <c r="AK36" i="9"/>
  <c r="AE10" i="17"/>
  <c r="Z10" i="17"/>
  <c r="AJ35" i="7"/>
  <c r="AJ35" i="8"/>
  <c r="AL35" i="8"/>
  <c r="AE195" i="17"/>
  <c r="Z195" i="17"/>
  <c r="N35" i="8"/>
  <c r="T35" i="8"/>
  <c r="AM35" i="8"/>
  <c r="N442" i="21"/>
  <c r="K442" i="21"/>
  <c r="AE251" i="17"/>
  <c r="Z251" i="17"/>
  <c r="AE17" i="17"/>
  <c r="Z17" i="17"/>
  <c r="AE64" i="17"/>
  <c r="Z64" i="17"/>
  <c r="Y36" i="16"/>
  <c r="J36" i="21"/>
  <c r="M36" i="21"/>
  <c r="AE61" i="17"/>
  <c r="Z61" i="17"/>
  <c r="AM13" i="8"/>
  <c r="T13" i="8"/>
  <c r="N13" i="8"/>
  <c r="AF475" i="16"/>
  <c r="Z475" i="16"/>
  <c r="N393" i="21"/>
  <c r="K393" i="21"/>
  <c r="N72" i="23"/>
  <c r="N20" i="23"/>
  <c r="AF61" i="23"/>
  <c r="AF9" i="23"/>
  <c r="AM37" i="8"/>
  <c r="T37" i="8"/>
  <c r="N37" i="8"/>
  <c r="AF419" i="16"/>
  <c r="Z419" i="16"/>
  <c r="AB98" i="23"/>
  <c r="AB46" i="23"/>
  <c r="AF328" i="16"/>
  <c r="Z328" i="16"/>
  <c r="AE277" i="17"/>
  <c r="Z277" i="17"/>
  <c r="AM44" i="7"/>
  <c r="AF578" i="16"/>
  <c r="Z578" i="16"/>
  <c r="AO15" i="8"/>
  <c r="AE15" i="8"/>
  <c r="AG15" i="8"/>
  <c r="N78" i="23"/>
  <c r="N26" i="23"/>
  <c r="N26" i="8"/>
  <c r="T26" i="8"/>
  <c r="AM26" i="8"/>
  <c r="T40" i="7"/>
  <c r="AO40" i="8"/>
  <c r="AE40" i="8"/>
  <c r="AG40" i="8"/>
  <c r="T41" i="7"/>
  <c r="AM41" i="7"/>
  <c r="AF164" i="16"/>
  <c r="Z164" i="16"/>
  <c r="AJ50" i="7"/>
  <c r="AJ50" i="8"/>
  <c r="AL50" i="8"/>
  <c r="Z288" i="16"/>
  <c r="K288" i="21"/>
  <c r="N288" i="21"/>
  <c r="AE229" i="17"/>
  <c r="Z229" i="17"/>
  <c r="AE163" i="17"/>
  <c r="Z163" i="17"/>
  <c r="I6" i="29"/>
  <c r="F5" i="29"/>
  <c r="I5" i="29"/>
  <c r="F6" i="29"/>
  <c r="Y95" i="16"/>
  <c r="AE95" i="16"/>
  <c r="T26" i="7"/>
  <c r="AP26" i="9"/>
  <c r="AF26" i="9"/>
  <c r="AP28" i="8"/>
  <c r="AF28" i="8"/>
  <c r="AC28" i="23"/>
  <c r="AC80" i="23"/>
  <c r="AP5" i="9"/>
  <c r="AF5" i="9"/>
  <c r="Z82" i="16"/>
  <c r="AF82" i="16"/>
  <c r="AJ30" i="7"/>
  <c r="AJ30" i="8"/>
  <c r="AL30" i="8"/>
  <c r="AO31" i="9"/>
  <c r="AE31" i="9"/>
  <c r="AG31" i="9"/>
  <c r="AL13" i="8"/>
  <c r="AJ13" i="8"/>
  <c r="AF330" i="16"/>
  <c r="Z330" i="16"/>
  <c r="AD3" i="17"/>
  <c r="Y3" i="17"/>
  <c r="AK17" i="6"/>
  <c r="AK17" i="7"/>
  <c r="AG17" i="23"/>
  <c r="AG69" i="23"/>
  <c r="Z529" i="16"/>
  <c r="K529" i="21"/>
  <c r="N529" i="21"/>
  <c r="AE318" i="17"/>
  <c r="Z318" i="17"/>
  <c r="Z575" i="16"/>
  <c r="AF575" i="16"/>
  <c r="N63" i="23"/>
  <c r="N11" i="23"/>
  <c r="AF227" i="16"/>
  <c r="Z227" i="16"/>
  <c r="N185" i="21"/>
  <c r="K185" i="21"/>
  <c r="AE232" i="17"/>
  <c r="Z232" i="17"/>
  <c r="N485" i="21"/>
  <c r="K485" i="21"/>
  <c r="N32" i="8"/>
  <c r="T32" i="8"/>
  <c r="AM32" i="8"/>
  <c r="AF51" i="9"/>
  <c r="AP51" i="9"/>
  <c r="E8" i="29"/>
  <c r="H6" i="29"/>
  <c r="H8" i="29"/>
  <c r="E6" i="29"/>
  <c r="AO35" i="8"/>
  <c r="AE35" i="8"/>
  <c r="AG35" i="8"/>
  <c r="AP23" i="8"/>
  <c r="AF23" i="8"/>
  <c r="AC23" i="23"/>
  <c r="AC75" i="23"/>
  <c r="AO37" i="8"/>
  <c r="AE37" i="8"/>
  <c r="AG37" i="8"/>
  <c r="N467" i="21"/>
  <c r="K467" i="21"/>
  <c r="AF547" i="16"/>
  <c r="N372" i="21"/>
  <c r="K372" i="21"/>
  <c r="AE181" i="17"/>
  <c r="Z181" i="17"/>
  <c r="AP39" i="8"/>
  <c r="AF39" i="8"/>
  <c r="AC39" i="23"/>
  <c r="AC91" i="23"/>
  <c r="AE50" i="17"/>
  <c r="Z50" i="17"/>
  <c r="AF409" i="16"/>
  <c r="Z409" i="16"/>
  <c r="AC85" i="23"/>
  <c r="AC33" i="23"/>
  <c r="AF33" i="8"/>
  <c r="AP33" i="8"/>
  <c r="N162" i="21"/>
  <c r="K162" i="21"/>
  <c r="AL33" i="9"/>
  <c r="AJ33" i="9"/>
  <c r="AL8" i="7"/>
  <c r="N18" i="8"/>
  <c r="T18" i="8"/>
  <c r="AM18" i="8"/>
  <c r="N11" i="8"/>
  <c r="T11" i="8"/>
  <c r="AM11" i="8"/>
  <c r="AF408" i="16"/>
  <c r="Z408" i="16"/>
  <c r="S11" i="25"/>
  <c r="AF393" i="16"/>
  <c r="Z393" i="16"/>
  <c r="AJ32" i="7"/>
  <c r="AJ32" i="8"/>
  <c r="AL32" i="8"/>
  <c r="N30" i="9"/>
  <c r="T30" i="9"/>
  <c r="AM30" i="9"/>
  <c r="AE281" i="17"/>
  <c r="Z281" i="17"/>
  <c r="AJ31" i="6"/>
  <c r="N31" i="6"/>
  <c r="N31" i="7"/>
  <c r="T31" i="7"/>
  <c r="AP31" i="9"/>
  <c r="AF31" i="9"/>
  <c r="AF423" i="16"/>
  <c r="Z423" i="16"/>
  <c r="AP47" i="8"/>
  <c r="AF47" i="8"/>
  <c r="AC47" i="23"/>
  <c r="AC99" i="23"/>
  <c r="AE256" i="17"/>
  <c r="Z256" i="17"/>
  <c r="AD92" i="17"/>
  <c r="Y92" i="17"/>
  <c r="AL26" i="7"/>
  <c r="AL22" i="7"/>
  <c r="AB94" i="23"/>
  <c r="AB42" i="23"/>
  <c r="AL43" i="8"/>
  <c r="AJ43" i="8"/>
  <c r="AF22" i="16"/>
  <c r="AM20" i="8"/>
  <c r="T20" i="8"/>
  <c r="N20" i="8"/>
  <c r="AL6" i="7"/>
  <c r="AC67" i="23"/>
  <c r="AC15" i="23"/>
  <c r="AF15" i="8"/>
  <c r="AP15" i="8"/>
  <c r="AK24" i="9"/>
  <c r="AK24" i="8"/>
  <c r="AF29" i="9"/>
  <c r="AP29" i="9"/>
  <c r="AF415" i="16"/>
  <c r="Z415" i="16"/>
  <c r="N74" i="21"/>
  <c r="K74" i="21"/>
  <c r="AE292" i="17"/>
  <c r="Z292" i="17"/>
  <c r="AE57" i="17"/>
  <c r="Z57" i="17"/>
  <c r="AE45" i="17"/>
  <c r="Z45" i="17"/>
  <c r="AM17" i="9"/>
  <c r="T17" i="9"/>
  <c r="N17" i="9"/>
  <c r="AK40" i="9"/>
  <c r="AK40" i="8"/>
  <c r="AE118" i="17"/>
  <c r="Z118" i="17"/>
  <c r="M4" i="21"/>
  <c r="J4" i="21"/>
  <c r="AE120" i="17"/>
  <c r="Z120" i="17"/>
  <c r="AG66" i="23"/>
  <c r="AG14" i="23"/>
  <c r="AF403" i="16"/>
  <c r="Z403" i="16"/>
  <c r="AM36" i="9"/>
  <c r="T36" i="9"/>
  <c r="N36" i="9"/>
  <c r="AF411" i="16"/>
  <c r="Z411" i="16"/>
  <c r="AJ18" i="6"/>
  <c r="N18" i="6"/>
  <c r="N18" i="7"/>
  <c r="T18" i="7"/>
  <c r="AO18" i="8"/>
  <c r="AE18" i="8"/>
  <c r="AG18" i="8"/>
  <c r="AJ28" i="7"/>
  <c r="AJ28" i="9"/>
  <c r="AL28" i="9"/>
  <c r="AJ9" i="7"/>
  <c r="AL9" i="7"/>
  <c r="AF478" i="16"/>
  <c r="Z478" i="16"/>
  <c r="AP5" i="8"/>
  <c r="AF5" i="8"/>
  <c r="AC5" i="23"/>
  <c r="AC57" i="23"/>
  <c r="S7" i="25"/>
  <c r="S13" i="25"/>
  <c r="AF366" i="16"/>
  <c r="Z366" i="16"/>
  <c r="AE22" i="17"/>
  <c r="Z22" i="17"/>
  <c r="AF275" i="16"/>
  <c r="Z275" i="16"/>
  <c r="AJ22" i="9"/>
  <c r="AL22" i="9"/>
  <c r="AF518" i="16"/>
  <c r="N445" i="21"/>
  <c r="K445" i="21"/>
  <c r="AJ17" i="7"/>
  <c r="AL17" i="7"/>
  <c r="N266" i="21"/>
  <c r="K266" i="21"/>
  <c r="AJ26" i="7"/>
  <c r="AJ26" i="9"/>
  <c r="AL26" i="9"/>
  <c r="AF469" i="16"/>
  <c r="Z469" i="16"/>
  <c r="AJ22" i="7"/>
  <c r="AF22" i="23"/>
  <c r="AF74" i="23"/>
  <c r="AE215" i="17"/>
  <c r="Z215" i="17"/>
  <c r="AE258" i="17"/>
  <c r="Z258" i="17"/>
  <c r="AJ6" i="7"/>
  <c r="AJ6" i="8"/>
  <c r="AL6" i="8"/>
  <c r="AK24" i="6"/>
  <c r="AK24" i="7"/>
  <c r="AG24" i="23"/>
  <c r="AG76" i="23"/>
  <c r="Z125" i="16"/>
  <c r="AF125" i="16"/>
  <c r="AJ22" i="6"/>
  <c r="N22" i="6"/>
  <c r="N22" i="7"/>
  <c r="T22" i="7"/>
  <c r="AM22" i="7"/>
  <c r="Z194" i="17"/>
  <c r="AE194" i="17"/>
  <c r="Z89" i="16"/>
  <c r="AF89" i="16"/>
  <c r="Z235" i="17"/>
  <c r="AE235" i="17"/>
  <c r="AP23" i="9"/>
  <c r="AF23" i="9"/>
  <c r="M131" i="21"/>
  <c r="J131" i="21"/>
  <c r="AK40" i="6"/>
  <c r="AK40" i="7"/>
  <c r="AG40" i="23"/>
  <c r="AG92" i="23"/>
  <c r="N356" i="21"/>
  <c r="K356" i="21"/>
  <c r="AE248" i="17"/>
  <c r="Z248" i="17"/>
  <c r="AF453" i="16"/>
  <c r="Z453" i="16"/>
  <c r="AB68" i="23"/>
  <c r="AB16" i="23"/>
  <c r="AB99" i="23"/>
  <c r="AB47" i="23"/>
  <c r="AJ33" i="7"/>
  <c r="AL33" i="7"/>
  <c r="Y131" i="16"/>
  <c r="AE131" i="16"/>
  <c r="AF216" i="16"/>
  <c r="Z216" i="16"/>
  <c r="AJ26" i="6"/>
  <c r="N26" i="6"/>
  <c r="N26" i="7"/>
  <c r="N26" i="9"/>
  <c r="T26" i="9"/>
  <c r="AM26" i="9"/>
  <c r="N314" i="21"/>
  <c r="K314" i="21"/>
  <c r="AF416" i="16"/>
  <c r="Z416" i="16"/>
  <c r="E5" i="29"/>
  <c r="H5" i="29"/>
  <c r="E7" i="29"/>
  <c r="H7" i="29"/>
  <c r="AL27" i="7"/>
  <c r="N40" i="6"/>
  <c r="N40" i="7"/>
  <c r="N40" i="9"/>
  <c r="T40" i="9"/>
  <c r="AM40" i="9"/>
  <c r="T47" i="7"/>
  <c r="AO47" i="8"/>
  <c r="AE47" i="8"/>
  <c r="AG47" i="8"/>
  <c r="AE21" i="17"/>
  <c r="Z21" i="17"/>
  <c r="AG21" i="8"/>
  <c r="N15" i="8"/>
  <c r="T15" i="8"/>
  <c r="AM15" i="8"/>
  <c r="Z510" i="16"/>
  <c r="AF510" i="16"/>
  <c r="AE16" i="17"/>
  <c r="Z16" i="17"/>
  <c r="AF576" i="16"/>
  <c r="AJ35" i="6"/>
  <c r="N35" i="6"/>
  <c r="N35" i="7"/>
  <c r="T35" i="7"/>
  <c r="AO35" i="9"/>
  <c r="AE35" i="9"/>
  <c r="AG35" i="9"/>
  <c r="AF314" i="16"/>
  <c r="Z314" i="16"/>
  <c r="Z120" i="16"/>
  <c r="AF120" i="16"/>
  <c r="AF278" i="16"/>
  <c r="N317" i="21"/>
  <c r="K317" i="21"/>
  <c r="N7" i="7"/>
  <c r="T7" i="7"/>
  <c r="AM7" i="7"/>
  <c r="Z7" i="17"/>
  <c r="AE7" i="17"/>
  <c r="AL44" i="7"/>
  <c r="AL48" i="7"/>
  <c r="AE227" i="17"/>
  <c r="Z227" i="17"/>
  <c r="AE345" i="17"/>
  <c r="Z345" i="17"/>
  <c r="AF461" i="16"/>
  <c r="Z461" i="16"/>
  <c r="AE220" i="17"/>
  <c r="Z220" i="17"/>
  <c r="AF144" i="16"/>
  <c r="N68" i="21"/>
  <c r="K68" i="21"/>
  <c r="AK16" i="8"/>
  <c r="AK16" i="7"/>
  <c r="AK16" i="9"/>
  <c r="N42" i="23"/>
  <c r="N94" i="23"/>
  <c r="AE143" i="16"/>
  <c r="AE43" i="17"/>
  <c r="Z43" i="17"/>
  <c r="N391" i="21"/>
  <c r="K391" i="21"/>
  <c r="AJ19" i="7"/>
  <c r="AJ19" i="9"/>
  <c r="AL19" i="9"/>
  <c r="AL40" i="7"/>
  <c r="AE189" i="17"/>
  <c r="Z189" i="17"/>
  <c r="AE270" i="17"/>
  <c r="Z270" i="17"/>
  <c r="N399" i="21"/>
  <c r="K399" i="21"/>
  <c r="AE239" i="16"/>
  <c r="Y239" i="16"/>
  <c r="N62" i="21"/>
  <c r="K62" i="21"/>
  <c r="N64" i="21"/>
  <c r="K64" i="21"/>
  <c r="AE288" i="17"/>
  <c r="Z288" i="17"/>
  <c r="AL13" i="7"/>
  <c r="AK42" i="9"/>
  <c r="AK42" i="8"/>
  <c r="N48" i="8"/>
  <c r="T48" i="8"/>
  <c r="AM48" i="8"/>
  <c r="AJ32" i="6"/>
  <c r="N32" i="6"/>
  <c r="N32" i="7"/>
  <c r="N32" i="23"/>
  <c r="N84" i="23"/>
  <c r="Z518" i="16"/>
  <c r="K518" i="21"/>
  <c r="N518" i="21"/>
  <c r="AF78" i="16"/>
  <c r="AJ8" i="7"/>
  <c r="AJ8" i="8"/>
  <c r="AL8" i="8"/>
  <c r="AM28" i="7"/>
  <c r="N51" i="6"/>
  <c r="N51" i="7"/>
  <c r="T51" i="7"/>
  <c r="AP51" i="8"/>
  <c r="AF51" i="8"/>
  <c r="AC51" i="23"/>
  <c r="AC103" i="23"/>
  <c r="Z501" i="16"/>
  <c r="K501" i="21"/>
  <c r="N501" i="21"/>
  <c r="AK8" i="9"/>
  <c r="AK8" i="8"/>
  <c r="AE348" i="17"/>
  <c r="Z348" i="17"/>
  <c r="N5" i="7"/>
  <c r="T5" i="7"/>
  <c r="AM5" i="7"/>
  <c r="Y11" i="16"/>
  <c r="AE11" i="16"/>
  <c r="AJ27" i="7"/>
  <c r="AJ27" i="8"/>
  <c r="AL27" i="8"/>
  <c r="AJ19" i="6"/>
  <c r="N19" i="6"/>
  <c r="N19" i="7"/>
  <c r="T19" i="7"/>
  <c r="AO19" i="9"/>
  <c r="AE19" i="9"/>
  <c r="AG19" i="9"/>
  <c r="AE347" i="17"/>
  <c r="Z347" i="17"/>
  <c r="Y127" i="16"/>
  <c r="J127" i="21"/>
  <c r="M127" i="21"/>
  <c r="Z111" i="16"/>
  <c r="AF111" i="16"/>
  <c r="N8" i="6"/>
  <c r="N8" i="7"/>
  <c r="T8" i="7"/>
  <c r="AP8" i="8"/>
  <c r="AF8" i="8"/>
  <c r="AC8" i="23"/>
  <c r="AC60" i="23"/>
  <c r="AE274" i="17"/>
  <c r="Z274" i="17"/>
  <c r="Z576" i="16"/>
  <c r="K580" i="21"/>
  <c r="N580" i="21"/>
  <c r="N47" i="6"/>
  <c r="N47" i="7"/>
  <c r="N47" i="23"/>
  <c r="N99" i="23"/>
  <c r="N38" i="9"/>
  <c r="T38" i="9"/>
  <c r="AM38" i="9"/>
  <c r="Z62" i="16"/>
  <c r="AF62" i="16"/>
  <c r="AE276" i="17"/>
  <c r="Z276" i="17"/>
  <c r="AK41" i="9"/>
  <c r="AK41" i="8"/>
  <c r="AP16" i="8"/>
  <c r="AF16" i="8"/>
  <c r="AC16" i="23"/>
  <c r="AC68" i="23"/>
  <c r="T39" i="7"/>
  <c r="AO39" i="9"/>
  <c r="AE39" i="9"/>
  <c r="AG39" i="9"/>
  <c r="N472" i="21"/>
  <c r="K472" i="21"/>
  <c r="Z278" i="16"/>
  <c r="K278" i="21"/>
  <c r="N278" i="21"/>
  <c r="AJ44" i="7"/>
  <c r="AF44" i="23"/>
  <c r="AF96" i="23"/>
  <c r="AJ48" i="7"/>
  <c r="AJ48" i="8"/>
  <c r="AL48" i="8"/>
  <c r="AF336" i="16"/>
  <c r="Z336" i="16"/>
  <c r="N27" i="6"/>
  <c r="N27" i="7"/>
  <c r="N27" i="8"/>
  <c r="T27" i="8"/>
  <c r="AM27" i="8"/>
  <c r="Z144" i="16"/>
  <c r="K144" i="21"/>
  <c r="N144" i="21"/>
  <c r="N21" i="23"/>
  <c r="N73" i="23"/>
  <c r="Y143" i="16"/>
  <c r="J193" i="21"/>
  <c r="M193" i="21"/>
  <c r="AF215" i="16"/>
  <c r="Z215" i="16"/>
  <c r="AF442" i="16"/>
  <c r="Z442" i="16"/>
  <c r="N469" i="21"/>
  <c r="K469" i="21"/>
  <c r="AD96" i="17"/>
  <c r="Y96" i="17"/>
  <c r="AJ8" i="6"/>
  <c r="AK8" i="6"/>
  <c r="AK8" i="7"/>
  <c r="AG8" i="23"/>
  <c r="AG60" i="23"/>
  <c r="AE324" i="17"/>
  <c r="Z324" i="17"/>
  <c r="AJ40" i="6"/>
  <c r="AJ40" i="7"/>
  <c r="AJ40" i="8"/>
  <c r="AL40" i="8"/>
  <c r="AL51" i="7"/>
  <c r="AK47" i="9"/>
  <c r="AK47" i="8"/>
  <c r="T44" i="7"/>
  <c r="AO44" i="9"/>
  <c r="AE44" i="9"/>
  <c r="AG44" i="9"/>
  <c r="AF15" i="9"/>
  <c r="N15" i="7"/>
  <c r="T15" i="7"/>
  <c r="AP15" i="9"/>
  <c r="AM49" i="8"/>
  <c r="T49" i="8"/>
  <c r="N49" i="8"/>
  <c r="AJ13" i="7"/>
  <c r="AF13" i="23"/>
  <c r="AF65" i="23"/>
  <c r="AK42" i="6"/>
  <c r="AK42" i="7"/>
  <c r="AG42" i="23"/>
  <c r="AG94" i="23"/>
  <c r="AL7" i="7"/>
  <c r="Z78" i="16"/>
  <c r="K78" i="21"/>
  <c r="N78" i="21"/>
  <c r="AJ28" i="6"/>
  <c r="N28" i="6"/>
  <c r="N28" i="7"/>
  <c r="T28" i="7"/>
  <c r="AP28" i="9"/>
  <c r="AF28" i="9"/>
  <c r="AE326" i="17"/>
  <c r="Z326" i="17"/>
  <c r="AM39" i="9"/>
  <c r="T39" i="9"/>
  <c r="N39" i="9"/>
  <c r="AK41" i="6"/>
  <c r="AK41" i="7"/>
  <c r="AG41" i="23"/>
  <c r="AG93" i="23"/>
  <c r="AG42" i="9"/>
  <c r="AO42" i="9"/>
  <c r="AE42" i="9"/>
  <c r="W11" i="25"/>
  <c r="AE37" i="16"/>
  <c r="AJ41" i="6"/>
  <c r="N41" i="6"/>
  <c r="N41" i="7"/>
  <c r="N41" i="9"/>
  <c r="T41" i="9"/>
  <c r="AM41" i="9"/>
  <c r="AF424" i="16"/>
  <c r="Z424" i="16"/>
  <c r="AB88" i="23"/>
  <c r="AB36" i="23"/>
  <c r="AL45" i="7"/>
  <c r="AE111" i="17"/>
  <c r="Z111" i="17"/>
  <c r="AD82" i="17"/>
  <c r="Y82" i="17"/>
  <c r="N383" i="21"/>
  <c r="K383" i="21"/>
  <c r="L68" i="6"/>
  <c r="AF521" i="16"/>
  <c r="AJ38" i="6"/>
  <c r="N38" i="6"/>
  <c r="N38" i="7"/>
  <c r="N38" i="8"/>
  <c r="T38" i="8"/>
  <c r="AM38" i="8"/>
  <c r="U9" i="29"/>
  <c r="R9" i="29"/>
  <c r="Z219" i="17"/>
  <c r="AE219" i="17"/>
  <c r="AF7" i="21"/>
  <c r="X7" i="21"/>
  <c r="Y2" i="16"/>
  <c r="J2" i="21"/>
  <c r="R7" i="21"/>
  <c r="AD135" i="17"/>
  <c r="Y135" i="17"/>
  <c r="AF123" i="16"/>
  <c r="AL24" i="7"/>
  <c r="N49" i="9"/>
  <c r="T49" i="9"/>
  <c r="AM49" i="9"/>
  <c r="AF285" i="16"/>
  <c r="AL47" i="7"/>
  <c r="N16" i="7"/>
  <c r="T16" i="7"/>
  <c r="AO16" i="8"/>
  <c r="AE16" i="8"/>
  <c r="AG16" i="8"/>
  <c r="AJ51" i="6"/>
  <c r="AJ51" i="7"/>
  <c r="AF51" i="23"/>
  <c r="AF103" i="23"/>
  <c r="AE18" i="17"/>
  <c r="Z18" i="17"/>
  <c r="T23" i="7"/>
  <c r="AM23" i="7"/>
  <c r="Z226" i="17"/>
  <c r="AE226" i="17"/>
  <c r="AE245" i="16"/>
  <c r="Y245" i="16"/>
  <c r="AE108" i="17"/>
  <c r="Z108" i="17"/>
  <c r="AK47" i="6"/>
  <c r="AK47" i="7"/>
  <c r="AG47" i="23"/>
  <c r="AG99" i="23"/>
  <c r="AE280" i="17"/>
  <c r="Z280" i="17"/>
  <c r="Z539" i="16"/>
  <c r="AF539" i="16"/>
  <c r="L69" i="6"/>
  <c r="AE275" i="17"/>
  <c r="Z275" i="17"/>
  <c r="AF397" i="16"/>
  <c r="Z397" i="16"/>
  <c r="AJ7" i="7"/>
  <c r="AJ7" i="9"/>
  <c r="AL7" i="9"/>
  <c r="AF304" i="16"/>
  <c r="AE97" i="17"/>
  <c r="Z97" i="17"/>
  <c r="AP21" i="9"/>
  <c r="AF21" i="9"/>
  <c r="AJ16" i="7"/>
  <c r="AL16" i="7"/>
  <c r="AF33" i="9"/>
  <c r="AP33" i="9"/>
  <c r="Z547" i="16"/>
  <c r="K547" i="21"/>
  <c r="N547" i="21"/>
  <c r="AF476" i="16"/>
  <c r="Z476" i="16"/>
  <c r="Z64" i="16"/>
  <c r="AF64" i="16"/>
  <c r="Y41" i="16"/>
  <c r="AE41" i="16"/>
  <c r="N46" i="9"/>
  <c r="T46" i="9"/>
  <c r="AM46" i="9"/>
  <c r="AE100" i="17"/>
  <c r="Z100" i="17"/>
  <c r="N6" i="7"/>
  <c r="T6" i="7"/>
  <c r="AM6" i="7"/>
  <c r="Y7" i="17"/>
  <c r="AD7" i="17"/>
  <c r="I13" i="29"/>
  <c r="AJ13" i="6"/>
  <c r="N13" i="6"/>
  <c r="N13" i="7"/>
  <c r="T13" i="7"/>
  <c r="AM13" i="7"/>
  <c r="F13" i="29"/>
  <c r="Z157" i="16"/>
  <c r="AF157" i="16"/>
  <c r="N43" i="6"/>
  <c r="N43" i="7"/>
  <c r="T43" i="7"/>
  <c r="AP43" i="8"/>
  <c r="AF43" i="8"/>
  <c r="AC43" i="23"/>
  <c r="AC95" i="23"/>
  <c r="AO21" i="8"/>
  <c r="AE21" i="8"/>
  <c r="AB21" i="23"/>
  <c r="AB73" i="23"/>
  <c r="AE53" i="17"/>
  <c r="Z53" i="17"/>
  <c r="T46" i="7"/>
  <c r="AO46" i="8"/>
  <c r="AE46" i="8"/>
  <c r="AG46" i="8"/>
  <c r="AJ36" i="6"/>
  <c r="N36" i="6"/>
  <c r="N36" i="7"/>
  <c r="T36" i="7"/>
  <c r="AO36" i="8"/>
  <c r="AE36" i="8"/>
  <c r="AG36" i="8"/>
  <c r="AJ30" i="6"/>
  <c r="N30" i="6"/>
  <c r="N30" i="7"/>
  <c r="L67" i="6"/>
  <c r="AK5" i="7"/>
  <c r="AG5" i="23"/>
  <c r="AG57" i="23"/>
  <c r="W7" i="25"/>
  <c r="W13" i="25"/>
  <c r="AF459" i="16"/>
  <c r="Z459" i="16"/>
  <c r="Y37" i="16"/>
  <c r="J37" i="21"/>
  <c r="M37" i="21"/>
  <c r="AP24" i="8"/>
  <c r="AF24" i="8"/>
  <c r="AC24" i="23"/>
  <c r="AC76" i="23"/>
  <c r="Z22" i="16"/>
  <c r="K22" i="21"/>
  <c r="N22" i="21"/>
  <c r="AF262" i="16"/>
  <c r="Z262" i="16"/>
  <c r="AO53" i="9"/>
  <c r="AO55" i="9"/>
  <c r="AJ45" i="7"/>
  <c r="AJ45" i="8"/>
  <c r="AL45" i="8"/>
  <c r="AJ55" i="6"/>
  <c r="AJ60" i="6"/>
  <c r="AJ15" i="7"/>
  <c r="AL15" i="7"/>
  <c r="N45" i="23"/>
  <c r="N97" i="23"/>
  <c r="N14" i="6"/>
  <c r="N14" i="7"/>
  <c r="T14" i="7"/>
  <c r="AP14" i="9"/>
  <c r="AF14" i="9"/>
  <c r="E9" i="29"/>
  <c r="H12" i="29"/>
  <c r="H9" i="29"/>
  <c r="E12" i="29"/>
  <c r="Z521" i="16"/>
  <c r="K521" i="21"/>
  <c r="N521" i="21"/>
  <c r="AF379" i="16"/>
  <c r="AF566" i="16"/>
  <c r="AM37" i="7"/>
  <c r="AF295" i="16"/>
  <c r="AE162" i="17"/>
  <c r="Z162" i="17"/>
  <c r="AJ44" i="6"/>
  <c r="N44" i="6"/>
  <c r="N44" i="7"/>
  <c r="N44" i="8"/>
  <c r="T44" i="8"/>
  <c r="AM44" i="8"/>
  <c r="Z123" i="16"/>
  <c r="K123" i="21"/>
  <c r="N123" i="21"/>
  <c r="AJ24" i="7"/>
  <c r="AF24" i="23"/>
  <c r="AF76" i="23"/>
  <c r="AK27" i="8"/>
  <c r="AK27" i="9"/>
  <c r="AJ46" i="6"/>
  <c r="N46" i="6"/>
  <c r="N46" i="7"/>
  <c r="N46" i="8"/>
  <c r="T46" i="8"/>
  <c r="AM46" i="8"/>
  <c r="Z285" i="16"/>
  <c r="K285" i="21"/>
  <c r="N285" i="21"/>
  <c r="AJ47" i="6"/>
  <c r="AJ47" i="7"/>
  <c r="AJ47" i="8"/>
  <c r="AL47" i="8"/>
  <c r="AK43" i="9"/>
  <c r="AK43" i="8"/>
  <c r="AL34" i="7"/>
  <c r="U11" i="29"/>
  <c r="R11" i="29"/>
  <c r="AE101" i="17"/>
  <c r="Z101" i="17"/>
  <c r="R31" i="29"/>
  <c r="U31" i="29"/>
  <c r="AJ50" i="6"/>
  <c r="N50" i="6"/>
  <c r="N50" i="7"/>
  <c r="N50" i="23"/>
  <c r="N102" i="23"/>
  <c r="Z277" i="16"/>
  <c r="K463" i="21"/>
  <c r="N463" i="21"/>
  <c r="AK10" i="8"/>
  <c r="AK10" i="9"/>
  <c r="U5" i="29"/>
  <c r="T17" i="7"/>
  <c r="AM17" i="7"/>
  <c r="R5" i="29"/>
  <c r="Z304" i="16"/>
  <c r="K304" i="21"/>
  <c r="N304" i="21"/>
  <c r="N9" i="7"/>
  <c r="T9" i="7"/>
  <c r="AP9" i="8"/>
  <c r="AF9" i="8"/>
  <c r="AC9" i="23"/>
  <c r="AC61" i="23"/>
  <c r="AJ42" i="6"/>
  <c r="N42" i="6"/>
  <c r="N42" i="7"/>
  <c r="T42" i="7"/>
  <c r="AO42" i="8"/>
  <c r="AE42" i="8"/>
  <c r="AG42" i="8"/>
  <c r="AJ43" i="7"/>
  <c r="AL43" i="7"/>
  <c r="N7" i="6"/>
  <c r="N55" i="6"/>
  <c r="N60" i="6"/>
  <c r="N10" i="7"/>
  <c r="T10" i="7"/>
  <c r="AM10" i="7"/>
  <c r="Y242" i="16"/>
  <c r="AE242" i="16"/>
  <c r="AJ24" i="6"/>
  <c r="N24" i="6"/>
  <c r="N24" i="7"/>
  <c r="T24" i="7"/>
  <c r="AM24" i="7"/>
  <c r="Z379" i="16"/>
  <c r="K360" i="21"/>
  <c r="N360" i="21"/>
  <c r="AJ48" i="6"/>
  <c r="N48" i="6"/>
  <c r="N48" i="7"/>
  <c r="T48" i="7"/>
  <c r="AM48" i="7"/>
  <c r="Z566" i="16"/>
  <c r="K566" i="21"/>
  <c r="N566" i="21"/>
  <c r="AJ37" i="6"/>
  <c r="N37" i="6"/>
  <c r="N37" i="7"/>
  <c r="T37" i="7"/>
  <c r="AP37" i="9"/>
  <c r="AF37" i="9"/>
  <c r="AJ20" i="6"/>
  <c r="N20" i="6"/>
  <c r="N20" i="7"/>
  <c r="T20" i="7"/>
  <c r="AM20" i="7"/>
  <c r="Z295" i="16"/>
  <c r="K295" i="21"/>
  <c r="N295" i="21"/>
  <c r="Z68" i="16"/>
  <c r="AF68" i="16"/>
  <c r="AJ29" i="6"/>
  <c r="N29" i="6"/>
  <c r="N29" i="7"/>
  <c r="T29" i="7"/>
  <c r="AM29" i="7"/>
  <c r="Z74" i="16"/>
  <c r="AF74" i="16"/>
  <c r="AJ27" i="6"/>
  <c r="AK27" i="6"/>
  <c r="AK27" i="7"/>
  <c r="AG27" i="23"/>
  <c r="AG79" i="23"/>
  <c r="F10" i="29"/>
  <c r="AJ11" i="6"/>
  <c r="N11" i="6"/>
  <c r="N11" i="7"/>
  <c r="T11" i="7"/>
  <c r="AM11" i="7"/>
  <c r="I10" i="29"/>
  <c r="AJ23" i="6"/>
  <c r="N23" i="6"/>
  <c r="N23" i="7"/>
  <c r="N23" i="23"/>
  <c r="N75" i="23"/>
  <c r="AJ43" i="6"/>
  <c r="AK43" i="6"/>
  <c r="AK43" i="7"/>
  <c r="AG43" i="23"/>
  <c r="AG95" i="23"/>
  <c r="AJ34" i="7"/>
  <c r="AJ34" i="8"/>
  <c r="AL34" i="8"/>
  <c r="AJ21" i="6"/>
  <c r="N21" i="6"/>
  <c r="N21" i="7"/>
  <c r="T21" i="7"/>
  <c r="AM21" i="7"/>
  <c r="Z174" i="17"/>
  <c r="AE174" i="17"/>
  <c r="AF163" i="16"/>
  <c r="Z163" i="16"/>
  <c r="AF463" i="16"/>
  <c r="Z463" i="16"/>
  <c r="AJ45" i="6"/>
  <c r="N45" i="6"/>
  <c r="N45" i="7"/>
  <c r="T45" i="7"/>
  <c r="AP45" i="8"/>
  <c r="AF45" i="8"/>
  <c r="AC45" i="23"/>
  <c r="AC97" i="23"/>
  <c r="I11" i="29"/>
  <c r="AJ12" i="6"/>
  <c r="N12" i="6"/>
  <c r="N12" i="7"/>
  <c r="T12" i="7"/>
  <c r="AM12" i="7"/>
  <c r="F11" i="29"/>
  <c r="AK14" i="8"/>
  <c r="AJ14" i="6"/>
  <c r="AK14" i="6"/>
  <c r="AK14" i="7"/>
  <c r="AK14" i="9"/>
  <c r="N63" i="6"/>
  <c r="AJ7" i="6"/>
  <c r="AK7" i="6"/>
  <c r="AK55" i="6"/>
  <c r="AK60" i="6"/>
  <c r="AK10" i="7"/>
  <c r="AG10" i="23"/>
  <c r="AG62" i="23"/>
  <c r="AJ49" i="6"/>
  <c r="N49" i="6"/>
  <c r="N49" i="7"/>
  <c r="N49" i="23"/>
  <c r="N101" i="23"/>
  <c r="U26" i="29"/>
  <c r="R26" i="29"/>
  <c r="U21" i="29"/>
  <c r="U16" i="29"/>
  <c r="R21" i="29"/>
  <c r="AJ33" i="6"/>
  <c r="N33" i="6"/>
  <c r="N33" i="7"/>
  <c r="T33" i="7"/>
  <c r="AM33" i="7"/>
  <c r="R16" i="29"/>
  <c r="AJ34" i="6"/>
  <c r="N34" i="6"/>
  <c r="N34" i="7"/>
  <c r="N34" i="9"/>
  <c r="T34" i="9"/>
  <c r="AM34" i="9"/>
  <c r="AJ17" i="6"/>
  <c r="N17" i="6"/>
  <c r="N17" i="7"/>
  <c r="L66" i="6"/>
  <c r="L64" i="6"/>
  <c r="L70" i="6"/>
  <c r="N64" i="6"/>
  <c r="AJ39" i="6"/>
  <c r="N39" i="6"/>
  <c r="N39" i="7"/>
  <c r="N39" i="23"/>
  <c r="N91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CB86F8A9-1882-424E-A7AC-94A573440FF7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1BB58-218C-4A7C-965F-551979947C1A}" name="Conexão" type="7" refreshedVersion="7" background="1" saveData="1"/>
  <connection id="2" xr16:uid="{33125188-61FD-4C38-8809-62E0BEDBAD93}" name="Conexão1" type="7" refreshedVersion="7" background="1" saveData="1"/>
  <connection id="3" xr16:uid="{078A0F33-0D22-4181-B623-E8DB96C6ED94}" name="Conexão2" type="7" refreshedVersion="7" background="1" saveData="1"/>
</connections>
</file>

<file path=xl/sharedStrings.xml><?xml version="1.0" encoding="utf-8"?>
<sst xmlns="http://schemas.openxmlformats.org/spreadsheetml/2006/main" count="27882" uniqueCount="1062">
  <si>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</si>
  <si>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</si>
  <si>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</si>
  <si>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</si>
  <si>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</si>
  <si>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</si>
  <si>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</si>
  <si>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</si>
  <si>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</si>
  <si>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</si>
  <si>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</si>
  <si>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</si>
  <si>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</si>
  <si>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</si>
  <si>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</si>
  <si>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</si>
  <si>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</si>
  <si>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</si>
  <si>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</si>
  <si>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</si>
  <si>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</si>
  <si>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</si>
  <si>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</si>
  <si>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</si>
  <si>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</si>
  <si>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</si>
  <si>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</si>
  <si>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</si>
  <si>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</si>
  <si>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</si>
  <si>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</si>
  <si>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</si>
  <si>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</si>
  <si>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</si>
  <si>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</si>
  <si>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</si>
  <si>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</si>
  <si>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</si>
  <si>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</si>
  <si>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</si>
  <si>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</si>
  <si>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</si>
  <si>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</si>
  <si>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</si>
  <si>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</si>
  <si>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</si>
  <si>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</si>
  <si>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</si>
  <si>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</si>
  <si>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</si>
  <si>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</si>
  <si>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</si>
  <si>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Azul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</si>
  <si>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</si>
  <si>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</si>
  <si>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</si>
  <si>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</si>
  <si>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</si>
  <si>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</si>
  <si>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</si>
  <si>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</si>
  <si>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</si>
  <si>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</si>
  <si>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</si>
  <si>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</si>
  <si>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</si>
  <si>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</si>
  <si>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</si>
  <si>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</si>
  <si>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</si>
  <si>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</si>
  <si>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</si>
  <si>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</si>
  <si>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</si>
  <si>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</si>
  <si>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</si>
  <si>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</si>
  <si>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</si>
  <si>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</si>
  <si>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</si>
  <si>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</si>
  <si>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</si>
  <si>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</si>
  <si>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</si>
  <si>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</si>
  <si>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</si>
  <si>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</si>
  <si>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</si>
  <si>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</si>
  <si>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</si>
  <si>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</si>
  <si>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</si>
  <si>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44713A4AzulNão se aplicaNão se aplicaNão se aplicaNão se aplicaFora ponta</t>
  </si>
  <si>
    <t>44713A4AzulNão se aplicaNão se aplicaNão se aplicaNão se aplicaPonta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</si>
  <si>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</si>
  <si>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</si>
  <si>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</si>
  <si>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</si>
  <si>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</si>
  <si>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</si>
  <si>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</si>
  <si>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</si>
  <si>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</si>
  <si>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</si>
  <si>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</si>
  <si>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</si>
  <si>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</si>
  <si>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</si>
  <si>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</si>
  <si>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</si>
  <si>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</si>
  <si>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</si>
  <si>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</si>
  <si>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</si>
  <si>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</si>
  <si>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</si>
  <si>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</si>
  <si>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</si>
  <si>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</si>
  <si>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</si>
  <si>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</si>
  <si>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</si>
  <si>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</si>
  <si>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</si>
  <si>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</si>
  <si>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</si>
  <si>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</si>
  <si>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</si>
  <si>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</si>
  <si>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</si>
  <si>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</si>
  <si>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</si>
  <si>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</si>
  <si>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</si>
  <si>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</si>
  <si>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</si>
  <si>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</si>
  <si>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</si>
  <si>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</si>
  <si>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</si>
  <si>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</si>
  <si>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</si>
  <si>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</si>
  <si>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</si>
  <si>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</si>
  <si>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</si>
  <si>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</si>
  <si>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</si>
  <si>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</si>
  <si>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</si>
  <si>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</si>
  <si>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</si>
  <si>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</si>
  <si>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</si>
  <si>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</si>
  <si>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</si>
  <si>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</si>
  <si>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</si>
  <si>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</si>
  <si>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</si>
  <si>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</si>
  <si>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</si>
  <si>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</si>
  <si>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</si>
  <si>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</si>
  <si>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</si>
  <si>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</si>
  <si>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</si>
  <si>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</si>
  <si>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</si>
  <si>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</si>
  <si>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</si>
  <si>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</si>
  <si>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</si>
  <si>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</si>
  <si>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</si>
  <si>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</si>
  <si>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</si>
  <si>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</si>
  <si>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</si>
  <si>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</si>
  <si>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</si>
  <si>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</si>
  <si>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</si>
  <si>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</si>
  <si>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</si>
  <si>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44378B1ConvencionalResidencialResidencial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</si>
  <si>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</si>
  <si>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</si>
  <si>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</si>
  <si>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</si>
  <si>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</si>
  <si>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</si>
  <si>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</si>
  <si>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</si>
  <si>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</si>
  <si>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</si>
  <si>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</si>
  <si>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</si>
  <si>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</si>
  <si>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</si>
  <si>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</si>
  <si>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</si>
  <si>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</si>
  <si>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</si>
  <si>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</si>
  <si>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</si>
  <si>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</si>
  <si>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</si>
  <si>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</si>
  <si>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</si>
  <si>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</si>
  <si>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</si>
  <si>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</si>
  <si>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</si>
  <si>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</si>
  <si>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</si>
  <si>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</si>
  <si>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</si>
  <si>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</si>
  <si>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</si>
  <si>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</si>
  <si>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44378B4ConvencionalIluminação públicaIluminação pública – B4aNão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</si>
  <si>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</si>
  <si>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</si>
  <si>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</si>
  <si>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</si>
  <si>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</si>
  <si>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</si>
  <si>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</si>
  <si>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</si>
  <si>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</si>
  <si>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</si>
  <si>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</si>
  <si>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CHAVE TE</t>
  </si>
  <si>
    <t>44713A4Energia horáriaNão se aplicaNão se aplicaNão se aplicaNão se aplicaFora ponta</t>
  </si>
  <si>
    <t>44713A4Energia horáriaNão se aplicaNão se aplicaNão se aplicaNão se aplicaPonta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</si>
  <si>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</si>
  <si>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</si>
  <si>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</si>
  <si>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</si>
  <si>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</si>
  <si>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</si>
  <si>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</si>
  <si>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</si>
  <si>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</si>
  <si>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</si>
  <si>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</si>
  <si>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</si>
  <si>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</si>
  <si>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</si>
  <si>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</si>
  <si>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</si>
  <si>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</si>
  <si>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</si>
  <si>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</si>
  <si>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</si>
  <si>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</si>
  <si>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</si>
  <si>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</si>
  <si>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</si>
  <si>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</si>
  <si>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</si>
  <si>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</si>
  <si>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</si>
  <si>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</si>
  <si>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</si>
  <si>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</si>
  <si>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</si>
  <si>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</si>
  <si>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</si>
  <si>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</si>
  <si>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</si>
  <si>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</si>
  <si>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</si>
  <si>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</si>
  <si>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</si>
  <si>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</si>
  <si>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</si>
  <si>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</si>
  <si>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</si>
  <si>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</si>
  <si>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</si>
  <si>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</si>
  <si>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</si>
  <si>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</si>
  <si>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</si>
  <si>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</si>
  <si>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</si>
  <si>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</si>
  <si>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</si>
  <si>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</si>
  <si>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</si>
  <si>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</si>
  <si>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</si>
  <si>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</si>
  <si>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</si>
  <si>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</si>
  <si>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</si>
  <si>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</si>
  <si>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</si>
  <si>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</si>
  <si>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</si>
  <si>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</si>
  <si>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</si>
  <si>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</si>
  <si>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</si>
  <si>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</si>
  <si>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</si>
  <si>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</si>
  <si>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</si>
  <si>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44378B1Energia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</si>
  <si>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</si>
  <si>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</si>
  <si>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</si>
  <si>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</si>
  <si>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</si>
  <si>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</si>
  <si>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</si>
  <si>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</si>
  <si>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</si>
  <si>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</si>
  <si>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</si>
  <si>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</si>
  <si>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</si>
  <si>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</si>
  <si>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</si>
  <si>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</si>
  <si>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</si>
  <si>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</si>
  <si>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</si>
  <si>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</si>
  <si>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</si>
  <si>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</si>
  <si>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</si>
  <si>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</si>
  <si>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</si>
  <si>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</si>
  <si>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</si>
  <si>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</si>
  <si>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</si>
  <si>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</si>
  <si>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</si>
  <si>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</si>
  <si>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</si>
  <si>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</si>
  <si>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</si>
  <si>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44378B4Energia convencionalIluminação públicaIluminação pública – B4aNão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</si>
  <si>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</si>
  <si>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</si>
  <si>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</si>
  <si>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</si>
  <si>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</si>
  <si>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</si>
  <si>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</si>
  <si>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</si>
  <si>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</si>
  <si>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</si>
  <si>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</si>
  <si>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</si>
  <si>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</si>
  <si>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</si>
  <si>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</si>
  <si>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</si>
  <si>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</si>
  <si>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</si>
  <si>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</si>
  <si>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</si>
  <si>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</si>
  <si>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</si>
  <si>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</si>
  <si>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</si>
  <si>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</si>
  <si>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</si>
  <si>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</si>
  <si>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</si>
  <si>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</si>
  <si>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</si>
  <si>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</si>
  <si>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</si>
  <si>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</si>
  <si>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</si>
  <si>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</si>
  <si>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</si>
  <si>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</si>
  <si>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</si>
  <si>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</si>
  <si>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</si>
  <si>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</si>
  <si>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</si>
  <si>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</si>
  <si>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</si>
  <si>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</si>
  <si>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</si>
  <si>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</si>
  <si>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</si>
  <si>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</si>
  <si>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</si>
  <si>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</si>
  <si>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</si>
  <si>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</si>
  <si>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</si>
  <si>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</si>
  <si>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</si>
  <si>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</si>
  <si>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</si>
  <si>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</si>
  <si>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</si>
  <si>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</si>
  <si>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</si>
  <si>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</si>
  <si>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</si>
  <si>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</si>
  <si>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</si>
  <si>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</si>
  <si>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</si>
  <si>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</si>
  <si>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</si>
  <si>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</si>
  <si>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</si>
  <si>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</si>
  <si>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</si>
  <si>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</si>
  <si>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</si>
  <si>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</si>
  <si>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</si>
  <si>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</si>
  <si>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</si>
  <si>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</si>
  <si>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</si>
  <si>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</si>
  <si>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</si>
  <si>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</si>
  <si>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</si>
  <si>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</si>
  <si>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</si>
  <si>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</si>
  <si>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</si>
  <si>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</si>
  <si>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</si>
  <si>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</si>
  <si>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</si>
  <si>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</si>
  <si>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</si>
  <si>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</si>
  <si>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</si>
  <si>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</si>
  <si>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</si>
  <si>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</si>
  <si>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</si>
  <si>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</si>
  <si>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</si>
  <si>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</si>
  <si>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</si>
  <si>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</si>
  <si>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</si>
  <si>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</si>
  <si>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</si>
  <si>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</si>
  <si>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</si>
  <si>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</si>
  <si>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</si>
  <si>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</si>
  <si>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</si>
  <si>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</si>
  <si>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</si>
  <si>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</si>
  <si>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</si>
  <si>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</si>
  <si>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</si>
  <si>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</si>
  <si>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</si>
  <si>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</si>
  <si>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</si>
  <si>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</si>
  <si>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</si>
  <si>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</si>
  <si>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</si>
  <si>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</si>
  <si>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</si>
  <si>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</si>
  <si>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</si>
  <si>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</si>
  <si>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</si>
  <si>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</si>
  <si>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</si>
  <si>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</si>
  <si>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</si>
  <si>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</si>
  <si>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</si>
  <si>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</si>
  <si>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</si>
  <si>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</si>
  <si>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</si>
  <si>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</si>
  <si>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</si>
  <si>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</si>
  <si>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</si>
  <si>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</si>
  <si>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</si>
  <si>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</si>
  <si>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</si>
  <si>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</si>
  <si>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</si>
  <si>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</si>
  <si>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</si>
  <si>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</si>
  <si>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</si>
  <si>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</si>
  <si>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</si>
  <si>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</si>
  <si>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</si>
  <si>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</si>
  <si>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</si>
  <si>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</si>
  <si>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</si>
  <si>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</si>
  <si>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</si>
  <si>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</si>
  <si>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</si>
  <si>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</si>
  <si>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</si>
  <si>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</si>
  <si>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</si>
  <si>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</si>
  <si>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</si>
  <si>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</si>
  <si>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</si>
  <si>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</si>
  <si>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</si>
  <si>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</si>
  <si>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</si>
  <si>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</si>
  <si>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</si>
  <si>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</si>
  <si>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</si>
  <si>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</si>
  <si>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</si>
  <si>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</si>
  <si>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</si>
  <si>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</si>
  <si>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</si>
  <si>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</si>
  <si>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</si>
  <si>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</si>
  <si>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</si>
  <si>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</si>
  <si>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</si>
  <si>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</si>
  <si>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</si>
  <si>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</si>
  <si>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</si>
  <si>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</si>
  <si>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</si>
  <si>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</si>
  <si>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</si>
  <si>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</si>
  <si>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</si>
  <si>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</si>
  <si>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</si>
  <si>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</si>
  <si>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</si>
  <si>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CARGA FONTE INCENTIVADA</t>
  </si>
  <si>
    <t>SUBSIDIO IRRIGANTE/AQUICULTOR</t>
  </si>
  <si>
    <t>SUBSIDIO BAIXA RENDA</t>
  </si>
  <si>
    <t>SUBSIDIO ÁGUA, ESGOTO E SANEAMENTO</t>
  </si>
  <si>
    <t>R$ (TV)</t>
  </si>
  <si>
    <t>R$ (TN)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</si>
  <si>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</si>
  <si>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</si>
  <si>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</si>
  <si>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</si>
  <si>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</si>
  <si>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</si>
  <si>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</si>
  <si>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</si>
  <si>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</si>
  <si>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</si>
  <si>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Azul1Serviço públicoÁgua, esgoto e saneamentoPlanilha CUSTOA4</t>
  </si>
  <si>
    <t>2021</t>
  </si>
  <si>
    <t>Verde1Serviço públicoÁgua, esgoto e saneamentoPlanilha CUSTOA4</t>
  </si>
  <si>
    <t>Convencional 1Serviço públicoÁgua, esgoto e saneamentoPlanilha CUSTOA4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</si>
  <si>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</si>
  <si>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</si>
  <si>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</si>
  <si>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</si>
  <si>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>Azul1RuralNão se aplicaPlanilha CustoA4</t>
  </si>
  <si>
    <t>Verde1RuralNão se aplicaPlanilha CustoA4</t>
  </si>
  <si>
    <t>Convencional1RuralNão se aplicaPlanilha CustoA4</t>
  </si>
  <si>
    <t>Convencional1RuralNão se aplicaRuralB2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</si>
  <si>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</si>
  <si>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</si>
  <si>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</si>
  <si>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</si>
  <si>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</si>
  <si>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</si>
  <si>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</si>
  <si>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</si>
  <si>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</si>
  <si>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</si>
  <si>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</si>
  <si>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</si>
  <si>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</si>
  <si>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</si>
  <si>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</si>
  <si>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</si>
  <si>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</si>
  <si>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</si>
  <si>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</si>
  <si>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</si>
  <si>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</si>
  <si>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</si>
  <si>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</si>
  <si>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</si>
  <si>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</si>
  <si>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</si>
  <si>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</si>
  <si>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</si>
  <si>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</si>
  <si>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</si>
  <si>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</si>
  <si>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</si>
  <si>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</si>
  <si>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</si>
  <si>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</si>
  <si>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</si>
  <si>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</si>
  <si>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</si>
  <si>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</si>
  <si>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</si>
  <si>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</si>
  <si>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</si>
  <si>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</si>
  <si>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</si>
  <si>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</si>
  <si>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</si>
  <si>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</si>
  <si>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</si>
  <si>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</si>
  <si>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</si>
  <si>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</si>
  <si>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</si>
  <si>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</si>
  <si>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</si>
  <si>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</si>
  <si>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</si>
  <si>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</si>
  <si>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</si>
  <si>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</si>
  <si>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</si>
  <si>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</si>
  <si>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</si>
  <si>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</si>
  <si>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</si>
  <si>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</si>
  <si>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</si>
  <si>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</si>
  <si>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</si>
  <si>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</si>
  <si>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</si>
  <si>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</si>
  <si>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</si>
  <si>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</si>
  <si>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</si>
  <si>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</si>
  <si>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</si>
  <si>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</si>
  <si>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</si>
  <si>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</si>
  <si>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</si>
  <si>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</si>
  <si>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</si>
  <si>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</si>
  <si>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</si>
  <si>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</si>
  <si>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</si>
  <si>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</si>
  <si>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</si>
  <si>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</si>
  <si>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</si>
  <si>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</si>
  <si>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</si>
  <si>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</si>
  <si>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</si>
  <si>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</si>
  <si>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</si>
  <si>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</si>
  <si>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</si>
  <si>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</si>
  <si>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</si>
  <si>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</si>
  <si>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</si>
  <si>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</si>
  <si>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</si>
  <si>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</si>
  <si>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</si>
  <si>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</si>
  <si>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</si>
  <si>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</si>
  <si>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</si>
  <si>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</si>
  <si>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</si>
  <si>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</si>
  <si>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</si>
  <si>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</si>
  <si>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</si>
  <si>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</si>
  <si>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</si>
  <si>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</si>
  <si>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</si>
  <si>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</si>
  <si>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</si>
  <si>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</si>
  <si>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</si>
  <si>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</si>
  <si>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</si>
  <si>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</si>
  <si>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</si>
  <si>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</si>
  <si>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</si>
  <si>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</si>
  <si>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</si>
  <si>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</si>
  <si>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</si>
  <si>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</si>
  <si>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</si>
  <si>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</si>
  <si>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</si>
  <si>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</si>
  <si>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</si>
  <si>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</si>
  <si>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</si>
  <si>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</si>
  <si>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</si>
  <si>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</si>
  <si>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</si>
  <si>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</si>
  <si>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</si>
  <si>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</si>
  <si>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</si>
  <si>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</si>
  <si>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</si>
  <si>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</si>
  <si>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</si>
  <si>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</si>
  <si>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</si>
  <si>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</si>
  <si>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</si>
  <si>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</si>
  <si>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</si>
  <si>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</si>
  <si>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</si>
  <si>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</si>
  <si>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</si>
  <si>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</si>
  <si>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</si>
  <si>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</si>
  <si>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</si>
  <si>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</si>
  <si>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</si>
  <si>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</si>
  <si>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</si>
  <si>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</si>
  <si>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</si>
  <si>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</si>
  <si>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</si>
  <si>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</si>
  <si>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</si>
  <si>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</si>
  <si>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</si>
  <si>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</si>
  <si>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</si>
  <si>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</si>
  <si>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</si>
  <si>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</si>
  <si>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</si>
  <si>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</si>
  <si>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</si>
  <si>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</si>
  <si>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</si>
  <si>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</si>
  <si>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</si>
  <si>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</si>
  <si>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</si>
  <si>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</si>
  <si>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</si>
  <si>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</si>
  <si>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</si>
  <si>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</si>
  <si>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</si>
  <si>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</si>
  <si>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</si>
  <si>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</si>
  <si>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</si>
  <si>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</si>
  <si>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</si>
  <si>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</si>
  <si>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</si>
  <si>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</si>
  <si>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</si>
  <si>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</si>
  <si>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</si>
  <si>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</si>
  <si>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</si>
  <si>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</si>
  <si>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</si>
  <si>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</si>
  <si>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</si>
  <si>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</si>
  <si>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</si>
  <si>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</si>
  <si>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</si>
  <si>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</si>
  <si>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</si>
  <si>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</si>
  <si>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</si>
  <si>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</si>
  <si>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</si>
  <si>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</si>
  <si>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</si>
  <si>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</si>
  <si>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</si>
  <si>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</si>
  <si>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</si>
  <si>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</si>
  <si>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</si>
  <si>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</si>
  <si>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</si>
  <si>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</si>
  <si>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</si>
  <si>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</si>
  <si>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</si>
  <si>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</si>
  <si>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</si>
  <si>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</si>
  <si>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</si>
  <si>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</si>
  <si>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</si>
  <si>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</si>
  <si>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</si>
  <si>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</si>
  <si>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</si>
  <si>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</si>
  <si>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</si>
  <si>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</si>
  <si>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</si>
  <si>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</si>
  <si>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</si>
  <si>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</si>
  <si>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</si>
  <si>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</si>
  <si>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</si>
  <si>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</si>
  <si>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</si>
  <si>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</si>
  <si>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</si>
  <si>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</si>
  <si>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</si>
  <si>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</si>
  <si>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</si>
  <si>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</si>
  <si>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</si>
  <si>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</si>
  <si>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</si>
  <si>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</si>
  <si>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</si>
  <si>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</si>
  <si>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</si>
  <si>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</si>
  <si>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</si>
  <si>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</si>
  <si>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</si>
  <si>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</si>
  <si>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</si>
  <si>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</si>
  <si>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</si>
  <si>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</si>
  <si>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</si>
  <si>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</si>
  <si>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</si>
  <si>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</si>
  <si>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</si>
  <si>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</si>
  <si>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</si>
  <si>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</si>
  <si>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</si>
  <si>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</si>
  <si>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</si>
  <si>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</si>
  <si>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</si>
  <si>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</si>
  <si>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</si>
  <si>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</si>
  <si>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</si>
  <si>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</si>
  <si>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</si>
  <si>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</si>
  <si>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</si>
  <si>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</si>
  <si>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</si>
  <si>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</si>
  <si>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</si>
  <si>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</si>
  <si>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</si>
  <si>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</si>
  <si>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</si>
  <si>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</si>
  <si>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</si>
  <si>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</si>
  <si>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</si>
  <si>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</si>
  <si>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</si>
  <si>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</si>
  <si>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</si>
  <si>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</si>
  <si>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</si>
  <si>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</si>
  <si>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</si>
  <si>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</si>
  <si>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</si>
  <si>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</si>
  <si>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</si>
  <si>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</si>
  <si>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</si>
  <si>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</si>
  <si>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</si>
  <si>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</si>
  <si>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</si>
  <si>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</si>
  <si>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</si>
  <si>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</si>
  <si>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</si>
  <si>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</si>
  <si>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</si>
  <si>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</si>
  <si>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</si>
  <si>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</si>
  <si>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</si>
  <si>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</si>
  <si>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</si>
  <si>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</si>
  <si>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</si>
  <si>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</si>
  <si>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</si>
  <si>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</si>
  <si>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</si>
  <si>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</si>
  <si>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</si>
  <si>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</si>
  <si>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</si>
  <si>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</si>
  <si>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</si>
  <si>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</si>
  <si>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</si>
  <si>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</si>
  <si>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</si>
  <si>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</si>
  <si>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</si>
  <si>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</si>
  <si>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</si>
  <si>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</si>
  <si>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</si>
  <si>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</si>
  <si>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</si>
  <si>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</si>
  <si>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</si>
  <si>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</si>
  <si>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</si>
  <si>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</si>
  <si>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</si>
  <si>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</si>
  <si>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</si>
  <si>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</si>
  <si>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</si>
  <si>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</si>
  <si>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</si>
  <si>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</si>
  <si>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</si>
  <si>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</si>
  <si>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</si>
  <si>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</si>
  <si>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</si>
  <si>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Sparta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</si>
  <si>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</si>
  <si>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</si>
  <si>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</si>
  <si>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</si>
  <si>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</si>
  <si>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</si>
  <si>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</si>
  <si>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</si>
  <si>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</si>
  <si>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</si>
  <si>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</si>
  <si>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</si>
  <si>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</si>
  <si>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</si>
  <si>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</si>
  <si>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Tabela 4</t>
  </si>
  <si>
    <t>SERVIÇOS COBRÁVEIS</t>
  </si>
  <si>
    <t>Grupo B (R$)</t>
  </si>
  <si>
    <t>Grupo A (R$)</t>
  </si>
  <si>
    <t>Monofásico</t>
  </si>
  <si>
    <t>Bifásico</t>
  </si>
  <si>
    <t>Trifásico</t>
  </si>
  <si>
    <t>I - Vistoria de unidade consumidora</t>
  </si>
  <si>
    <t>II - Aferição de medidor</t>
  </si>
  <si>
    <t>III - Verificação de nível de tensão</t>
  </si>
  <si>
    <t>IV - Religação normal</t>
  </si>
  <si>
    <t>V - Religação de urgência</t>
  </si>
  <si>
    <t>VI - Segunda via de fatura</t>
  </si>
  <si>
    <t>VII - Segunda via declaração de quitação anual de débitos</t>
  </si>
  <si>
    <t>VIII - Disponibilização dados de medição (memória de massa)</t>
  </si>
  <si>
    <t>IX - Desligamento programado</t>
  </si>
  <si>
    <t>X - Religação programada</t>
  </si>
  <si>
    <t>XI - Fornecimento pulsos potência e sincronismo</t>
  </si>
  <si>
    <t>XII - Comissionamento de obra</t>
  </si>
  <si>
    <t>XIII - Deslocamento ou Remoção de poste</t>
  </si>
  <si>
    <t xml:space="preserve"> (*) </t>
  </si>
  <si>
    <t>XIV - Deslocamento ou Remoção de rede</t>
  </si>
  <si>
    <t>XV - Visita técnica</t>
  </si>
  <si>
    <t>XVI - Custo administrativo de inspeção</t>
  </si>
  <si>
    <t>Nº Indice IPCA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</si>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</sst>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center"/>
    </xf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2" fontId="7" fillId="3" borderId="15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6" xfId="0" applyFont="1" applyFill="1" applyBorder="1" applyAlignment="1">
      <alignment horizontal="center" vertical="center"/>
    </xf>
    <xf numFmtId="40" fontId="7" fillId="3" borderId="15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9" fillId="0" borderId="20" xfId="0" applyFont="1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9" fillId="0" borderId="19" xfId="0" applyFont="1" applyBorder="1" applyAlignment="1">
      <alignment vertical="center"/>
    </xf>
    <xf numFmtId="0" fontId="10" fillId="0" borderId="20" xfId="0" applyFont="1" applyBorder="1" applyAlignment="1">
      <alignment horizontal="right" vertical="center"/>
    </xf>
    <xf numFmtId="2" fontId="10" fillId="0" borderId="20" xfId="0" applyNumberFormat="1" applyFont="1" applyBorder="1" applyAlignment="1">
      <alignment horizontal="right" vertical="center"/>
    </xf>
    <xf numFmtId="0" fontId="10" fillId="0" borderId="2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right" vertical="center"/>
    </xf>
    <xf numFmtId="0" fontId="11" fillId="0" borderId="0" xfId="0" applyFont="1"/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3" fillId="6" borderId="22" xfId="0" applyNumberFormat="1" applyFont="1" applyFill="1" applyBorder="1"/>
    <xf numFmtId="4" fontId="13" fillId="6" borderId="12" xfId="0" applyNumberFormat="1" applyFont="1" applyFill="1" applyBorder="1"/>
    <xf numFmtId="4" fontId="13" fillId="6" borderId="23" xfId="0" applyNumberFormat="1" applyFont="1" applyFill="1" applyBorder="1"/>
    <xf numFmtId="4" fontId="13" fillId="6" borderId="6" xfId="0" applyNumberFormat="1" applyFont="1" applyFill="1" applyBorder="1"/>
    <xf numFmtId="4" fontId="13" fillId="6" borderId="13" xfId="0" applyNumberFormat="1" applyFont="1" applyFill="1" applyBorder="1"/>
    <xf numFmtId="4" fontId="13" fillId="6" borderId="5" xfId="0" applyNumberFormat="1" applyFont="1" applyFill="1" applyBorder="1"/>
    <xf numFmtId="4" fontId="13" fillId="6" borderId="24" xfId="0" applyNumberFormat="1" applyFont="1" applyFill="1" applyBorder="1"/>
    <xf numFmtId="4" fontId="13" fillId="6" borderId="10" xfId="0" applyNumberFormat="1" applyFont="1" applyFill="1" applyBorder="1"/>
    <xf numFmtId="4" fontId="13" fillId="6" borderId="21" xfId="0" applyNumberFormat="1" applyFont="1" applyFill="1" applyBorder="1"/>
    <xf numFmtId="4" fontId="13" fillId="6" borderId="13" xfId="0" applyNumberFormat="1" applyFont="1" applyFill="1" applyBorder="1" applyAlignment="1">
      <alignment horizontal="center"/>
    </xf>
    <xf numFmtId="4" fontId="13" fillId="6" borderId="5" xfId="0" applyNumberFormat="1" applyFont="1" applyFill="1" applyBorder="1" applyAlignment="1">
      <alignment horizontal="center"/>
    </xf>
    <xf numFmtId="4" fontId="13" fillId="6" borderId="12" xfId="0" applyNumberFormat="1" applyFont="1" applyFill="1" applyBorder="1" applyAlignment="1">
      <alignment horizontal="center"/>
    </xf>
    <xf numFmtId="4" fontId="13" fillId="6" borderId="23" xfId="0" applyNumberFormat="1" applyFont="1" applyFill="1" applyBorder="1" applyAlignment="1">
      <alignment horizontal="center"/>
    </xf>
    <xf numFmtId="4" fontId="13" fillId="6" borderId="23" xfId="0" applyNumberFormat="1" applyFont="1" applyFill="1" applyBorder="1" applyAlignment="1">
      <alignment horizontal="center"/>
    </xf>
    <xf numFmtId="4" fontId="13" fillId="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959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2.8474015886461023E-4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6.688639749895782E-2</c:v>
                </c:pt>
                <c:pt idx="6">
                  <c:v>1.1412276565961587E-2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6.9792037090591327E-2</c:v>
                </c:pt>
                <c:pt idx="13">
                  <c:v>0</c:v>
                </c:pt>
                <c:pt idx="14">
                  <c:v>0</c:v>
                </c:pt>
                <c:pt idx="15">
                  <c:v>4.570986667081172E-2</c:v>
                </c:pt>
                <c:pt idx="16">
                  <c:v>0</c:v>
                </c:pt>
                <c:pt idx="17">
                  <c:v>0</c:v>
                </c:pt>
                <c:pt idx="18">
                  <c:v>-7.8060972271550098E-3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7-42AB-86B4-F0379F5E23FB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-4.7585480836784814E-4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4.4074031154390431E-2</c:v>
                </c:pt>
                <c:pt idx="6">
                  <c:v>9.3773004867805342E-3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8.5915876516814441E-2</c:v>
                </c:pt>
                <c:pt idx="13">
                  <c:v>0</c:v>
                </c:pt>
                <c:pt idx="14">
                  <c:v>0</c:v>
                </c:pt>
                <c:pt idx="15">
                  <c:v>2.396296904984958E-2</c:v>
                </c:pt>
                <c:pt idx="16">
                  <c:v>0</c:v>
                </c:pt>
                <c:pt idx="17">
                  <c:v>0</c:v>
                </c:pt>
                <c:pt idx="18">
                  <c:v>-4.5263926487775453E-3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7-42AB-86B4-F0379F5E23FB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-4.7585480836784814E-4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4.4074031154390431E-2</c:v>
                </c:pt>
                <c:pt idx="6">
                  <c:v>9.3773004867805342E-3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8.5915876516814441E-2</c:v>
                </c:pt>
                <c:pt idx="13">
                  <c:v>0</c:v>
                </c:pt>
                <c:pt idx="14">
                  <c:v>0</c:v>
                </c:pt>
                <c:pt idx="15">
                  <c:v>2.396296904984958E-2</c:v>
                </c:pt>
                <c:pt idx="16">
                  <c:v>0</c:v>
                </c:pt>
                <c:pt idx="17">
                  <c:v>0</c:v>
                </c:pt>
                <c:pt idx="18">
                  <c:v>-4.5263926487775453E-3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7-42AB-86B4-F0379F5E23FB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3EF7-42AB-86B4-F0379F5E23FB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3EF7-42AB-86B4-F0379F5E23FB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3EF7-42AB-86B4-F0379F5E2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259072"/>
        <c:axId val="767260712"/>
      </c:radarChart>
      <c:catAx>
        <c:axId val="7672590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67260712"/>
        <c:crosses val="autoZero"/>
        <c:auto val="1"/>
        <c:lblAlgn val="ctr"/>
        <c:lblOffset val="100"/>
        <c:noMultiLvlLbl val="0"/>
      </c:catAx>
      <c:valAx>
        <c:axId val="767260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725907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3.2947728727544888E-2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4-478C-9934-DD272493FCBE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-1.1825731584304458E-3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4-478C-9934-DD272493FCBE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-1.1825731584304458E-3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64-478C-9934-DD272493FCBE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7F64-478C-9934-DD272493FCBE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7F64-478C-9934-DD272493FCBE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7F64-478C-9934-DD272493F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410080"/>
        <c:axId val="1132413360"/>
      </c:radarChart>
      <c:catAx>
        <c:axId val="11324100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32413360"/>
        <c:crosses val="autoZero"/>
        <c:auto val="1"/>
        <c:lblAlgn val="ctr"/>
        <c:lblOffset val="100"/>
        <c:noMultiLvlLbl val="0"/>
      </c:catAx>
      <c:valAx>
        <c:axId val="113241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241008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228601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7433D4-47F1-49B1-8979-E6192C85C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152401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41AC37-90A6-4E9D-9395-00A5AD3CE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55.615551388888" createdVersion="5" refreshedVersion="7" minRefreshableVersion="3" recordCount="600" xr:uid="{D00B07B3-89E8-48C9-8D87-B199EB3B10D3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8">
        <s v="Industrial"/>
        <s v="Rural"/>
        <s v="Comercial"/>
        <s v="Residencial"/>
        <s v="Consumo próprio"/>
        <s v="Poder público"/>
        <s v="Serviço público"/>
        <s v="Iluminação pública"/>
      </sharedItems>
    </cacheField>
    <cacheField name="Subclasse" numFmtId="0">
      <sharedItems count="9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  <s v="Iluminação pública – B4a"/>
      </sharedItems>
    </cacheField>
    <cacheField name="Detalhe" numFmtId="0">
      <sharedItems count="4">
        <s v="Não se aplica"/>
        <s v="Fonte incentivada"/>
        <s v="IRRIG./AQUIC. PR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2-06-01T00:00:00"/>
        <d v="2022-02-01T00:00:00"/>
        <d v="2022-03-01T00:00:00"/>
        <d v="2022-04-01T00:00:00"/>
        <d v="2022-05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</sharedItems>
    </cacheField>
    <cacheField name="D" numFmtId="40">
      <sharedItems containsSemiMixedTypes="0" containsString="0" containsNumber="1" containsInteger="1" minValue="-3781" maxValue="5370"/>
    </cacheField>
    <cacheField name="Daj" numFmtId="40">
      <sharedItems containsSemiMixedTypes="0" containsString="0" containsNumber="1" minValue="-3629.76" maxValue="5155.2"/>
    </cacheField>
    <cacheField name="TUSD_E" numFmtId="40">
      <sharedItems containsSemiMixedTypes="0" containsString="0" containsNumber="1" minValue="-519.51099999999997" maxValue="6116.61"/>
    </cacheField>
    <cacheField name="TUSD_Eaj" numFmtId="40">
      <sharedItems containsSemiMixedTypes="0" containsString="0" containsNumber="1" minValue="-519.51099999999997" maxValue="6116.61"/>
    </cacheField>
    <cacheField name="TE_E" numFmtId="40">
      <sharedItems containsSemiMixedTypes="0" containsString="0" containsNumber="1" minValue="-519.51099999999997" maxValue="6116.61"/>
    </cacheField>
    <cacheField name="TE_Eaj" numFmtId="40">
      <sharedItems containsSemiMixedTypes="0" containsString="0" containsNumber="1" minValue="-519.51099999999997" maxValue="6116.61"/>
    </cacheField>
    <cacheField name="UC" numFmtId="40">
      <sharedItems containsSemiMixedTypes="0" containsString="0" containsNumber="1" containsInteger="1" minValue="0" maxValue="12170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21"/>
    </cacheField>
    <cacheField name="CóD. AUX. TUSD R$/MWh" numFmtId="40">
      <sharedItems containsSemiMixedTypes="0" containsString="0" containsNumber="1" containsInteger="1" minValue="0" maxValue="61"/>
    </cacheField>
    <cacheField name="CóD. AUX. TE R$/MWh" numFmtId="40">
      <sharedItems containsSemiMixedTypes="0" containsString="0" containsNumber="1" containsInteger="1" minValue="0" maxValue="86"/>
    </cacheField>
    <cacheField name="TUSD (R$/kW)" numFmtId="40">
      <sharedItems containsSemiMixedTypes="0" containsString="0" containsNumber="1" minValue="0" maxValue="57.56"/>
    </cacheField>
    <cacheField name="TUSD (R$/MWh)" numFmtId="40">
      <sharedItems containsSemiMixedTypes="0" containsString="0" containsNumber="1" minValue="0" maxValue="1465.12"/>
    </cacheField>
    <cacheField name="TE (R$/MWh)" numFmtId="40">
      <sharedItems containsSemiMixedTypes="0" containsString="0" containsNumber="1" minValue="0" maxValue="252.22"/>
    </cacheField>
    <cacheField name="TUSD (R$/kW) NOVA" numFmtId="40">
      <sharedItems containsString="0" containsBlank="1" containsNumber="1" minValue="45.87320696171841" maxValue="58.826138336710258"/>
    </cacheField>
    <cacheField name="TUSD (R$/MWh) NOVA" numFmtId="40">
      <sharedItems containsString="0" containsBlank="1" containsNumber="1" minValue="89.719855298032911" maxValue="1505.0863668607667"/>
    </cacheField>
    <cacheField name="TE (R$/MWh) NOVA" numFmtId="40">
      <sharedItems containsString="0" containsBlank="1" containsNumber="1" minValue="87.898656943938946" maxValue="251.13901983982558"/>
    </cacheField>
    <cacheField name="RA0 ou RV - TUSD (kW)" numFmtId="40">
      <sharedItems containsSemiMixedTypes="0" containsString="0" containsNumber="1" minValue="-164863.6992" maxValue="234149.18400000001"/>
    </cacheField>
    <cacheField name="RA0 ou RV - TUSD (MWh)" numFmtId="40">
      <sharedItems containsSemiMixedTypes="0" containsString="0" containsNumber="1" minValue="-121648.69575999999" maxValue="2291649.1025999999"/>
    </cacheField>
    <cacheField name="RA0 ou RV - TE (MWh)" numFmtId="40">
      <sharedItems containsSemiMixedTypes="0" containsString="0" containsNumber="1" minValue="-72066.565919999994" maxValue="1357642.7556"/>
    </cacheField>
    <cacheField name="RA1 ou RRD - TUSD (kW)" numFmtId="40">
      <sharedItems containsSemiMixedTypes="0" containsString="0" containsNumber="1" minValue="-166508.73170136701" maxValue="236485.55652905072"/>
    </cacheField>
    <cacheField name="RA1 ou RRD - TUSD (MWh)" numFmtId="40">
      <sharedItems containsSemiMixedTypes="0" containsString="0" containsNumber="1" minValue="-123613.75928839162" maxValue="2487413.6949026394"/>
    </cacheField>
    <cacheField name="RA1 ou RRD - TE (MWh)" numFmtId="40">
      <sharedItems containsSemiMixedTypes="0" containsString="0" containsNumber="1" minValue="-71758.215834804199" maxValue="1443952.2737339267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55.615615972223" createdVersion="5" refreshedVersion="7" minRefreshableVersion="3" recordCount="349" xr:uid="{230EDEA2-F653-4C2C-8D87-FBCCF86A536A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4">
        <s v="Rural"/>
        <s v="Industrial"/>
        <s v="Residencial"/>
        <s v="Serviço público"/>
      </sharedItems>
    </cacheField>
    <cacheField name="Subclasse" numFmtId="0">
      <sharedItems count="8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</sharedItems>
    </cacheField>
    <cacheField name="Detalhe" numFmtId="0">
      <sharedItems count="4">
        <s v="Não se aplica"/>
        <s v="Fonte incentivada"/>
        <s v="IRRIG./AQUIC. PR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2-02-01T00:00:00"/>
        <d v="2022-03-01T00:00:00"/>
        <d v="2022-04-01T00:00:00"/>
        <d v="2022-05-01T00:00:00"/>
        <d v="2022-06-01T00:00:00"/>
        <d v="2021-09-01T00:00:00"/>
        <d v="2021-10-01T00:00:00"/>
        <d v="2021-11-01T00:00:00"/>
        <d v="2021-12-01T00:00:00"/>
        <d v="2022-01-01T00:00:00"/>
        <d v="2021-07-01T00:00:00"/>
        <d v="2021-08-01T00:00:00"/>
      </sharedItems>
    </cacheField>
    <cacheField name="D" numFmtId="40">
      <sharedItems containsSemiMixedTypes="0" containsString="0" containsNumber="1" containsInteger="1" minValue="-3781" maxValue="5370"/>
    </cacheField>
    <cacheField name="Daj" numFmtId="40">
      <sharedItems containsSemiMixedTypes="0" containsString="0" containsNumber="1" minValue="-3629.76" maxValue="5155.2"/>
    </cacheField>
    <cacheField name="TUSD_E" numFmtId="40">
      <sharedItems containsSemiMixedTypes="0" containsString="0" containsNumber="1" minValue="-48.38" maxValue="6116.61"/>
    </cacheField>
    <cacheField name="TUSD_Eaj" numFmtId="40">
      <sharedItems containsSemiMixedTypes="0" containsString="0" containsNumber="1" minValue="-46.444800000000001" maxValue="6116.61"/>
    </cacheField>
    <cacheField name="TE_E" numFmtId="40">
      <sharedItems containsSemiMixedTypes="0" containsString="0" containsNumber="1" minValue="-48.38" maxValue="6116.61"/>
    </cacheField>
    <cacheField name="TE_Eaj" numFmtId="40">
      <sharedItems containsSemiMixedTypes="0" containsString="0" containsNumber="1" minValue="-46.444800000000001" maxValue="6116.61"/>
    </cacheField>
    <cacheField name="UC" numFmtId="40">
      <sharedItems containsSemiMixedTypes="0" containsString="0" containsNumber="1" containsInteger="1" minValue="0" maxValue="12170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21"/>
    </cacheField>
    <cacheField name="CóD. AUX. TUSD R$/MWh" numFmtId="0">
      <sharedItems containsSemiMixedTypes="0" containsString="0" containsNumber="1" containsInteger="1" minValue="0" maxValue="61"/>
    </cacheField>
    <cacheField name="CóD. AUX. TE R$/MWh" numFmtId="0">
      <sharedItems containsSemiMixedTypes="0" containsString="0" containsNumber="1" containsInteger="1" minValue="0" maxValue="86"/>
    </cacheField>
    <cacheField name="TUSD (R$/kW)" numFmtId="40">
      <sharedItems containsSemiMixedTypes="0" containsString="0" containsNumber="1" minValue="0" maxValue="57.56"/>
    </cacheField>
    <cacheField name="TUSD (R$/MWh)" numFmtId="40">
      <sharedItems containsSemiMixedTypes="0" containsString="0" containsNumber="1" minValue="0" maxValue="1465.12"/>
    </cacheField>
    <cacheField name="TE (R$/MWh)" numFmtId="40">
      <sharedItems containsSemiMixedTypes="0" containsString="0" containsNumber="1" minValue="0" maxValue="252.22"/>
    </cacheField>
    <cacheField name="TUSD (R$/kW) NOVA" numFmtId="40">
      <sharedItems containsString="0" containsBlank="1" containsNumber="1" minValue="45.87320696171841" maxValue="58.826138336710258"/>
    </cacheField>
    <cacheField name="TUSD (R$/MWh) NOVA" numFmtId="40">
      <sharedItems containsString="0" containsBlank="1" containsNumber="1" minValue="89.719855298032911" maxValue="1505.0863668607667"/>
    </cacheField>
    <cacheField name="TE (R$/MWh) NOVA" numFmtId="40">
      <sharedItems containsString="0" containsBlank="1" containsNumber="1" minValue="87.898656943938946" maxValue="251.13901983982558"/>
    </cacheField>
    <cacheField name="SUBSIDIO kW - TV" numFmtId="40">
      <sharedItems containsSemiMixedTypes="0" containsString="0" containsNumber="1" minValue="-6869.3207999999904" maxValue="27252"/>
    </cacheField>
    <cacheField name="SUBSIDIO MWh - TV" numFmtId="40">
      <sharedItems containsSemiMixedTypes="0" containsString="0" containsNumber="1" minValue="-5430.0199199999997" maxValue="497586.22349999996"/>
    </cacheField>
    <cacheField name="SUBSIDIO kW - TN" numFmtId="40">
      <sharedItems containsSemiMixedTypes="0" containsString="0" containsNumber="1" minValue="-6937.8638208902821" maxValue="27523.924177031047"/>
    </cacheField>
    <cacheField name="SUBSIDIO MWh - TN" numFmtId="40">
      <sharedItems containsSemiMixedTypes="0" containsString="0" containsNumber="1" minValue="-5273.6085567675073" maxValue="250938.2533172277"/>
    </cacheField>
    <cacheField name="TIPO" numFmtId="0">
      <sharedItems containsBlank="1" count="6">
        <s v="SUBSIDIO RURAL"/>
        <s v="SUBSIDIO CARGA FONTE INCENTIVADA"/>
        <s v="SUBSIDIO IRRIGANTE/AQUICULTOR"/>
        <m/>
        <s v="SUBSIDIO BAIXA RENDA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s v="Regular"/>
    <x v="0"/>
    <x v="0"/>
    <x v="0"/>
    <x v="0"/>
    <x v="0"/>
    <x v="0"/>
    <x v="0"/>
    <x v="0"/>
    <n v="600"/>
    <n v="600"/>
    <n v="225.506"/>
    <n v="225.506"/>
    <n v="225.506"/>
    <n v="225.506"/>
    <n v="0"/>
    <x v="0"/>
    <n v="0"/>
    <n v="16"/>
    <n v="9"/>
    <n v="28"/>
    <n v="45.42"/>
    <n v="79.319999999999993"/>
    <n v="252.22"/>
    <n v="45.87320696171841"/>
    <n v="89.719855298032911"/>
    <n v="251.13901983982558"/>
    <n v="27252"/>
    <n v="17887.135919999997"/>
    <n v="56877.123319999999"/>
    <n v="27523.924177031047"/>
    <n v="20232.36568883821"/>
    <n v="56633.355807999709"/>
  </r>
  <r>
    <s v="Regular"/>
    <x v="0"/>
    <x v="0"/>
    <x v="0"/>
    <x v="0"/>
    <x v="0"/>
    <x v="0"/>
    <x v="1"/>
    <x v="0"/>
    <n v="241"/>
    <n v="241"/>
    <n v="14.654999999999999"/>
    <n v="14.654999999999999"/>
    <n v="14.654999999999999"/>
    <n v="14.654999999999999"/>
    <n v="0"/>
    <x v="0"/>
    <n v="0"/>
    <n v="21"/>
    <n v="9"/>
    <n v="41"/>
    <n v="57.56"/>
    <n v="79.319999999999993"/>
    <n v="252.22"/>
    <n v="58.826138336710258"/>
    <n v="89.719855298032911"/>
    <n v="251.13901983982558"/>
    <n v="13871.960000000001"/>
    <n v="1162.4345999999998"/>
    <n v="3696.2840999999999"/>
    <n v="14177.099339147173"/>
    <n v="1314.8444793926722"/>
    <n v="3680.4423357526439"/>
  </r>
  <r>
    <s v="Sistema de Compensação"/>
    <x v="0"/>
    <x v="0"/>
    <x v="1"/>
    <x v="0"/>
    <x v="0"/>
    <x v="0"/>
    <x v="0"/>
    <x v="1"/>
    <n v="75"/>
    <n v="72"/>
    <n v="0"/>
    <n v="0"/>
    <n v="0"/>
    <n v="0"/>
    <n v="0"/>
    <x v="0"/>
    <n v="0"/>
    <n v="16"/>
    <n v="0"/>
    <n v="0"/>
    <n v="45.42"/>
    <n v="0"/>
    <n v="0"/>
    <n v="45.87320696171841"/>
    <n v="89.719855298032911"/>
    <n v="251.13901983982558"/>
    <n v="3270.2400000000002"/>
    <n v="0"/>
    <n v="0"/>
    <n v="3302.8709012437257"/>
    <n v="0"/>
    <n v="0"/>
  </r>
  <r>
    <s v="Sistema de Compensação"/>
    <x v="0"/>
    <x v="0"/>
    <x v="1"/>
    <x v="0"/>
    <x v="0"/>
    <x v="0"/>
    <x v="0"/>
    <x v="2"/>
    <n v="69"/>
    <n v="66.239999999999995"/>
    <n v="0"/>
    <n v="0"/>
    <n v="0"/>
    <n v="0"/>
    <n v="0"/>
    <x v="0"/>
    <n v="0"/>
    <n v="16"/>
    <n v="0"/>
    <n v="0"/>
    <n v="45.42"/>
    <n v="0"/>
    <n v="0"/>
    <n v="45.87320696171841"/>
    <n v="89.719855298032911"/>
    <n v="251.13901983982558"/>
    <n v="3008.6207999999997"/>
    <n v="0"/>
    <n v="0"/>
    <n v="3038.6412291442271"/>
    <n v="0"/>
    <n v="0"/>
  </r>
  <r>
    <s v="Sistema de Compensação"/>
    <x v="0"/>
    <x v="0"/>
    <x v="1"/>
    <x v="0"/>
    <x v="0"/>
    <x v="0"/>
    <x v="0"/>
    <x v="2"/>
    <n v="-5"/>
    <n v="-4.8"/>
    <n v="0"/>
    <n v="0"/>
    <n v="0"/>
    <n v="0"/>
    <n v="0"/>
    <x v="0"/>
    <n v="0"/>
    <n v="16"/>
    <n v="0"/>
    <n v="0"/>
    <n v="45.42"/>
    <n v="0"/>
    <n v="0"/>
    <n v="45.87320696171841"/>
    <n v="89.719855298032911"/>
    <n v="251.13901983982558"/>
    <n v="-218.01599999999999"/>
    <n v="0"/>
    <n v="0"/>
    <n v="-220.19139341624836"/>
    <n v="0"/>
    <n v="0"/>
  </r>
  <r>
    <s v="Sistema de Compensação"/>
    <x v="0"/>
    <x v="0"/>
    <x v="1"/>
    <x v="0"/>
    <x v="0"/>
    <x v="0"/>
    <x v="0"/>
    <x v="3"/>
    <n v="65"/>
    <n v="62.4"/>
    <n v="0"/>
    <n v="0"/>
    <n v="0"/>
    <n v="0"/>
    <n v="0"/>
    <x v="0"/>
    <n v="0"/>
    <n v="16"/>
    <n v="0"/>
    <n v="0"/>
    <n v="45.42"/>
    <n v="0"/>
    <n v="0"/>
    <n v="45.87320696171841"/>
    <n v="89.719855298032911"/>
    <n v="251.13901983982558"/>
    <n v="2834.2080000000001"/>
    <n v="0"/>
    <n v="0"/>
    <n v="2862.4881144112287"/>
    <n v="0"/>
    <n v="0"/>
  </r>
  <r>
    <s v="Sistema de Compensação"/>
    <x v="0"/>
    <x v="0"/>
    <x v="1"/>
    <x v="0"/>
    <x v="0"/>
    <x v="0"/>
    <x v="0"/>
    <x v="4"/>
    <n v="93"/>
    <n v="89.28"/>
    <n v="10.872999999999999"/>
    <n v="10.438079999999999"/>
    <n v="10.872999999999999"/>
    <n v="10.438079999999999"/>
    <n v="0"/>
    <x v="0"/>
    <n v="0"/>
    <n v="16"/>
    <n v="9"/>
    <n v="28"/>
    <n v="45.42"/>
    <n v="79.319999999999993"/>
    <n v="252.22"/>
    <n v="45.87320696171841"/>
    <n v="89.719855298032911"/>
    <n v="251.13901983982558"/>
    <n v="4055.0976000000001"/>
    <n v="827.94850559999986"/>
    <n v="2632.6925375999999"/>
    <n v="4095.5599175422199"/>
    <n v="936.50302718929129"/>
    <n v="2621.4091802096864"/>
  </r>
  <r>
    <s v="Sistema de Compensação"/>
    <x v="0"/>
    <x v="0"/>
    <x v="1"/>
    <x v="0"/>
    <x v="0"/>
    <x v="0"/>
    <x v="0"/>
    <x v="0"/>
    <n v="56"/>
    <n v="53.76"/>
    <n v="7.7039999999999997"/>
    <n v="7.3958399999999997"/>
    <n v="7.7039999999999997"/>
    <n v="7.3958399999999997"/>
    <n v="0"/>
    <x v="0"/>
    <n v="0"/>
    <n v="16"/>
    <n v="9"/>
    <n v="28"/>
    <n v="45.42"/>
    <n v="79.319999999999993"/>
    <n v="252.22"/>
    <n v="45.87320696171841"/>
    <n v="89.719855298032911"/>
    <n v="251.13901983982558"/>
    <n v="2441.7791999999999"/>
    <n v="586.63802879999992"/>
    <n v="1865.3787648"/>
    <n v="2466.1436062619814"/>
    <n v="663.55369460740371"/>
    <n v="1857.3840084921756"/>
  </r>
  <r>
    <s v="Sistema de Compensação"/>
    <x v="0"/>
    <x v="0"/>
    <x v="1"/>
    <x v="0"/>
    <x v="0"/>
    <x v="0"/>
    <x v="1"/>
    <x v="1"/>
    <n v="75"/>
    <n v="72"/>
    <n v="0"/>
    <n v="0"/>
    <n v="0"/>
    <n v="0"/>
    <n v="0"/>
    <x v="0"/>
    <n v="0"/>
    <n v="21"/>
    <n v="0"/>
    <n v="0"/>
    <n v="57.56"/>
    <n v="0"/>
    <n v="0"/>
    <n v="58.826138336710258"/>
    <n v="89.719855298032911"/>
    <n v="251.13901983982558"/>
    <n v="4144.32"/>
    <n v="0"/>
    <n v="0"/>
    <n v="4235.4819602431389"/>
    <n v="0"/>
    <n v="0"/>
  </r>
  <r>
    <s v="Sistema de Compensação"/>
    <x v="0"/>
    <x v="0"/>
    <x v="1"/>
    <x v="0"/>
    <x v="0"/>
    <x v="0"/>
    <x v="1"/>
    <x v="2"/>
    <n v="17"/>
    <n v="16.32"/>
    <n v="0"/>
    <n v="0"/>
    <n v="0"/>
    <n v="0"/>
    <n v="0"/>
    <x v="0"/>
    <n v="0"/>
    <n v="21"/>
    <n v="0"/>
    <n v="0"/>
    <n v="57.56"/>
    <n v="0"/>
    <n v="0"/>
    <n v="58.826138336710258"/>
    <n v="89.719855298032911"/>
    <n v="251.13901983982558"/>
    <n v="939.37920000000008"/>
    <n v="0"/>
    <n v="0"/>
    <n v="960.04257765511147"/>
    <n v="0"/>
    <n v="0"/>
  </r>
  <r>
    <s v="Sistema de Compensação"/>
    <x v="0"/>
    <x v="0"/>
    <x v="1"/>
    <x v="0"/>
    <x v="0"/>
    <x v="0"/>
    <x v="1"/>
    <x v="2"/>
    <n v="-5"/>
    <n v="-4.8"/>
    <n v="0"/>
    <n v="0"/>
    <n v="0"/>
    <n v="0"/>
    <n v="0"/>
    <x v="0"/>
    <n v="0"/>
    <n v="21"/>
    <n v="0"/>
    <n v="0"/>
    <n v="57.56"/>
    <n v="0"/>
    <n v="0"/>
    <n v="58.826138336710258"/>
    <n v="89.719855298032911"/>
    <n v="251.13901983982558"/>
    <n v="-276.28800000000001"/>
    <n v="0"/>
    <n v="0"/>
    <n v="-282.36546401620922"/>
    <n v="0"/>
    <n v="0"/>
  </r>
  <r>
    <s v="Sistema de Compensação"/>
    <x v="0"/>
    <x v="0"/>
    <x v="1"/>
    <x v="0"/>
    <x v="0"/>
    <x v="0"/>
    <x v="1"/>
    <x v="3"/>
    <n v="11"/>
    <n v="10.559999999999999"/>
    <n v="0"/>
    <n v="0"/>
    <n v="0"/>
    <n v="0"/>
    <n v="0"/>
    <x v="0"/>
    <n v="0"/>
    <n v="21"/>
    <n v="0"/>
    <n v="0"/>
    <n v="57.56"/>
    <n v="0"/>
    <n v="0"/>
    <n v="58.826138336710258"/>
    <n v="89.719855298032911"/>
    <n v="251.13901983982558"/>
    <n v="607.83359999999993"/>
    <n v="0"/>
    <n v="0"/>
    <n v="621.20402083566023"/>
    <n v="0"/>
    <n v="0"/>
  </r>
  <r>
    <s v="Sistema de Compensação"/>
    <x v="0"/>
    <x v="0"/>
    <x v="1"/>
    <x v="0"/>
    <x v="0"/>
    <x v="0"/>
    <x v="1"/>
    <x v="4"/>
    <n v="80"/>
    <n v="76.8"/>
    <n v="1.125"/>
    <n v="1.08"/>
    <n v="1.125"/>
    <n v="1.08"/>
    <n v="0"/>
    <x v="0"/>
    <n v="0"/>
    <n v="21"/>
    <n v="9"/>
    <n v="41"/>
    <n v="57.56"/>
    <n v="79.319999999999993"/>
    <n v="252.22"/>
    <n v="58.826138336710258"/>
    <n v="89.719855298032911"/>
    <n v="251.13901983982558"/>
    <n v="4420.6080000000002"/>
    <n v="85.665599999999998"/>
    <n v="272.39760000000001"/>
    <n v="4517.8474242593475"/>
    <n v="96.897443721875547"/>
    <n v="271.23014142701163"/>
  </r>
  <r>
    <s v="Sistema de Compensação"/>
    <x v="0"/>
    <x v="0"/>
    <x v="1"/>
    <x v="0"/>
    <x v="0"/>
    <x v="0"/>
    <x v="1"/>
    <x v="0"/>
    <n v="31"/>
    <n v="29.759999999999998"/>
    <n v="0.72299999999999998"/>
    <n v="0.69407999999999992"/>
    <n v="0.72299999999999998"/>
    <n v="0.69407999999999992"/>
    <n v="0"/>
    <x v="0"/>
    <n v="0"/>
    <n v="21"/>
    <n v="9"/>
    <n v="41"/>
    <n v="57.56"/>
    <n v="79.319999999999993"/>
    <n v="252.22"/>
    <n v="58.826138336710258"/>
    <n v="89.719855298032911"/>
    <n v="251.13901983982558"/>
    <n v="1712.9856"/>
    <n v="55.054425599999988"/>
    <n v="175.06085759999999"/>
    <n v="1750.6658769004971"/>
    <n v="62.272757165258675"/>
    <n v="174.31057089042611"/>
  </r>
  <r>
    <s v="Regular"/>
    <x v="0"/>
    <x v="1"/>
    <x v="2"/>
    <x v="0"/>
    <x v="0"/>
    <x v="0"/>
    <x v="0"/>
    <x v="5"/>
    <n v="0"/>
    <n v="0"/>
    <n v="212.73"/>
    <n v="212.73"/>
    <n v="212.73"/>
    <n v="212.73"/>
    <n v="0"/>
    <x v="0"/>
    <n v="0"/>
    <n v="0"/>
    <n v="15"/>
    <n v="28"/>
    <n v="0"/>
    <n v="79.319999999999993"/>
    <n v="252.22"/>
    <m/>
    <n v="89.719855298032911"/>
    <n v="251.13901983982558"/>
    <n v="0"/>
    <n v="16873.743599999998"/>
    <n v="53654.760599999994"/>
    <n v="0"/>
    <n v="19086.104817550542"/>
    <n v="53424.803690526096"/>
  </r>
  <r>
    <s v="Sistema de Compensação"/>
    <x v="0"/>
    <x v="1"/>
    <x v="2"/>
    <x v="0"/>
    <x v="0"/>
    <x v="0"/>
    <x v="0"/>
    <x v="5"/>
    <n v="0"/>
    <n v="0"/>
    <n v="15.42"/>
    <n v="15.42"/>
    <n v="15.42"/>
    <n v="15.42"/>
    <n v="0"/>
    <x v="0"/>
    <n v="0"/>
    <n v="0"/>
    <n v="15"/>
    <n v="28"/>
    <n v="0"/>
    <n v="79.319999999999993"/>
    <n v="252.22"/>
    <m/>
    <n v="89.719855298032911"/>
    <n v="251.13901983982558"/>
    <n v="0"/>
    <n v="1223.1143999999999"/>
    <n v="3889.2323999999999"/>
    <n v="0"/>
    <n v="1383.4801686956675"/>
    <n v="3872.5636859301103"/>
  </r>
  <r>
    <s v="Regular"/>
    <x v="0"/>
    <x v="1"/>
    <x v="2"/>
    <x v="0"/>
    <x v="0"/>
    <x v="0"/>
    <x v="0"/>
    <x v="6"/>
    <n v="0"/>
    <n v="0"/>
    <n v="269.262"/>
    <n v="269.262"/>
    <n v="269.262"/>
    <n v="269.262"/>
    <n v="0"/>
    <x v="0"/>
    <n v="0"/>
    <n v="0"/>
    <n v="15"/>
    <n v="28"/>
    <n v="0"/>
    <n v="79.319999999999993"/>
    <n v="252.22"/>
    <m/>
    <n v="89.719855298032911"/>
    <n v="251.13901983982558"/>
    <n v="0"/>
    <n v="21357.861839999998"/>
    <n v="67913.261639999997"/>
    <n v="0"/>
    <n v="24158.147677258938"/>
    <n v="67622.194760111117"/>
  </r>
  <r>
    <s v="Regular"/>
    <x v="0"/>
    <x v="1"/>
    <x v="2"/>
    <x v="0"/>
    <x v="0"/>
    <x v="0"/>
    <x v="0"/>
    <x v="7"/>
    <n v="0"/>
    <n v="0"/>
    <n v="227.029"/>
    <n v="227.029"/>
    <n v="227.029"/>
    <n v="227.029"/>
    <n v="0"/>
    <x v="0"/>
    <n v="0"/>
    <n v="0"/>
    <n v="15"/>
    <n v="28"/>
    <n v="0"/>
    <n v="79.319999999999993"/>
    <n v="252.22"/>
    <m/>
    <n v="89.719855298032911"/>
    <n v="251.13901983982558"/>
    <n v="0"/>
    <n v="18007.940279999999"/>
    <n v="57261.254379999998"/>
    <n v="0"/>
    <n v="20369.009028457112"/>
    <n v="57015.840535215757"/>
  </r>
  <r>
    <s v="Regular"/>
    <x v="0"/>
    <x v="1"/>
    <x v="2"/>
    <x v="0"/>
    <x v="0"/>
    <x v="0"/>
    <x v="0"/>
    <x v="8"/>
    <n v="0"/>
    <n v="0"/>
    <n v="227.18100000000001"/>
    <n v="227.18100000000001"/>
    <n v="227.18100000000001"/>
    <n v="227.18100000000001"/>
    <n v="0"/>
    <x v="0"/>
    <n v="0"/>
    <n v="0"/>
    <n v="15"/>
    <n v="28"/>
    <n v="0"/>
    <n v="79.319999999999993"/>
    <n v="252.22"/>
    <m/>
    <n v="89.719855298032911"/>
    <n v="251.13901983982558"/>
    <n v="0"/>
    <n v="18019.996919999998"/>
    <n v="57299.591820000001"/>
    <n v="0"/>
    <n v="20382.646446462415"/>
    <n v="57054.013666231418"/>
  </r>
  <r>
    <s v="Regular"/>
    <x v="0"/>
    <x v="1"/>
    <x v="2"/>
    <x v="0"/>
    <x v="0"/>
    <x v="0"/>
    <x v="0"/>
    <x v="9"/>
    <n v="0"/>
    <n v="0"/>
    <n v="271.642"/>
    <n v="271.642"/>
    <n v="271.642"/>
    <n v="271.642"/>
    <n v="0"/>
    <x v="0"/>
    <n v="0"/>
    <n v="0"/>
    <n v="15"/>
    <n v="28"/>
    <n v="0"/>
    <n v="79.319999999999993"/>
    <n v="252.22"/>
    <m/>
    <n v="89.719855298032911"/>
    <n v="251.13901983982558"/>
    <n v="0"/>
    <n v="21546.643439999996"/>
    <n v="68513.545239999992"/>
    <n v="0"/>
    <n v="24371.680932868254"/>
    <n v="68219.905627329892"/>
  </r>
  <r>
    <s v="Sistema de Compensação"/>
    <x v="0"/>
    <x v="1"/>
    <x v="2"/>
    <x v="0"/>
    <x v="0"/>
    <x v="0"/>
    <x v="0"/>
    <x v="9"/>
    <n v="0"/>
    <n v="0"/>
    <n v="5.92"/>
    <n v="5.92"/>
    <n v="5.92"/>
    <n v="5.92"/>
    <n v="0"/>
    <x v="0"/>
    <n v="0"/>
    <n v="0"/>
    <n v="15"/>
    <n v="28"/>
    <n v="0"/>
    <n v="79.319999999999993"/>
    <n v="252.22"/>
    <m/>
    <n v="89.719855298032911"/>
    <n v="251.13901983982558"/>
    <n v="0"/>
    <n v="469.57439999999997"/>
    <n v="1493.1424"/>
    <n v="0"/>
    <n v="531.14154336435479"/>
    <n v="1486.7429974517675"/>
  </r>
  <r>
    <s v="Regular"/>
    <x v="0"/>
    <x v="1"/>
    <x v="2"/>
    <x v="0"/>
    <x v="0"/>
    <x v="0"/>
    <x v="0"/>
    <x v="10"/>
    <n v="0"/>
    <n v="0"/>
    <n v="232.51499999999999"/>
    <n v="232.51499999999999"/>
    <n v="232.51499999999999"/>
    <n v="232.51499999999999"/>
    <n v="0"/>
    <x v="0"/>
    <n v="0"/>
    <n v="0"/>
    <n v="15"/>
    <n v="28"/>
    <n v="0"/>
    <n v="79.319999999999993"/>
    <n v="252.22"/>
    <m/>
    <n v="89.719855298032911"/>
    <n v="251.13901983982558"/>
    <n v="0"/>
    <n v="18443.089799999998"/>
    <n v="58644.933299999997"/>
    <n v="0"/>
    <n v="20861.212154622121"/>
    <n v="58393.589198057038"/>
  </r>
  <r>
    <s v="Regular"/>
    <x v="0"/>
    <x v="1"/>
    <x v="2"/>
    <x v="0"/>
    <x v="0"/>
    <x v="0"/>
    <x v="0"/>
    <x v="11"/>
    <n v="0"/>
    <n v="0"/>
    <n v="264.84399999999999"/>
    <n v="264.84399999999999"/>
    <n v="264.84399999999999"/>
    <n v="264.84399999999999"/>
    <n v="0"/>
    <x v="0"/>
    <n v="0"/>
    <n v="0"/>
    <n v="15"/>
    <n v="28"/>
    <n v="0"/>
    <n v="79.319999999999993"/>
    <n v="252.22"/>
    <m/>
    <n v="89.719855298032911"/>
    <n v="251.13901983982558"/>
    <n v="0"/>
    <n v="21007.426079999997"/>
    <n v="66798.953679999991"/>
    <n v="0"/>
    <n v="23761.765356552227"/>
    <n v="66512.662570458764"/>
  </r>
  <r>
    <s v="Regular"/>
    <x v="0"/>
    <x v="1"/>
    <x v="2"/>
    <x v="0"/>
    <x v="0"/>
    <x v="0"/>
    <x v="0"/>
    <x v="1"/>
    <n v="0"/>
    <n v="0"/>
    <n v="275.154"/>
    <n v="275.154"/>
    <n v="275.154"/>
    <n v="275.154"/>
    <n v="0"/>
    <x v="0"/>
    <n v="0"/>
    <n v="0"/>
    <n v="15"/>
    <n v="28"/>
    <n v="0"/>
    <n v="79.319999999999993"/>
    <n v="252.22"/>
    <m/>
    <n v="89.719855298032911"/>
    <n v="251.13901983982558"/>
    <n v="0"/>
    <n v="21825.215279999997"/>
    <n v="69399.341879999993"/>
    <n v="0"/>
    <n v="24686.777064674949"/>
    <n v="69101.905865007371"/>
  </r>
  <r>
    <s v="Sistema de Compensação"/>
    <x v="0"/>
    <x v="1"/>
    <x v="2"/>
    <x v="0"/>
    <x v="0"/>
    <x v="0"/>
    <x v="0"/>
    <x v="1"/>
    <n v="0"/>
    <n v="0"/>
    <n v="6.8579999999999997"/>
    <n v="6.8579999999999997"/>
    <n v="6.8579999999999997"/>
    <n v="6.8579999999999997"/>
    <n v="0"/>
    <x v="0"/>
    <n v="0"/>
    <n v="0"/>
    <n v="15"/>
    <n v="28"/>
    <n v="0"/>
    <n v="79.319999999999993"/>
    <n v="252.22"/>
    <m/>
    <n v="89.719855298032911"/>
    <n v="251.13901983982558"/>
    <n v="0"/>
    <n v="543.97655999999995"/>
    <n v="1729.7247599999998"/>
    <n v="0"/>
    <n v="615.29876763390962"/>
    <n v="1722.3113980615237"/>
  </r>
  <r>
    <s v="Regular"/>
    <x v="0"/>
    <x v="1"/>
    <x v="2"/>
    <x v="0"/>
    <x v="0"/>
    <x v="0"/>
    <x v="0"/>
    <x v="2"/>
    <n v="0"/>
    <n v="0"/>
    <n v="207.25399999999999"/>
    <n v="207.25399999999999"/>
    <n v="207.25399999999999"/>
    <n v="207.25399999999999"/>
    <n v="0"/>
    <x v="0"/>
    <n v="0"/>
    <n v="0"/>
    <n v="15"/>
    <n v="28"/>
    <n v="0"/>
    <n v="79.319999999999993"/>
    <n v="252.22"/>
    <m/>
    <n v="89.719855298032911"/>
    <n v="251.13901983982558"/>
    <n v="0"/>
    <n v="16439.387279999999"/>
    <n v="52273.603879999995"/>
    <n v="0"/>
    <n v="18594.798889938513"/>
    <n v="52049.566417883208"/>
  </r>
  <r>
    <s v="Sistema de Compensação"/>
    <x v="0"/>
    <x v="1"/>
    <x v="2"/>
    <x v="0"/>
    <x v="0"/>
    <x v="0"/>
    <x v="0"/>
    <x v="2"/>
    <n v="0"/>
    <n v="0"/>
    <n v="11.465999999999999"/>
    <n v="11.465999999999999"/>
    <n v="11.465999999999999"/>
    <n v="11.465999999999999"/>
    <n v="0"/>
    <x v="0"/>
    <n v="0"/>
    <n v="0"/>
    <n v="15"/>
    <n v="28"/>
    <n v="0"/>
    <n v="79.319999999999993"/>
    <n v="252.22"/>
    <m/>
    <n v="89.719855298032911"/>
    <n v="251.13901983982558"/>
    <n v="0"/>
    <n v="909.48311999999987"/>
    <n v="2891.9545199999998"/>
    <n v="0"/>
    <n v="1028.7278608472452"/>
    <n v="2879.5600014834399"/>
  </r>
  <r>
    <s v="Regular"/>
    <x v="0"/>
    <x v="1"/>
    <x v="2"/>
    <x v="0"/>
    <x v="0"/>
    <x v="0"/>
    <x v="0"/>
    <x v="3"/>
    <n v="0"/>
    <n v="0"/>
    <n v="501.79"/>
    <n v="501.79"/>
    <n v="501.79"/>
    <n v="501.79"/>
    <n v="0"/>
    <x v="0"/>
    <n v="0"/>
    <n v="0"/>
    <n v="15"/>
    <n v="28"/>
    <n v="0"/>
    <n v="79.319999999999993"/>
    <n v="252.22"/>
    <m/>
    <n v="89.719855298032911"/>
    <n v="251.13901983982558"/>
    <n v="0"/>
    <n v="39801.982799999998"/>
    <n v="126561.47380000001"/>
    <n v="0"/>
    <n v="45020.526189999939"/>
    <n v="126019.04876542608"/>
  </r>
  <r>
    <s v="Sistema de Compensação"/>
    <x v="0"/>
    <x v="1"/>
    <x v="2"/>
    <x v="0"/>
    <x v="0"/>
    <x v="0"/>
    <x v="0"/>
    <x v="3"/>
    <n v="0"/>
    <n v="0"/>
    <n v="28.596"/>
    <n v="28.596"/>
    <n v="28.596"/>
    <n v="28.596"/>
    <n v="0"/>
    <x v="0"/>
    <n v="0"/>
    <n v="0"/>
    <n v="15"/>
    <n v="28"/>
    <n v="0"/>
    <n v="79.319999999999993"/>
    <n v="252.22"/>
    <m/>
    <n v="89.719855298032911"/>
    <n v="251.13901983982558"/>
    <n v="0"/>
    <n v="2268.2347199999999"/>
    <n v="7212.4831199999999"/>
    <n v="0"/>
    <n v="2565.6289821025493"/>
    <n v="7181.5714113396525"/>
  </r>
  <r>
    <s v="Regular"/>
    <x v="0"/>
    <x v="1"/>
    <x v="2"/>
    <x v="0"/>
    <x v="0"/>
    <x v="0"/>
    <x v="0"/>
    <x v="4"/>
    <n v="0"/>
    <n v="0"/>
    <n v="514.86"/>
    <n v="514.86"/>
    <n v="514.86"/>
    <n v="514.86"/>
    <n v="0"/>
    <x v="0"/>
    <n v="0"/>
    <n v="0"/>
    <n v="15"/>
    <n v="28"/>
    <n v="0"/>
    <n v="79.319999999999993"/>
    <n v="252.22"/>
    <m/>
    <n v="89.719855298032911"/>
    <n v="251.13901983982558"/>
    <n v="0"/>
    <n v="40838.695199999995"/>
    <n v="129857.9892"/>
    <n v="0"/>
    <n v="46193.164698745226"/>
    <n v="129301.43575473261"/>
  </r>
  <r>
    <s v="Sistema de Compensação"/>
    <x v="0"/>
    <x v="1"/>
    <x v="2"/>
    <x v="0"/>
    <x v="0"/>
    <x v="0"/>
    <x v="0"/>
    <x v="4"/>
    <n v="0"/>
    <n v="0"/>
    <n v="58.043999999999997"/>
    <n v="58.043999999999997"/>
    <n v="58.043999999999997"/>
    <n v="58.043999999999997"/>
    <n v="0"/>
    <x v="0"/>
    <n v="0"/>
    <n v="0"/>
    <n v="15"/>
    <n v="28"/>
    <n v="0"/>
    <n v="79.319999999999993"/>
    <n v="252.22"/>
    <m/>
    <n v="89.719855298032911"/>
    <n v="251.13901983982558"/>
    <n v="0"/>
    <n v="4604.0500799999991"/>
    <n v="14639.857679999999"/>
    <n v="0"/>
    <n v="5207.6992809190224"/>
    <n v="14577.113267582836"/>
  </r>
  <r>
    <s v="Regular"/>
    <x v="0"/>
    <x v="1"/>
    <x v="2"/>
    <x v="0"/>
    <x v="0"/>
    <x v="0"/>
    <x v="0"/>
    <x v="0"/>
    <n v="0"/>
    <n v="0"/>
    <n v="431.22199999999998"/>
    <n v="431.22199999999998"/>
    <n v="431.22199999999998"/>
    <n v="431.22199999999998"/>
    <n v="0"/>
    <x v="0"/>
    <n v="0"/>
    <n v="0"/>
    <n v="15"/>
    <n v="28"/>
    <n v="0"/>
    <n v="79.319999999999993"/>
    <n v="252.22"/>
    <m/>
    <n v="89.719855298032911"/>
    <n v="251.13901983982558"/>
    <n v="0"/>
    <n v="34204.529039999994"/>
    <n v="108762.81284"/>
    <n v="0"/>
    <n v="38689.175441328349"/>
    <n v="108296.67041336925"/>
  </r>
  <r>
    <s v="Sistema de Compensação"/>
    <x v="0"/>
    <x v="1"/>
    <x v="2"/>
    <x v="0"/>
    <x v="0"/>
    <x v="0"/>
    <x v="0"/>
    <x v="0"/>
    <n v="0"/>
    <n v="0"/>
    <n v="28.091999999999999"/>
    <n v="28.091999999999999"/>
    <n v="28.091999999999999"/>
    <n v="28.091999999999999"/>
    <n v="0"/>
    <x v="0"/>
    <n v="0"/>
    <n v="0"/>
    <n v="15"/>
    <n v="28"/>
    <n v="0"/>
    <n v="79.319999999999993"/>
    <n v="252.22"/>
    <m/>
    <n v="89.719855298032911"/>
    <n v="251.13901983982558"/>
    <n v="0"/>
    <n v="2228.2574399999999"/>
    <n v="7085.3642399999999"/>
    <n v="0"/>
    <n v="2520.4101750323402"/>
    <n v="7054.99734534038"/>
  </r>
  <r>
    <s v="Regular"/>
    <x v="0"/>
    <x v="1"/>
    <x v="2"/>
    <x v="0"/>
    <x v="0"/>
    <x v="0"/>
    <x v="2"/>
    <x v="5"/>
    <n v="2587"/>
    <n v="2587"/>
    <n v="0"/>
    <n v="0"/>
    <n v="0"/>
    <n v="0"/>
    <n v="13"/>
    <x v="0"/>
    <n v="0"/>
    <n v="11"/>
    <n v="0"/>
    <n v="0"/>
    <n v="45.42"/>
    <n v="0"/>
    <n v="0"/>
    <n v="45.87320696171841"/>
    <m/>
    <m/>
    <n v="117501.54000000001"/>
    <n v="0"/>
    <n v="0"/>
    <n v="118673.98640996552"/>
    <n v="0"/>
    <n v="0"/>
  </r>
  <r>
    <s v="Sistema de Compensação"/>
    <x v="0"/>
    <x v="1"/>
    <x v="2"/>
    <x v="0"/>
    <x v="0"/>
    <x v="0"/>
    <x v="2"/>
    <x v="5"/>
    <n v="219"/>
    <n v="219"/>
    <n v="0"/>
    <n v="0"/>
    <n v="0"/>
    <n v="0"/>
    <n v="1"/>
    <x v="0"/>
    <n v="0"/>
    <n v="11"/>
    <n v="0"/>
    <n v="0"/>
    <n v="45.42"/>
    <n v="0"/>
    <n v="0"/>
    <n v="45.87320696171841"/>
    <m/>
    <m/>
    <n v="9946.98"/>
    <n v="0"/>
    <n v="0"/>
    <n v="10046.232324616332"/>
    <n v="0"/>
    <n v="0"/>
  </r>
  <r>
    <s v="Regular"/>
    <x v="0"/>
    <x v="1"/>
    <x v="2"/>
    <x v="0"/>
    <x v="0"/>
    <x v="0"/>
    <x v="2"/>
    <x v="6"/>
    <n v="2676"/>
    <n v="2676"/>
    <n v="0"/>
    <n v="0"/>
    <n v="0"/>
    <n v="0"/>
    <n v="15"/>
    <x v="0"/>
    <n v="0"/>
    <n v="11"/>
    <n v="0"/>
    <n v="0"/>
    <n v="45.42"/>
    <n v="0"/>
    <n v="0"/>
    <n v="45.87320696171841"/>
    <m/>
    <m/>
    <n v="121543.92"/>
    <n v="0"/>
    <n v="0"/>
    <n v="122756.70182955846"/>
    <n v="0"/>
    <n v="0"/>
  </r>
  <r>
    <s v="Sistema de Compensação"/>
    <x v="0"/>
    <x v="1"/>
    <x v="2"/>
    <x v="0"/>
    <x v="0"/>
    <x v="0"/>
    <x v="2"/>
    <x v="6"/>
    <n v="156"/>
    <n v="156"/>
    <n v="0"/>
    <n v="0"/>
    <n v="0"/>
    <n v="0"/>
    <n v="1"/>
    <x v="0"/>
    <n v="0"/>
    <n v="11"/>
    <n v="0"/>
    <n v="0"/>
    <n v="45.42"/>
    <n v="0"/>
    <n v="0"/>
    <n v="45.87320696171841"/>
    <m/>
    <m/>
    <n v="7085.52"/>
    <n v="0"/>
    <n v="0"/>
    <n v="7156.2202860280722"/>
    <n v="0"/>
    <n v="0"/>
  </r>
  <r>
    <s v="Regular"/>
    <x v="0"/>
    <x v="1"/>
    <x v="2"/>
    <x v="0"/>
    <x v="0"/>
    <x v="0"/>
    <x v="2"/>
    <x v="7"/>
    <n v="2025"/>
    <n v="2025"/>
    <n v="0"/>
    <n v="0"/>
    <n v="0"/>
    <n v="0"/>
    <n v="15"/>
    <x v="0"/>
    <n v="0"/>
    <n v="11"/>
    <n v="0"/>
    <n v="0"/>
    <n v="45.42"/>
    <n v="0"/>
    <n v="0"/>
    <n v="45.87320696171841"/>
    <m/>
    <m/>
    <n v="91975.5"/>
    <n v="0"/>
    <n v="0"/>
    <n v="92893.244097479779"/>
    <n v="0"/>
    <n v="0"/>
  </r>
  <r>
    <s v="Sistema de Compensação"/>
    <x v="0"/>
    <x v="1"/>
    <x v="2"/>
    <x v="0"/>
    <x v="0"/>
    <x v="0"/>
    <x v="2"/>
    <x v="7"/>
    <n v="80"/>
    <n v="80"/>
    <n v="0"/>
    <n v="0"/>
    <n v="0"/>
    <n v="0"/>
    <n v="1"/>
    <x v="0"/>
    <n v="0"/>
    <n v="11"/>
    <n v="0"/>
    <n v="0"/>
    <n v="45.42"/>
    <n v="0"/>
    <n v="0"/>
    <n v="45.87320696171841"/>
    <m/>
    <m/>
    <n v="3633.6000000000004"/>
    <n v="0"/>
    <n v="0"/>
    <n v="3669.8565569374728"/>
    <n v="0"/>
    <n v="0"/>
  </r>
  <r>
    <s v="Regular"/>
    <x v="0"/>
    <x v="1"/>
    <x v="2"/>
    <x v="0"/>
    <x v="0"/>
    <x v="0"/>
    <x v="2"/>
    <x v="8"/>
    <n v="1947"/>
    <n v="1947"/>
    <n v="0"/>
    <n v="0"/>
    <n v="0"/>
    <n v="0"/>
    <n v="15"/>
    <x v="0"/>
    <n v="0"/>
    <n v="11"/>
    <n v="0"/>
    <n v="0"/>
    <n v="45.42"/>
    <n v="0"/>
    <n v="0"/>
    <n v="45.87320696171841"/>
    <m/>
    <m/>
    <n v="88432.74"/>
    <n v="0"/>
    <n v="0"/>
    <n v="89315.133954465738"/>
    <n v="0"/>
    <n v="0"/>
  </r>
  <r>
    <s v="Sistema de Compensação"/>
    <x v="0"/>
    <x v="1"/>
    <x v="2"/>
    <x v="0"/>
    <x v="0"/>
    <x v="0"/>
    <x v="2"/>
    <x v="8"/>
    <n v="122"/>
    <n v="122"/>
    <n v="0"/>
    <n v="0"/>
    <n v="0"/>
    <n v="0"/>
    <n v="1"/>
    <x v="0"/>
    <n v="0"/>
    <n v="11"/>
    <n v="0"/>
    <n v="0"/>
    <n v="45.42"/>
    <n v="0"/>
    <n v="0"/>
    <n v="45.87320696171841"/>
    <m/>
    <m/>
    <n v="5541.24"/>
    <n v="0"/>
    <n v="0"/>
    <n v="5596.531249329646"/>
    <n v="0"/>
    <n v="0"/>
  </r>
  <r>
    <s v="Regular"/>
    <x v="0"/>
    <x v="1"/>
    <x v="2"/>
    <x v="0"/>
    <x v="0"/>
    <x v="0"/>
    <x v="2"/>
    <x v="9"/>
    <n v="2420"/>
    <n v="2420"/>
    <n v="0"/>
    <n v="0"/>
    <n v="0"/>
    <n v="0"/>
    <n v="15"/>
    <x v="0"/>
    <n v="0"/>
    <n v="11"/>
    <n v="0"/>
    <n v="0"/>
    <n v="45.42"/>
    <n v="0"/>
    <n v="0"/>
    <n v="45.87320696171841"/>
    <m/>
    <m/>
    <n v="109916.40000000001"/>
    <n v="0"/>
    <n v="0"/>
    <n v="111013.16084735855"/>
    <n v="0"/>
    <n v="0"/>
  </r>
  <r>
    <s v="Sistema de Compensação"/>
    <x v="0"/>
    <x v="1"/>
    <x v="2"/>
    <x v="0"/>
    <x v="0"/>
    <x v="0"/>
    <x v="2"/>
    <x v="9"/>
    <n v="161"/>
    <n v="161"/>
    <n v="0"/>
    <n v="0"/>
    <n v="0"/>
    <n v="0"/>
    <n v="1"/>
    <x v="0"/>
    <n v="0"/>
    <n v="11"/>
    <n v="0"/>
    <n v="0"/>
    <n v="45.42"/>
    <n v="0"/>
    <n v="0"/>
    <n v="45.87320696171841"/>
    <m/>
    <m/>
    <n v="7312.62"/>
    <n v="0"/>
    <n v="0"/>
    <n v="7385.5863208366636"/>
    <n v="0"/>
    <n v="0"/>
  </r>
  <r>
    <s v="Regular"/>
    <x v="0"/>
    <x v="1"/>
    <x v="2"/>
    <x v="0"/>
    <x v="0"/>
    <x v="0"/>
    <x v="2"/>
    <x v="10"/>
    <n v="2017"/>
    <n v="2017"/>
    <n v="0"/>
    <n v="0"/>
    <n v="0"/>
    <n v="0"/>
    <n v="15"/>
    <x v="0"/>
    <n v="0"/>
    <n v="11"/>
    <n v="0"/>
    <n v="0"/>
    <n v="45.42"/>
    <n v="0"/>
    <n v="0"/>
    <n v="45.87320696171841"/>
    <m/>
    <m/>
    <n v="91612.14"/>
    <n v="0"/>
    <n v="0"/>
    <n v="92526.258441786034"/>
    <n v="0"/>
    <n v="0"/>
  </r>
  <r>
    <s v="Sistema de Compensação"/>
    <x v="0"/>
    <x v="1"/>
    <x v="2"/>
    <x v="0"/>
    <x v="0"/>
    <x v="0"/>
    <x v="2"/>
    <x v="10"/>
    <n v="121"/>
    <n v="121"/>
    <n v="0"/>
    <n v="0"/>
    <n v="0"/>
    <n v="0"/>
    <n v="1"/>
    <x v="0"/>
    <n v="0"/>
    <n v="11"/>
    <n v="0"/>
    <n v="0"/>
    <n v="45.42"/>
    <n v="0"/>
    <n v="0"/>
    <n v="45.87320696171841"/>
    <m/>
    <m/>
    <n v="5495.8200000000006"/>
    <n v="0"/>
    <n v="0"/>
    <n v="5550.6580423679279"/>
    <n v="0"/>
    <n v="0"/>
  </r>
  <r>
    <s v="Regular"/>
    <x v="0"/>
    <x v="1"/>
    <x v="2"/>
    <x v="0"/>
    <x v="0"/>
    <x v="0"/>
    <x v="2"/>
    <x v="11"/>
    <n v="2357"/>
    <n v="2357"/>
    <n v="0"/>
    <n v="0"/>
    <n v="0"/>
    <n v="0"/>
    <n v="15"/>
    <x v="0"/>
    <n v="0"/>
    <n v="11"/>
    <n v="0"/>
    <n v="0"/>
    <n v="45.42"/>
    <n v="0"/>
    <n v="0"/>
    <n v="45.87320696171841"/>
    <m/>
    <m/>
    <n v="107054.94"/>
    <n v="0"/>
    <n v="0"/>
    <n v="108123.14880877029"/>
    <n v="0"/>
    <n v="0"/>
  </r>
  <r>
    <s v="Sistema de Compensação"/>
    <x v="0"/>
    <x v="1"/>
    <x v="2"/>
    <x v="0"/>
    <x v="0"/>
    <x v="0"/>
    <x v="2"/>
    <x v="11"/>
    <n v="105"/>
    <n v="105"/>
    <n v="0"/>
    <n v="0"/>
    <n v="0"/>
    <n v="0"/>
    <n v="1"/>
    <x v="0"/>
    <n v="0"/>
    <n v="11"/>
    <n v="0"/>
    <n v="0"/>
    <n v="45.42"/>
    <n v="0"/>
    <n v="0"/>
    <n v="45.87320696171841"/>
    <m/>
    <m/>
    <n v="4769.1000000000004"/>
    <n v="0"/>
    <n v="0"/>
    <n v="4816.6867309804329"/>
    <n v="0"/>
    <n v="0"/>
  </r>
  <r>
    <s v="Regular"/>
    <x v="0"/>
    <x v="1"/>
    <x v="2"/>
    <x v="0"/>
    <x v="0"/>
    <x v="0"/>
    <x v="2"/>
    <x v="1"/>
    <n v="2680"/>
    <n v="2680"/>
    <n v="0"/>
    <n v="0"/>
    <n v="0"/>
    <n v="0"/>
    <n v="15"/>
    <x v="0"/>
    <n v="0"/>
    <n v="11"/>
    <n v="0"/>
    <n v="0"/>
    <n v="45.42"/>
    <n v="0"/>
    <n v="0"/>
    <n v="45.87320696171841"/>
    <m/>
    <m/>
    <n v="121725.6"/>
    <n v="0"/>
    <n v="0"/>
    <n v="122940.19465740534"/>
    <n v="0"/>
    <n v="0"/>
  </r>
  <r>
    <s v="Sistema de Compensação"/>
    <x v="0"/>
    <x v="1"/>
    <x v="2"/>
    <x v="0"/>
    <x v="0"/>
    <x v="0"/>
    <x v="2"/>
    <x v="1"/>
    <n v="144"/>
    <n v="144"/>
    <n v="0"/>
    <n v="0"/>
    <n v="0"/>
    <n v="0"/>
    <n v="1"/>
    <x v="0"/>
    <n v="0"/>
    <n v="11"/>
    <n v="0"/>
    <n v="0"/>
    <n v="45.42"/>
    <n v="0"/>
    <n v="0"/>
    <n v="45.87320696171841"/>
    <m/>
    <m/>
    <n v="6540.4800000000005"/>
    <n v="0"/>
    <n v="0"/>
    <n v="6605.7418024874514"/>
    <n v="0"/>
    <n v="0"/>
  </r>
  <r>
    <s v="Regular"/>
    <x v="0"/>
    <x v="1"/>
    <x v="2"/>
    <x v="0"/>
    <x v="0"/>
    <x v="0"/>
    <x v="2"/>
    <x v="2"/>
    <n v="2552"/>
    <n v="2552"/>
    <n v="0"/>
    <n v="0"/>
    <n v="0"/>
    <n v="0"/>
    <n v="15"/>
    <x v="0"/>
    <n v="0"/>
    <n v="11"/>
    <n v="0"/>
    <n v="0"/>
    <n v="45.42"/>
    <n v="0"/>
    <n v="0"/>
    <n v="45.87320696171841"/>
    <m/>
    <m/>
    <n v="115911.84000000001"/>
    <n v="0"/>
    <n v="0"/>
    <n v="117068.42416630538"/>
    <n v="0"/>
    <n v="0"/>
  </r>
  <r>
    <s v="Sistema de Compensação"/>
    <x v="0"/>
    <x v="1"/>
    <x v="2"/>
    <x v="0"/>
    <x v="0"/>
    <x v="0"/>
    <x v="2"/>
    <x v="2"/>
    <n v="140"/>
    <n v="140"/>
    <n v="0"/>
    <n v="0"/>
    <n v="0"/>
    <n v="0"/>
    <n v="1"/>
    <x v="0"/>
    <n v="0"/>
    <n v="11"/>
    <n v="0"/>
    <n v="0"/>
    <n v="45.42"/>
    <n v="0"/>
    <n v="0"/>
    <n v="45.87320696171841"/>
    <m/>
    <m/>
    <n v="6358.8"/>
    <n v="0"/>
    <n v="0"/>
    <n v="6422.2489746405772"/>
    <n v="0"/>
    <n v="0"/>
  </r>
  <r>
    <s v="Regular"/>
    <x v="0"/>
    <x v="1"/>
    <x v="2"/>
    <x v="0"/>
    <x v="0"/>
    <x v="0"/>
    <x v="2"/>
    <x v="3"/>
    <n v="3444"/>
    <n v="3444"/>
    <n v="0"/>
    <n v="0"/>
    <n v="0"/>
    <n v="0"/>
    <n v="15"/>
    <x v="0"/>
    <n v="0"/>
    <n v="11"/>
    <n v="0"/>
    <n v="0"/>
    <n v="45.42"/>
    <n v="0"/>
    <n v="0"/>
    <n v="45.87320696171841"/>
    <m/>
    <m/>
    <n v="156426.48000000001"/>
    <n v="0"/>
    <n v="0"/>
    <n v="157987.3247761582"/>
    <n v="0"/>
    <n v="0"/>
  </r>
  <r>
    <s v="Sistema de Compensação"/>
    <x v="0"/>
    <x v="1"/>
    <x v="2"/>
    <x v="0"/>
    <x v="0"/>
    <x v="0"/>
    <x v="2"/>
    <x v="3"/>
    <n v="181"/>
    <n v="181"/>
    <n v="0"/>
    <n v="0"/>
    <n v="0"/>
    <n v="0"/>
    <n v="1"/>
    <x v="0"/>
    <n v="0"/>
    <n v="11"/>
    <n v="0"/>
    <n v="0"/>
    <n v="45.42"/>
    <n v="0"/>
    <n v="0"/>
    <n v="45.87320696171841"/>
    <m/>
    <m/>
    <n v="8221.02"/>
    <n v="0"/>
    <n v="0"/>
    <n v="8303.0504600710319"/>
    <n v="0"/>
    <n v="0"/>
  </r>
  <r>
    <s v="Regular"/>
    <x v="0"/>
    <x v="1"/>
    <x v="2"/>
    <x v="0"/>
    <x v="0"/>
    <x v="0"/>
    <x v="2"/>
    <x v="4"/>
    <n v="3523"/>
    <n v="3523"/>
    <n v="0"/>
    <n v="0"/>
    <n v="0"/>
    <n v="0"/>
    <n v="14"/>
    <x v="0"/>
    <n v="0"/>
    <n v="11"/>
    <n v="0"/>
    <n v="0"/>
    <n v="45.42"/>
    <n v="0"/>
    <n v="0"/>
    <n v="45.87320696171841"/>
    <m/>
    <m/>
    <n v="160014.66"/>
    <n v="0"/>
    <n v="0"/>
    <n v="161611.30812613395"/>
    <n v="0"/>
    <n v="0"/>
  </r>
  <r>
    <s v="Sistema de Compensação"/>
    <x v="0"/>
    <x v="1"/>
    <x v="2"/>
    <x v="0"/>
    <x v="0"/>
    <x v="0"/>
    <x v="2"/>
    <x v="4"/>
    <n v="326"/>
    <n v="326"/>
    <n v="0"/>
    <n v="0"/>
    <n v="0"/>
    <n v="0"/>
    <n v="2"/>
    <x v="0"/>
    <n v="0"/>
    <n v="11"/>
    <n v="0"/>
    <n v="0"/>
    <n v="45.42"/>
    <n v="0"/>
    <n v="0"/>
    <n v="45.87320696171841"/>
    <m/>
    <m/>
    <n v="14806.92"/>
    <n v="0"/>
    <n v="0"/>
    <n v="14954.665469520201"/>
    <n v="0"/>
    <n v="0"/>
  </r>
  <r>
    <s v="Regular"/>
    <x v="0"/>
    <x v="1"/>
    <x v="2"/>
    <x v="0"/>
    <x v="0"/>
    <x v="0"/>
    <x v="2"/>
    <x v="0"/>
    <n v="3242"/>
    <n v="3242"/>
    <n v="0"/>
    <n v="0"/>
    <n v="0"/>
    <n v="0"/>
    <n v="14"/>
    <x v="0"/>
    <n v="0"/>
    <n v="11"/>
    <n v="0"/>
    <n v="0"/>
    <n v="45.42"/>
    <n v="0"/>
    <n v="0"/>
    <n v="45.87320696171841"/>
    <m/>
    <m/>
    <n v="147251.64000000001"/>
    <n v="0"/>
    <n v="0"/>
    <n v="148720.93696989107"/>
    <n v="0"/>
    <n v="0"/>
  </r>
  <r>
    <s v="Refaturamento - Regular"/>
    <x v="0"/>
    <x v="1"/>
    <x v="2"/>
    <x v="0"/>
    <x v="0"/>
    <x v="0"/>
    <x v="2"/>
    <x v="0"/>
    <n v="-739"/>
    <n v="-739"/>
    <n v="0"/>
    <n v="0"/>
    <n v="0"/>
    <n v="0"/>
    <n v="0"/>
    <x v="0"/>
    <n v="0"/>
    <n v="11"/>
    <n v="0"/>
    <n v="0"/>
    <n v="45.42"/>
    <n v="0"/>
    <n v="0"/>
    <n v="45.87320696171841"/>
    <m/>
    <m/>
    <n v="-33565.380000000005"/>
    <n v="0"/>
    <n v="0"/>
    <n v="-33900.299944709906"/>
    <n v="0"/>
    <n v="0"/>
  </r>
  <r>
    <s v="Sistema de Compensação"/>
    <x v="0"/>
    <x v="1"/>
    <x v="2"/>
    <x v="0"/>
    <x v="0"/>
    <x v="0"/>
    <x v="2"/>
    <x v="0"/>
    <n v="280"/>
    <n v="280"/>
    <n v="0"/>
    <n v="0"/>
    <n v="0"/>
    <n v="0"/>
    <n v="2"/>
    <x v="0"/>
    <n v="0"/>
    <n v="11"/>
    <n v="0"/>
    <n v="0"/>
    <n v="45.42"/>
    <n v="0"/>
    <n v="0"/>
    <n v="45.87320696171841"/>
    <m/>
    <m/>
    <n v="12717.6"/>
    <n v="0"/>
    <n v="0"/>
    <n v="12844.497949281154"/>
    <n v="0"/>
    <n v="0"/>
  </r>
  <r>
    <s v="Regular"/>
    <x v="0"/>
    <x v="1"/>
    <x v="2"/>
    <x v="0"/>
    <x v="0"/>
    <x v="0"/>
    <x v="1"/>
    <x v="5"/>
    <n v="0"/>
    <n v="0"/>
    <n v="6.1849999999999996"/>
    <n v="6.1849999999999996"/>
    <n v="6.1849999999999996"/>
    <n v="6.1849999999999996"/>
    <n v="0"/>
    <x v="0"/>
    <n v="0"/>
    <n v="0"/>
    <n v="7"/>
    <n v="41"/>
    <n v="0"/>
    <n v="1465.12"/>
    <n v="252.22"/>
    <m/>
    <n v="1505.0863668607667"/>
    <n v="251.13901983982558"/>
    <n v="0"/>
    <n v="9061.7671999999984"/>
    <n v="1559.9806999999998"/>
    <n v="0"/>
    <n v="9308.9591790338418"/>
    <n v="1553.2948377093212"/>
  </r>
  <r>
    <s v="Sistema de Compensação"/>
    <x v="0"/>
    <x v="1"/>
    <x v="2"/>
    <x v="0"/>
    <x v="0"/>
    <x v="0"/>
    <x v="1"/>
    <x v="5"/>
    <n v="0"/>
    <n v="0"/>
    <n v="1.23"/>
    <n v="1.23"/>
    <n v="1.23"/>
    <n v="1.23"/>
    <n v="0"/>
    <x v="0"/>
    <n v="0"/>
    <n v="0"/>
    <n v="7"/>
    <n v="41"/>
    <n v="0"/>
    <n v="1465.12"/>
    <n v="252.22"/>
    <m/>
    <n v="1505.0863668607667"/>
    <n v="251.13901983982558"/>
    <n v="0"/>
    <n v="1802.0975999999998"/>
    <n v="310.23059999999998"/>
    <n v="0"/>
    <n v="1851.2562312387431"/>
    <n v="308.90099440298548"/>
  </r>
  <r>
    <s v="Regular"/>
    <x v="0"/>
    <x v="1"/>
    <x v="2"/>
    <x v="0"/>
    <x v="0"/>
    <x v="0"/>
    <x v="1"/>
    <x v="6"/>
    <n v="0"/>
    <n v="0"/>
    <n v="8.1029999999999998"/>
    <n v="8.1029999999999998"/>
    <n v="8.1029999999999998"/>
    <n v="8.1029999999999998"/>
    <n v="0"/>
    <x v="0"/>
    <n v="0"/>
    <n v="0"/>
    <n v="7"/>
    <n v="41"/>
    <n v="0"/>
    <n v="1465.12"/>
    <n v="252.22"/>
    <m/>
    <n v="1505.0863668607667"/>
    <n v="251.13901983982558"/>
    <n v="0"/>
    <n v="11871.867359999998"/>
    <n v="2043.73866"/>
    <n v="0"/>
    <n v="12195.714830672792"/>
    <n v="2034.9794777621066"/>
  </r>
  <r>
    <s v="Regular"/>
    <x v="0"/>
    <x v="1"/>
    <x v="2"/>
    <x v="0"/>
    <x v="0"/>
    <x v="0"/>
    <x v="1"/>
    <x v="7"/>
    <n v="0"/>
    <n v="0"/>
    <n v="7.7350000000000003"/>
    <n v="7.7350000000000003"/>
    <n v="7.7350000000000003"/>
    <n v="7.7350000000000003"/>
    <n v="0"/>
    <x v="0"/>
    <n v="0"/>
    <n v="0"/>
    <n v="7"/>
    <n v="41"/>
    <n v="0"/>
    <n v="1465.12"/>
    <n v="252.22"/>
    <m/>
    <n v="1505.0863668607667"/>
    <n v="251.13901983982558"/>
    <n v="0"/>
    <n v="11332.7032"/>
    <n v="1950.9217000000001"/>
    <n v="0"/>
    <n v="11641.843047668031"/>
    <n v="1942.5603184610509"/>
  </r>
  <r>
    <s v="Regular"/>
    <x v="0"/>
    <x v="1"/>
    <x v="2"/>
    <x v="0"/>
    <x v="0"/>
    <x v="0"/>
    <x v="1"/>
    <x v="8"/>
    <n v="0"/>
    <n v="0"/>
    <n v="8.2110000000000003"/>
    <n v="8.2110000000000003"/>
    <n v="8.2110000000000003"/>
    <n v="8.2110000000000003"/>
    <n v="0"/>
    <x v="0"/>
    <n v="0"/>
    <n v="0"/>
    <n v="7"/>
    <n v="41"/>
    <n v="0"/>
    <n v="1465.12"/>
    <n v="252.22"/>
    <m/>
    <n v="1505.0863668607667"/>
    <n v="251.13901983982558"/>
    <n v="0"/>
    <n v="12030.10032"/>
    <n v="2070.9784199999999"/>
    <n v="0"/>
    <n v="12358.264158293756"/>
    <n v="2062.1024919048077"/>
  </r>
  <r>
    <s v="Regular"/>
    <x v="0"/>
    <x v="1"/>
    <x v="2"/>
    <x v="0"/>
    <x v="0"/>
    <x v="0"/>
    <x v="1"/>
    <x v="9"/>
    <n v="0"/>
    <n v="0"/>
    <n v="20.187999999999999"/>
    <n v="20.187999999999999"/>
    <n v="20.187999999999999"/>
    <n v="20.187999999999999"/>
    <n v="0"/>
    <x v="0"/>
    <n v="0"/>
    <n v="0"/>
    <n v="7"/>
    <n v="41"/>
    <n v="0"/>
    <n v="1465.12"/>
    <n v="252.22"/>
    <m/>
    <n v="1505.0863668607667"/>
    <n v="251.13901983982558"/>
    <n v="0"/>
    <n v="29577.842559999997"/>
    <n v="5091.81736"/>
    <n v="0"/>
    <n v="30384.683574185157"/>
    <n v="5069.9945325263989"/>
  </r>
  <r>
    <s v="Sistema de Compensação"/>
    <x v="0"/>
    <x v="1"/>
    <x v="2"/>
    <x v="0"/>
    <x v="0"/>
    <x v="0"/>
    <x v="1"/>
    <x v="9"/>
    <n v="0"/>
    <n v="0"/>
    <n v="1.8859999999999999"/>
    <n v="1.8859999999999999"/>
    <n v="1.8859999999999999"/>
    <n v="1.8859999999999999"/>
    <n v="0"/>
    <x v="0"/>
    <n v="0"/>
    <n v="0"/>
    <n v="7"/>
    <n v="41"/>
    <n v="0"/>
    <n v="1465.12"/>
    <n v="252.22"/>
    <m/>
    <n v="1505.0863668607667"/>
    <n v="251.13901983982558"/>
    <n v="0"/>
    <n v="2763.2163199999995"/>
    <n v="475.68691999999999"/>
    <n v="0"/>
    <n v="2838.5928878994059"/>
    <n v="473.64819141791099"/>
  </r>
  <r>
    <s v="Regular"/>
    <x v="0"/>
    <x v="1"/>
    <x v="2"/>
    <x v="0"/>
    <x v="0"/>
    <x v="0"/>
    <x v="1"/>
    <x v="10"/>
    <n v="0"/>
    <n v="0"/>
    <n v="16.204000000000001"/>
    <n v="16.204000000000001"/>
    <n v="16.204000000000001"/>
    <n v="16.204000000000001"/>
    <n v="0"/>
    <x v="0"/>
    <n v="0"/>
    <n v="0"/>
    <n v="7"/>
    <n v="41"/>
    <n v="0"/>
    <n v="1465.12"/>
    <n v="252.22"/>
    <m/>
    <n v="1505.0863668607667"/>
    <n v="251.13901983982558"/>
    <n v="0"/>
    <n v="23740.804479999999"/>
    <n v="4086.9728800000003"/>
    <n v="0"/>
    <n v="24388.419488611864"/>
    <n v="4069.4566774845339"/>
  </r>
  <r>
    <s v="Regular"/>
    <x v="0"/>
    <x v="1"/>
    <x v="2"/>
    <x v="0"/>
    <x v="0"/>
    <x v="0"/>
    <x v="1"/>
    <x v="11"/>
    <n v="0"/>
    <n v="0"/>
    <n v="12.834"/>
    <n v="12.834"/>
    <n v="12.834"/>
    <n v="12.834"/>
    <n v="0"/>
    <x v="0"/>
    <n v="0"/>
    <n v="0"/>
    <n v="7"/>
    <n v="41"/>
    <n v="0"/>
    <n v="1465.12"/>
    <n v="252.22"/>
    <m/>
    <n v="1505.0863668607667"/>
    <n v="251.13901983982558"/>
    <n v="0"/>
    <n v="18803.350079999997"/>
    <n v="3236.9914799999997"/>
    <n v="0"/>
    <n v="19316.278432291081"/>
    <n v="3223.1181806243212"/>
  </r>
  <r>
    <s v="Sistema de Compensação"/>
    <x v="0"/>
    <x v="1"/>
    <x v="2"/>
    <x v="0"/>
    <x v="0"/>
    <x v="0"/>
    <x v="1"/>
    <x v="11"/>
    <n v="0"/>
    <n v="0"/>
    <n v="1.218"/>
    <n v="1.218"/>
    <n v="1.218"/>
    <n v="1.218"/>
    <n v="0"/>
    <x v="0"/>
    <n v="0"/>
    <n v="0"/>
    <n v="7"/>
    <n v="41"/>
    <n v="0"/>
    <n v="1465.12"/>
    <n v="252.22"/>
    <m/>
    <n v="1505.0863668607667"/>
    <n v="251.13901983982558"/>
    <n v="0"/>
    <n v="1784.5161599999999"/>
    <n v="307.20396"/>
    <n v="0"/>
    <n v="1833.1951948364137"/>
    <n v="305.88732616490756"/>
  </r>
  <r>
    <s v="Regular"/>
    <x v="0"/>
    <x v="1"/>
    <x v="2"/>
    <x v="0"/>
    <x v="0"/>
    <x v="0"/>
    <x v="1"/>
    <x v="1"/>
    <n v="0"/>
    <n v="0"/>
    <n v="12.782999999999999"/>
    <n v="12.782999999999999"/>
    <n v="12.782999999999999"/>
    <n v="12.782999999999999"/>
    <n v="0"/>
    <x v="0"/>
    <n v="0"/>
    <n v="0"/>
    <n v="7"/>
    <n v="41"/>
    <n v="0"/>
    <n v="1465.12"/>
    <n v="252.22"/>
    <m/>
    <n v="1505.0863668607667"/>
    <n v="251.13901983982558"/>
    <n v="0"/>
    <n v="18728.628959999998"/>
    <n v="3224.12826"/>
    <n v="0"/>
    <n v="19239.51902758118"/>
    <n v="3210.3100906124901"/>
  </r>
  <r>
    <s v="Sistema de Compensação"/>
    <x v="0"/>
    <x v="1"/>
    <x v="2"/>
    <x v="0"/>
    <x v="0"/>
    <x v="0"/>
    <x v="1"/>
    <x v="1"/>
    <n v="0"/>
    <n v="0"/>
    <n v="1.1479999999999999"/>
    <n v="1.1479999999999999"/>
    <n v="1.1479999999999999"/>
    <n v="1.1479999999999999"/>
    <n v="0"/>
    <x v="0"/>
    <n v="0"/>
    <n v="0"/>
    <n v="7"/>
    <n v="41"/>
    <n v="0"/>
    <n v="1465.12"/>
    <n v="252.22"/>
    <m/>
    <n v="1505.0863668607667"/>
    <n v="251.13901983982558"/>
    <n v="0"/>
    <n v="1681.9577599999998"/>
    <n v="289.54855999999995"/>
    <n v="0"/>
    <n v="1727.8391491561601"/>
    <n v="288.30759477611974"/>
  </r>
  <r>
    <s v="Regular"/>
    <x v="0"/>
    <x v="1"/>
    <x v="2"/>
    <x v="0"/>
    <x v="0"/>
    <x v="0"/>
    <x v="1"/>
    <x v="2"/>
    <n v="0"/>
    <n v="0"/>
    <n v="9.1430000000000007"/>
    <n v="9.1430000000000007"/>
    <n v="9.1430000000000007"/>
    <n v="9.1430000000000007"/>
    <n v="0"/>
    <x v="0"/>
    <n v="0"/>
    <n v="0"/>
    <n v="7"/>
    <n v="41"/>
    <n v="0"/>
    <n v="1465.12"/>
    <n v="252.22"/>
    <m/>
    <n v="1505.0863668607667"/>
    <n v="251.13901983982558"/>
    <n v="0"/>
    <n v="13395.59216"/>
    <n v="2306.0474600000002"/>
    <n v="0"/>
    <n v="13761.00465220799"/>
    <n v="2296.1640583955254"/>
  </r>
  <r>
    <s v="Sistema de Compensação"/>
    <x v="0"/>
    <x v="1"/>
    <x v="2"/>
    <x v="0"/>
    <x v="0"/>
    <x v="0"/>
    <x v="1"/>
    <x v="2"/>
    <n v="0"/>
    <n v="0"/>
    <n v="0.65600000000000003"/>
    <n v="0.65600000000000003"/>
    <n v="0.65600000000000003"/>
    <n v="0.65600000000000003"/>
    <n v="0"/>
    <x v="0"/>
    <n v="0"/>
    <n v="0"/>
    <n v="7"/>
    <n v="41"/>
    <n v="0"/>
    <n v="1465.12"/>
    <n v="252.22"/>
    <m/>
    <n v="1505.0863668607667"/>
    <n v="251.13901983982558"/>
    <n v="0"/>
    <n v="961.11871999999994"/>
    <n v="165.45632000000001"/>
    <n v="0"/>
    <n v="987.33665666066304"/>
    <n v="164.74719701492558"/>
  </r>
  <r>
    <s v="Regular"/>
    <x v="0"/>
    <x v="1"/>
    <x v="2"/>
    <x v="0"/>
    <x v="0"/>
    <x v="0"/>
    <x v="1"/>
    <x v="3"/>
    <n v="0"/>
    <n v="0"/>
    <n v="32.179000000000002"/>
    <n v="32.179000000000002"/>
    <n v="32.179000000000002"/>
    <n v="32.179000000000002"/>
    <n v="0"/>
    <x v="0"/>
    <n v="0"/>
    <n v="0"/>
    <n v="7"/>
    <n v="41"/>
    <n v="0"/>
    <n v="1465.12"/>
    <n v="252.22"/>
    <m/>
    <n v="1505.0863668607667"/>
    <n v="251.13901983982558"/>
    <n v="0"/>
    <n v="47146.09648"/>
    <n v="8116.1873800000003"/>
    <n v="0"/>
    <n v="48432.174199212612"/>
    <n v="8081.4025194257474"/>
  </r>
  <r>
    <s v="Sistema de Compensação"/>
    <x v="0"/>
    <x v="1"/>
    <x v="2"/>
    <x v="0"/>
    <x v="0"/>
    <x v="0"/>
    <x v="1"/>
    <x v="3"/>
    <n v="0"/>
    <n v="0"/>
    <n v="4.4279999999999999"/>
    <n v="4.4279999999999999"/>
    <n v="4.4279999999999999"/>
    <n v="4.4279999999999999"/>
    <n v="0"/>
    <x v="0"/>
    <n v="0"/>
    <n v="0"/>
    <n v="7"/>
    <n v="41"/>
    <n v="0"/>
    <n v="1465.12"/>
    <n v="252.22"/>
    <m/>
    <n v="1505.0863668607667"/>
    <n v="251.13901983982558"/>
    <n v="0"/>
    <n v="6487.5513599999995"/>
    <n v="1116.83016"/>
    <n v="0"/>
    <n v="6664.5224324594747"/>
    <n v="1112.0435798507476"/>
  </r>
  <r>
    <s v="Regular"/>
    <x v="0"/>
    <x v="1"/>
    <x v="2"/>
    <x v="0"/>
    <x v="0"/>
    <x v="0"/>
    <x v="1"/>
    <x v="4"/>
    <n v="0"/>
    <n v="0"/>
    <n v="37.75"/>
    <n v="37.75"/>
    <n v="37.75"/>
    <n v="37.75"/>
    <n v="0"/>
    <x v="0"/>
    <n v="0"/>
    <n v="0"/>
    <n v="7"/>
    <n v="41"/>
    <n v="0"/>
    <n v="1465.12"/>
    <n v="252.22"/>
    <m/>
    <n v="1505.0863668607667"/>
    <n v="251.13901983982558"/>
    <n v="0"/>
    <n v="55308.28"/>
    <n v="9521.3050000000003"/>
    <n v="0"/>
    <n v="56817.010348993943"/>
    <n v="9480.4979989534149"/>
  </r>
  <r>
    <s v="Sistema de Compensação"/>
    <x v="0"/>
    <x v="1"/>
    <x v="2"/>
    <x v="0"/>
    <x v="0"/>
    <x v="0"/>
    <x v="1"/>
    <x v="4"/>
    <n v="0"/>
    <n v="0"/>
    <n v="6.29"/>
    <n v="6.29"/>
    <n v="6.29"/>
    <n v="6.29"/>
    <n v="0"/>
    <x v="0"/>
    <n v="0"/>
    <n v="0"/>
    <n v="7"/>
    <n v="41"/>
    <n v="0"/>
    <n v="1465.12"/>
    <n v="252.22"/>
    <m/>
    <n v="1505.0863668607667"/>
    <n v="251.13901983982558"/>
    <n v="0"/>
    <n v="9215.6047999999992"/>
    <n v="1586.4638"/>
    <n v="0"/>
    <n v="9466.9932475542228"/>
    <n v="1579.6644347925028"/>
  </r>
  <r>
    <s v="Regular"/>
    <x v="0"/>
    <x v="1"/>
    <x v="2"/>
    <x v="0"/>
    <x v="0"/>
    <x v="0"/>
    <x v="1"/>
    <x v="0"/>
    <n v="0"/>
    <n v="0"/>
    <n v="19.905000000000001"/>
    <n v="19.905000000000001"/>
    <n v="19.905000000000001"/>
    <n v="19.905000000000001"/>
    <n v="0"/>
    <x v="0"/>
    <n v="0"/>
    <n v="0"/>
    <n v="7"/>
    <n v="41"/>
    <n v="0"/>
    <n v="1465.12"/>
    <n v="252.22"/>
    <m/>
    <n v="1505.0863668607667"/>
    <n v="251.13901983982558"/>
    <n v="0"/>
    <n v="29163.213599999999"/>
    <n v="5020.4391000000005"/>
    <n v="0"/>
    <n v="29958.744132363561"/>
    <n v="4998.9221899117283"/>
  </r>
  <r>
    <s v="Sistema de Compensação"/>
    <x v="0"/>
    <x v="1"/>
    <x v="2"/>
    <x v="0"/>
    <x v="0"/>
    <x v="0"/>
    <x v="1"/>
    <x v="0"/>
    <n v="0"/>
    <n v="0"/>
    <n v="3.4780000000000002"/>
    <n v="3.4780000000000002"/>
    <n v="3.4780000000000002"/>
    <n v="3.4780000000000002"/>
    <n v="0"/>
    <x v="0"/>
    <n v="0"/>
    <n v="0"/>
    <n v="7"/>
    <n v="41"/>
    <n v="0"/>
    <n v="1465.12"/>
    <n v="252.22"/>
    <m/>
    <n v="1505.0863668607667"/>
    <n v="251.13901983982558"/>
    <n v="0"/>
    <n v="5095.6873599999999"/>
    <n v="877.22116000000005"/>
    <n v="0"/>
    <n v="5234.6903839417473"/>
    <n v="873.46151100291343"/>
  </r>
  <r>
    <s v="Regular"/>
    <x v="0"/>
    <x v="1"/>
    <x v="0"/>
    <x v="0"/>
    <x v="1"/>
    <x v="0"/>
    <x v="0"/>
    <x v="7"/>
    <n v="0"/>
    <n v="0"/>
    <n v="4.87"/>
    <n v="4.87"/>
    <n v="0"/>
    <n v="0"/>
    <n v="0"/>
    <x v="1"/>
    <n v="0"/>
    <n v="0"/>
    <n v="15"/>
    <n v="0"/>
    <n v="0"/>
    <n v="79.319999999999993"/>
    <n v="0"/>
    <m/>
    <n v="89.719855298032911"/>
    <m/>
    <n v="0"/>
    <n v="386.28839999999997"/>
    <n v="0"/>
    <n v="0"/>
    <n v="436.93569530142031"/>
    <n v="0"/>
  </r>
  <r>
    <s v="Regular"/>
    <x v="0"/>
    <x v="1"/>
    <x v="0"/>
    <x v="0"/>
    <x v="1"/>
    <x v="0"/>
    <x v="0"/>
    <x v="8"/>
    <n v="0"/>
    <n v="0"/>
    <n v="7.6310000000000002"/>
    <n v="3.8155000000000001"/>
    <n v="0"/>
    <n v="0"/>
    <n v="0"/>
    <x v="1"/>
    <n v="0"/>
    <n v="0"/>
    <n v="15"/>
    <n v="0"/>
    <n v="0"/>
    <n v="79.319999999999993"/>
    <n v="0"/>
    <m/>
    <n v="89.719855298032911"/>
    <m/>
    <n v="0"/>
    <n v="302.64545999999996"/>
    <n v="0"/>
    <n v="0"/>
    <n v="342.32610788964456"/>
    <n v="0"/>
  </r>
  <r>
    <s v="Regular"/>
    <x v="0"/>
    <x v="1"/>
    <x v="0"/>
    <x v="0"/>
    <x v="1"/>
    <x v="0"/>
    <x v="0"/>
    <x v="9"/>
    <n v="0"/>
    <n v="0"/>
    <n v="10.301"/>
    <n v="10.301"/>
    <n v="0"/>
    <n v="0"/>
    <n v="0"/>
    <x v="1"/>
    <n v="0"/>
    <n v="0"/>
    <n v="15"/>
    <n v="0"/>
    <n v="0"/>
    <n v="79.319999999999993"/>
    <n v="0"/>
    <m/>
    <n v="89.719855298032911"/>
    <m/>
    <n v="0"/>
    <n v="817.07531999999992"/>
    <n v="0"/>
    <n v="0"/>
    <n v="924.20422942503706"/>
    <n v="0"/>
  </r>
  <r>
    <s v="Regular"/>
    <x v="0"/>
    <x v="1"/>
    <x v="0"/>
    <x v="0"/>
    <x v="1"/>
    <x v="0"/>
    <x v="0"/>
    <x v="10"/>
    <n v="0"/>
    <n v="0"/>
    <n v="19.350999999999999"/>
    <n v="19.350999999999999"/>
    <n v="0"/>
    <n v="0"/>
    <n v="0"/>
    <x v="1"/>
    <n v="0"/>
    <n v="0"/>
    <n v="15"/>
    <n v="0"/>
    <n v="0"/>
    <n v="79.319999999999993"/>
    <n v="0"/>
    <m/>
    <n v="89.719855298032911"/>
    <m/>
    <n v="0"/>
    <n v="1534.9213199999997"/>
    <n v="0"/>
    <n v="0"/>
    <n v="1736.1689198722347"/>
    <n v="0"/>
  </r>
  <r>
    <s v="Regular"/>
    <x v="0"/>
    <x v="1"/>
    <x v="0"/>
    <x v="0"/>
    <x v="1"/>
    <x v="0"/>
    <x v="0"/>
    <x v="11"/>
    <n v="0"/>
    <n v="0"/>
    <n v="9.2880000000000003"/>
    <n v="9.2880000000000003"/>
    <n v="0"/>
    <n v="0"/>
    <n v="0"/>
    <x v="1"/>
    <n v="0"/>
    <n v="0"/>
    <n v="15"/>
    <n v="0"/>
    <n v="0"/>
    <n v="79.319999999999993"/>
    <n v="0"/>
    <m/>
    <n v="89.719855298032911"/>
    <m/>
    <n v="0"/>
    <n v="736.72415999999998"/>
    <n v="0"/>
    <n v="0"/>
    <n v="833.31801600812969"/>
    <n v="0"/>
  </r>
  <r>
    <s v="Regular"/>
    <x v="0"/>
    <x v="1"/>
    <x v="0"/>
    <x v="0"/>
    <x v="1"/>
    <x v="0"/>
    <x v="0"/>
    <x v="1"/>
    <n v="0"/>
    <n v="0"/>
    <n v="6.9539999999999997"/>
    <n v="6.9539999999999997"/>
    <n v="0"/>
    <n v="0"/>
    <n v="0"/>
    <x v="1"/>
    <n v="0"/>
    <n v="0"/>
    <n v="15"/>
    <n v="0"/>
    <n v="0"/>
    <n v="79.319999999999993"/>
    <n v="0"/>
    <m/>
    <n v="89.719855298032911"/>
    <m/>
    <n v="0"/>
    <n v="551.59127999999998"/>
    <n v="0"/>
    <n v="0"/>
    <n v="623.91187374252081"/>
    <n v="0"/>
  </r>
  <r>
    <s v="Regular"/>
    <x v="0"/>
    <x v="1"/>
    <x v="0"/>
    <x v="0"/>
    <x v="1"/>
    <x v="0"/>
    <x v="0"/>
    <x v="2"/>
    <n v="0"/>
    <n v="0"/>
    <n v="10.055"/>
    <n v="10.055"/>
    <n v="0"/>
    <n v="0"/>
    <n v="0"/>
    <x v="1"/>
    <n v="0"/>
    <n v="0"/>
    <n v="15"/>
    <n v="0"/>
    <n v="0"/>
    <n v="79.319999999999993"/>
    <n v="0"/>
    <m/>
    <n v="89.719855298032911"/>
    <m/>
    <n v="0"/>
    <n v="797.56259999999986"/>
    <n v="0"/>
    <n v="0"/>
    <n v="902.13314502172091"/>
    <n v="0"/>
  </r>
  <r>
    <s v="Regular"/>
    <x v="0"/>
    <x v="1"/>
    <x v="0"/>
    <x v="0"/>
    <x v="1"/>
    <x v="0"/>
    <x v="0"/>
    <x v="3"/>
    <n v="0"/>
    <n v="0"/>
    <n v="38.299999999999997"/>
    <n v="38.299999999999997"/>
    <n v="0"/>
    <n v="0"/>
    <n v="0"/>
    <x v="1"/>
    <n v="0"/>
    <n v="0"/>
    <n v="15"/>
    <n v="0"/>
    <n v="0"/>
    <n v="79.319999999999993"/>
    <n v="0"/>
    <m/>
    <n v="89.719855298032911"/>
    <m/>
    <n v="0"/>
    <n v="3037.9559999999997"/>
    <n v="0"/>
    <n v="0"/>
    <n v="3436.2704579146603"/>
    <n v="0"/>
  </r>
  <r>
    <s v="Regular"/>
    <x v="0"/>
    <x v="1"/>
    <x v="0"/>
    <x v="0"/>
    <x v="1"/>
    <x v="0"/>
    <x v="0"/>
    <x v="4"/>
    <n v="0"/>
    <n v="0"/>
    <n v="115.378"/>
    <n v="115.378"/>
    <n v="0"/>
    <n v="0"/>
    <n v="0"/>
    <x v="1"/>
    <n v="0"/>
    <n v="0"/>
    <n v="15"/>
    <n v="0"/>
    <n v="0"/>
    <n v="79.319999999999993"/>
    <n v="0"/>
    <m/>
    <n v="89.719855298032911"/>
    <m/>
    <n v="0"/>
    <n v="9151.7829599999986"/>
    <n v="0"/>
    <n v="0"/>
    <n v="10351.69746457644"/>
    <n v="0"/>
  </r>
  <r>
    <s v="Regular"/>
    <x v="0"/>
    <x v="1"/>
    <x v="0"/>
    <x v="0"/>
    <x v="1"/>
    <x v="0"/>
    <x v="0"/>
    <x v="0"/>
    <n v="0"/>
    <n v="0"/>
    <n v="43.594999999999999"/>
    <n v="43.594999999999999"/>
    <n v="0"/>
    <n v="0"/>
    <n v="0"/>
    <x v="1"/>
    <n v="0"/>
    <n v="0"/>
    <n v="15"/>
    <n v="0"/>
    <n v="0"/>
    <n v="79.319999999999993"/>
    <n v="0"/>
    <m/>
    <n v="89.719855298032911"/>
    <m/>
    <n v="0"/>
    <n v="3457.9553999999998"/>
    <n v="0"/>
    <n v="0"/>
    <n v="3911.3370917177444"/>
    <n v="0"/>
  </r>
  <r>
    <s v="Regular"/>
    <x v="0"/>
    <x v="1"/>
    <x v="0"/>
    <x v="0"/>
    <x v="1"/>
    <x v="0"/>
    <x v="2"/>
    <x v="5"/>
    <n v="1200"/>
    <n v="600"/>
    <n v="0"/>
    <n v="0"/>
    <n v="0"/>
    <n v="0"/>
    <n v="1"/>
    <x v="1"/>
    <n v="0"/>
    <n v="11"/>
    <n v="0"/>
    <n v="0"/>
    <n v="45.42"/>
    <n v="0"/>
    <n v="0"/>
    <n v="45.87320696171841"/>
    <m/>
    <m/>
    <n v="27252"/>
    <n v="0"/>
    <n v="0"/>
    <n v="27523.924177031047"/>
    <n v="0"/>
    <n v="0"/>
  </r>
  <r>
    <s v="Regular"/>
    <x v="0"/>
    <x v="1"/>
    <x v="0"/>
    <x v="0"/>
    <x v="1"/>
    <x v="0"/>
    <x v="2"/>
    <x v="6"/>
    <n v="600"/>
    <n v="600"/>
    <n v="0"/>
    <n v="0"/>
    <n v="0"/>
    <n v="0"/>
    <n v="1"/>
    <x v="1"/>
    <n v="0"/>
    <n v="11"/>
    <n v="0"/>
    <n v="0"/>
    <n v="45.42"/>
    <n v="0"/>
    <n v="0"/>
    <n v="45.87320696171841"/>
    <m/>
    <m/>
    <n v="27252"/>
    <n v="0"/>
    <n v="0"/>
    <n v="27523.924177031047"/>
    <n v="0"/>
    <n v="0"/>
  </r>
  <r>
    <s v="Regular"/>
    <x v="0"/>
    <x v="1"/>
    <x v="0"/>
    <x v="0"/>
    <x v="1"/>
    <x v="0"/>
    <x v="2"/>
    <x v="7"/>
    <n v="600"/>
    <n v="600"/>
    <n v="0"/>
    <n v="0"/>
    <n v="0"/>
    <n v="0"/>
    <n v="1"/>
    <x v="1"/>
    <n v="0"/>
    <n v="11"/>
    <n v="0"/>
    <n v="0"/>
    <n v="45.42"/>
    <n v="0"/>
    <n v="0"/>
    <n v="45.87320696171841"/>
    <m/>
    <m/>
    <n v="27252"/>
    <n v="0"/>
    <n v="0"/>
    <n v="27523.924177031047"/>
    <n v="0"/>
    <n v="0"/>
  </r>
  <r>
    <s v="Regular"/>
    <x v="0"/>
    <x v="1"/>
    <x v="0"/>
    <x v="0"/>
    <x v="1"/>
    <x v="0"/>
    <x v="2"/>
    <x v="8"/>
    <n v="600"/>
    <n v="317.64"/>
    <n v="0"/>
    <n v="0"/>
    <n v="0"/>
    <n v="0"/>
    <n v="1"/>
    <x v="1"/>
    <n v="0"/>
    <n v="11"/>
    <n v="0"/>
    <n v="0"/>
    <n v="45.42"/>
    <n v="0"/>
    <n v="0"/>
    <n v="45.87320696171841"/>
    <m/>
    <m/>
    <n v="14427.2088"/>
    <n v="0"/>
    <n v="0"/>
    <n v="14571.165459320235"/>
    <n v="0"/>
    <n v="0"/>
  </r>
  <r>
    <s v="Regular"/>
    <x v="0"/>
    <x v="1"/>
    <x v="0"/>
    <x v="0"/>
    <x v="1"/>
    <x v="0"/>
    <x v="2"/>
    <x v="9"/>
    <n v="600"/>
    <n v="209.04"/>
    <n v="0"/>
    <n v="0"/>
    <n v="0"/>
    <n v="0"/>
    <n v="1"/>
    <x v="1"/>
    <n v="0"/>
    <n v="11"/>
    <n v="0"/>
    <n v="0"/>
    <n v="45.42"/>
    <n v="0"/>
    <n v="0"/>
    <n v="45.87320696171841"/>
    <m/>
    <m/>
    <n v="9494.5967999999993"/>
    <n v="0"/>
    <n v="0"/>
    <n v="9589.3351832776152"/>
    <n v="0"/>
    <n v="0"/>
  </r>
  <r>
    <s v="Regular"/>
    <x v="0"/>
    <x v="1"/>
    <x v="0"/>
    <x v="0"/>
    <x v="1"/>
    <x v="0"/>
    <x v="2"/>
    <x v="10"/>
    <n v="600"/>
    <n v="322.5"/>
    <n v="0"/>
    <n v="0"/>
    <n v="0"/>
    <n v="0"/>
    <n v="1"/>
    <x v="1"/>
    <n v="0"/>
    <n v="11"/>
    <n v="0"/>
    <n v="0"/>
    <n v="45.42"/>
    <n v="0"/>
    <n v="0"/>
    <n v="45.87320696171841"/>
    <m/>
    <m/>
    <n v="14647.95"/>
    <n v="0"/>
    <n v="0"/>
    <n v="14794.109245154186"/>
    <n v="0"/>
    <n v="0"/>
  </r>
  <r>
    <s v="Regular"/>
    <x v="0"/>
    <x v="1"/>
    <x v="0"/>
    <x v="0"/>
    <x v="1"/>
    <x v="0"/>
    <x v="2"/>
    <x v="11"/>
    <n v="600"/>
    <n v="600"/>
    <n v="0"/>
    <n v="0"/>
    <n v="0"/>
    <n v="0"/>
    <n v="1"/>
    <x v="1"/>
    <n v="0"/>
    <n v="11"/>
    <n v="0"/>
    <n v="0"/>
    <n v="45.42"/>
    <n v="0"/>
    <n v="0"/>
    <n v="45.87320696171841"/>
    <m/>
    <m/>
    <n v="27252"/>
    <n v="0"/>
    <n v="0"/>
    <n v="27523.924177031047"/>
    <n v="0"/>
    <n v="0"/>
  </r>
  <r>
    <s v="Regular"/>
    <x v="0"/>
    <x v="1"/>
    <x v="0"/>
    <x v="0"/>
    <x v="1"/>
    <x v="0"/>
    <x v="2"/>
    <x v="1"/>
    <n v="600"/>
    <n v="219.78"/>
    <n v="0"/>
    <n v="0"/>
    <n v="0"/>
    <n v="0"/>
    <n v="1"/>
    <x v="1"/>
    <n v="0"/>
    <n v="11"/>
    <n v="0"/>
    <n v="0"/>
    <n v="45.42"/>
    <n v="0"/>
    <n v="0"/>
    <n v="45.87320696171841"/>
    <m/>
    <m/>
    <n v="9982.4076000000005"/>
    <n v="0"/>
    <n v="0"/>
    <n v="10082.013426046473"/>
    <n v="0"/>
    <n v="0"/>
  </r>
  <r>
    <s v="Regular"/>
    <x v="0"/>
    <x v="1"/>
    <x v="0"/>
    <x v="0"/>
    <x v="1"/>
    <x v="0"/>
    <x v="2"/>
    <x v="2"/>
    <n v="600"/>
    <n v="128.69999999999999"/>
    <n v="0"/>
    <n v="0"/>
    <n v="0"/>
    <n v="0"/>
    <n v="1"/>
    <x v="1"/>
    <n v="0"/>
    <n v="11"/>
    <n v="0"/>
    <n v="0"/>
    <n v="45.42"/>
    <n v="0"/>
    <n v="0"/>
    <n v="45.87320696171841"/>
    <m/>
    <m/>
    <n v="5845.5540000000001"/>
    <n v="0"/>
    <n v="0"/>
    <n v="5903.8817359731584"/>
    <n v="0"/>
    <n v="0"/>
  </r>
  <r>
    <s v="Regular"/>
    <x v="0"/>
    <x v="1"/>
    <x v="0"/>
    <x v="0"/>
    <x v="1"/>
    <x v="0"/>
    <x v="2"/>
    <x v="3"/>
    <n v="600"/>
    <n v="146.16"/>
    <n v="0"/>
    <n v="0"/>
    <n v="0"/>
    <n v="0"/>
    <n v="1"/>
    <x v="1"/>
    <n v="0"/>
    <n v="11"/>
    <n v="0"/>
    <n v="0"/>
    <n v="45.42"/>
    <n v="0"/>
    <n v="0"/>
    <n v="45.87320696171841"/>
    <m/>
    <m/>
    <n v="6638.5871999999999"/>
    <n v="0"/>
    <n v="0"/>
    <n v="6704.827929524763"/>
    <n v="0"/>
    <n v="0"/>
  </r>
  <r>
    <s v="Regular"/>
    <x v="0"/>
    <x v="1"/>
    <x v="0"/>
    <x v="0"/>
    <x v="1"/>
    <x v="0"/>
    <x v="2"/>
    <x v="4"/>
    <n v="600"/>
    <n v="25.38"/>
    <n v="0"/>
    <n v="0"/>
    <n v="0"/>
    <n v="0"/>
    <n v="1"/>
    <x v="1"/>
    <n v="0"/>
    <n v="11"/>
    <n v="0"/>
    <n v="0"/>
    <n v="45.42"/>
    <n v="0"/>
    <n v="0"/>
    <n v="45.87320696171841"/>
    <m/>
    <m/>
    <n v="1152.7596000000001"/>
    <n v="0"/>
    <n v="0"/>
    <n v="1164.2619926884131"/>
    <n v="0"/>
    <n v="0"/>
  </r>
  <r>
    <s v="Regular"/>
    <x v="0"/>
    <x v="1"/>
    <x v="0"/>
    <x v="0"/>
    <x v="1"/>
    <x v="0"/>
    <x v="2"/>
    <x v="0"/>
    <n v="600"/>
    <n v="206.7"/>
    <n v="0"/>
    <n v="0"/>
    <n v="0"/>
    <n v="0"/>
    <n v="1"/>
    <x v="1"/>
    <n v="0"/>
    <n v="11"/>
    <n v="0"/>
    <n v="0"/>
    <n v="45.42"/>
    <n v="0"/>
    <n v="0"/>
    <n v="45.87320696171841"/>
    <m/>
    <m/>
    <n v="9388.3140000000003"/>
    <n v="0"/>
    <n v="0"/>
    <n v="9481.9918789871954"/>
    <n v="0"/>
    <n v="0"/>
  </r>
  <r>
    <s v="Regular"/>
    <x v="0"/>
    <x v="1"/>
    <x v="0"/>
    <x v="0"/>
    <x v="1"/>
    <x v="0"/>
    <x v="1"/>
    <x v="7"/>
    <n v="0"/>
    <n v="0"/>
    <n v="0.6"/>
    <n v="0.6"/>
    <n v="0"/>
    <n v="0"/>
    <n v="0"/>
    <x v="1"/>
    <n v="0"/>
    <n v="0"/>
    <n v="7"/>
    <n v="0"/>
    <n v="0"/>
    <n v="1465.12"/>
    <n v="0"/>
    <m/>
    <n v="1505.0863668607667"/>
    <m/>
    <n v="0"/>
    <n v="879.07199999999989"/>
    <n v="0"/>
    <n v="0"/>
    <n v="903.05182011646002"/>
    <n v="0"/>
  </r>
  <r>
    <s v="Regular"/>
    <x v="0"/>
    <x v="1"/>
    <x v="0"/>
    <x v="0"/>
    <x v="1"/>
    <x v="0"/>
    <x v="1"/>
    <x v="8"/>
    <n v="0"/>
    <n v="0"/>
    <n v="0.54300000000000004"/>
    <n v="0.27150000000000002"/>
    <n v="0"/>
    <n v="0"/>
    <n v="0"/>
    <x v="1"/>
    <n v="0"/>
    <n v="0"/>
    <n v="7"/>
    <n v="0"/>
    <n v="0"/>
    <n v="1465.12"/>
    <n v="0"/>
    <m/>
    <n v="1505.0863668607667"/>
    <m/>
    <n v="0"/>
    <n v="397.78008"/>
    <n v="0"/>
    <n v="0"/>
    <n v="408.6309486026982"/>
    <n v="0"/>
  </r>
  <r>
    <s v="Regular"/>
    <x v="0"/>
    <x v="1"/>
    <x v="0"/>
    <x v="0"/>
    <x v="1"/>
    <x v="0"/>
    <x v="1"/>
    <x v="9"/>
    <n v="0"/>
    <n v="0"/>
    <n v="0.63800000000000001"/>
    <n v="0.63800000000000001"/>
    <n v="0"/>
    <n v="0"/>
    <n v="0"/>
    <x v="1"/>
    <n v="0"/>
    <n v="0"/>
    <n v="7"/>
    <n v="0"/>
    <n v="0"/>
    <n v="1465.12"/>
    <n v="0"/>
    <m/>
    <n v="1505.0863668607667"/>
    <m/>
    <n v="0"/>
    <n v="934.74655999999993"/>
    <n v="0"/>
    <n v="0"/>
    <n v="960.24510205716922"/>
    <n v="0"/>
  </r>
  <r>
    <s v="Regular"/>
    <x v="0"/>
    <x v="1"/>
    <x v="0"/>
    <x v="0"/>
    <x v="1"/>
    <x v="0"/>
    <x v="1"/>
    <x v="10"/>
    <n v="0"/>
    <n v="0"/>
    <n v="0.81"/>
    <n v="0.81"/>
    <n v="0"/>
    <n v="0"/>
    <n v="0"/>
    <x v="1"/>
    <n v="0"/>
    <n v="0"/>
    <n v="7"/>
    <n v="0"/>
    <n v="0"/>
    <n v="1465.12"/>
    <n v="0"/>
    <m/>
    <n v="1505.0863668607667"/>
    <m/>
    <n v="0"/>
    <n v="1186.7472"/>
    <n v="0"/>
    <n v="0"/>
    <n v="1219.1199571572211"/>
    <n v="0"/>
  </r>
  <r>
    <s v="Regular"/>
    <x v="0"/>
    <x v="1"/>
    <x v="0"/>
    <x v="0"/>
    <x v="1"/>
    <x v="0"/>
    <x v="1"/>
    <x v="11"/>
    <n v="0"/>
    <n v="0"/>
    <n v="0.77"/>
    <n v="0.77"/>
    <n v="0"/>
    <n v="0"/>
    <n v="0"/>
    <x v="1"/>
    <n v="0"/>
    <n v="0"/>
    <n v="7"/>
    <n v="0"/>
    <n v="0"/>
    <n v="1465.12"/>
    <n v="0"/>
    <m/>
    <n v="1505.0863668607667"/>
    <m/>
    <n v="0"/>
    <n v="1128.1424"/>
    <n v="0"/>
    <n v="0"/>
    <n v="1158.9165024827903"/>
    <n v="0"/>
  </r>
  <r>
    <s v="Regular"/>
    <x v="0"/>
    <x v="1"/>
    <x v="0"/>
    <x v="0"/>
    <x v="1"/>
    <x v="0"/>
    <x v="1"/>
    <x v="1"/>
    <n v="0"/>
    <n v="0"/>
    <n v="0.77700000000000002"/>
    <n v="0.77700000000000002"/>
    <n v="0"/>
    <n v="0"/>
    <n v="0"/>
    <x v="1"/>
    <n v="0"/>
    <n v="0"/>
    <n v="7"/>
    <n v="0"/>
    <n v="0"/>
    <n v="1465.12"/>
    <n v="0"/>
    <m/>
    <n v="1505.0863668607667"/>
    <m/>
    <n v="0"/>
    <n v="1138.39824"/>
    <n v="0"/>
    <n v="0"/>
    <n v="1169.4521070508158"/>
    <n v="0"/>
  </r>
  <r>
    <s v="Regular"/>
    <x v="0"/>
    <x v="1"/>
    <x v="0"/>
    <x v="0"/>
    <x v="1"/>
    <x v="0"/>
    <x v="1"/>
    <x v="2"/>
    <n v="0"/>
    <n v="0"/>
    <n v="1.5289999999999999"/>
    <n v="1.5289999999999999"/>
    <n v="0"/>
    <n v="0"/>
    <n v="0"/>
    <x v="1"/>
    <n v="0"/>
    <n v="0"/>
    <n v="7"/>
    <n v="0"/>
    <n v="0"/>
    <n v="1465.12"/>
    <n v="0"/>
    <m/>
    <n v="1505.0863668607667"/>
    <m/>
    <n v="0"/>
    <n v="2240.1684799999998"/>
    <n v="0"/>
    <n v="0"/>
    <n v="2301.2770549301122"/>
    <n v="0"/>
  </r>
  <r>
    <s v="Regular"/>
    <x v="0"/>
    <x v="1"/>
    <x v="0"/>
    <x v="0"/>
    <x v="1"/>
    <x v="0"/>
    <x v="1"/>
    <x v="3"/>
    <n v="0"/>
    <n v="0"/>
    <n v="4.9880000000000004"/>
    <n v="4.9880000000000004"/>
    <n v="0"/>
    <n v="0"/>
    <n v="0"/>
    <x v="1"/>
    <n v="0"/>
    <n v="0"/>
    <n v="7"/>
    <n v="0"/>
    <n v="0"/>
    <n v="1465.12"/>
    <n v="0"/>
    <m/>
    <n v="1505.0863668607667"/>
    <m/>
    <n v="0"/>
    <n v="7308.0185600000004"/>
    <n v="0"/>
    <n v="0"/>
    <n v="7507.3707979015053"/>
    <n v="0"/>
  </r>
  <r>
    <s v="Regular"/>
    <x v="0"/>
    <x v="1"/>
    <x v="0"/>
    <x v="0"/>
    <x v="1"/>
    <x v="0"/>
    <x v="1"/>
    <x v="4"/>
    <n v="0"/>
    <n v="0"/>
    <n v="17.71"/>
    <n v="17.71"/>
    <n v="0"/>
    <n v="0"/>
    <n v="0"/>
    <x v="1"/>
    <n v="0"/>
    <n v="0"/>
    <n v="7"/>
    <n v="0"/>
    <n v="0"/>
    <n v="1465.12"/>
    <n v="0"/>
    <m/>
    <n v="1505.0863668607667"/>
    <m/>
    <n v="0"/>
    <n v="25947.2752"/>
    <n v="0"/>
    <n v="0"/>
    <n v="26655.079557104178"/>
    <n v="0"/>
  </r>
  <r>
    <s v="Regular"/>
    <x v="0"/>
    <x v="1"/>
    <x v="0"/>
    <x v="0"/>
    <x v="1"/>
    <x v="0"/>
    <x v="1"/>
    <x v="0"/>
    <n v="0"/>
    <n v="0"/>
    <n v="2.4889999999999999"/>
    <n v="2.4889999999999999"/>
    <n v="0"/>
    <n v="0"/>
    <n v="0"/>
    <x v="1"/>
    <n v="0"/>
    <n v="0"/>
    <n v="7"/>
    <n v="0"/>
    <n v="0"/>
    <n v="1465.12"/>
    <n v="0"/>
    <m/>
    <n v="1505.0863668607667"/>
    <m/>
    <n v="0"/>
    <n v="3646.6836799999996"/>
    <n v="0"/>
    <n v="0"/>
    <n v="3746.1599671164481"/>
    <n v="0"/>
  </r>
  <r>
    <s v="Regular"/>
    <x v="0"/>
    <x v="1"/>
    <x v="0"/>
    <x v="0"/>
    <x v="0"/>
    <x v="0"/>
    <x v="0"/>
    <x v="5"/>
    <n v="0"/>
    <n v="0"/>
    <n v="307.83600000000001"/>
    <n v="307.83600000000001"/>
    <n v="307.83600000000001"/>
    <n v="307.83600000000001"/>
    <n v="0"/>
    <x v="0"/>
    <n v="0"/>
    <n v="0"/>
    <n v="15"/>
    <n v="28"/>
    <n v="0"/>
    <n v="79.319999999999993"/>
    <n v="252.22"/>
    <m/>
    <n v="89.719855298032911"/>
    <n v="251.13901983982558"/>
    <n v="0"/>
    <n v="24417.551519999997"/>
    <n v="77642.39592000001"/>
    <n v="0"/>
    <n v="27619.001375525262"/>
    <n v="77309.631311412551"/>
  </r>
  <r>
    <s v="Regular"/>
    <x v="0"/>
    <x v="1"/>
    <x v="0"/>
    <x v="0"/>
    <x v="0"/>
    <x v="0"/>
    <x v="0"/>
    <x v="6"/>
    <n v="0"/>
    <n v="0"/>
    <n v="428.952"/>
    <n v="428.952"/>
    <n v="428.952"/>
    <n v="428.952"/>
    <n v="0"/>
    <x v="0"/>
    <n v="0"/>
    <n v="0"/>
    <n v="15"/>
    <n v="28"/>
    <n v="0"/>
    <n v="79.319999999999993"/>
    <n v="252.22"/>
    <m/>
    <n v="89.719855298032911"/>
    <n v="251.13901983982558"/>
    <n v="0"/>
    <n v="34024.47264"/>
    <n v="108190.27344"/>
    <n v="0"/>
    <n v="38485.51136980181"/>
    <n v="107726.58483833286"/>
  </r>
  <r>
    <s v="Regular"/>
    <x v="0"/>
    <x v="1"/>
    <x v="0"/>
    <x v="0"/>
    <x v="0"/>
    <x v="0"/>
    <x v="0"/>
    <x v="7"/>
    <n v="0"/>
    <n v="0"/>
    <n v="379.90899999999999"/>
    <n v="379.90899999999999"/>
    <n v="379.90899999999999"/>
    <n v="379.90899999999999"/>
    <n v="0"/>
    <x v="0"/>
    <n v="0"/>
    <n v="0"/>
    <n v="15"/>
    <n v="28"/>
    <n v="0"/>
    <n v="79.319999999999993"/>
    <n v="252.22"/>
    <m/>
    <n v="89.719855298032911"/>
    <n v="251.13901983982558"/>
    <n v="0"/>
    <n v="30134.381879999997"/>
    <n v="95820.647979999994"/>
    <n v="0"/>
    <n v="34085.380506420384"/>
    <n v="95409.973888328299"/>
  </r>
  <r>
    <s v="Regular"/>
    <x v="0"/>
    <x v="1"/>
    <x v="0"/>
    <x v="0"/>
    <x v="0"/>
    <x v="0"/>
    <x v="0"/>
    <x v="8"/>
    <n v="0"/>
    <n v="0"/>
    <n v="412.01"/>
    <n v="412.01"/>
    <n v="412.01"/>
    <n v="412.01"/>
    <n v="0"/>
    <x v="0"/>
    <n v="0"/>
    <n v="0"/>
    <n v="15"/>
    <n v="28"/>
    <n v="0"/>
    <n v="79.319999999999993"/>
    <n v="252.22"/>
    <m/>
    <n v="89.719855298032911"/>
    <n v="251.13901983982558"/>
    <n v="0"/>
    <n v="32680.633199999997"/>
    <n v="103917.16219999999"/>
    <n v="0"/>
    <n v="36965.477581342537"/>
    <n v="103471.78756420653"/>
  </r>
  <r>
    <s v="Regular"/>
    <x v="0"/>
    <x v="1"/>
    <x v="0"/>
    <x v="0"/>
    <x v="0"/>
    <x v="0"/>
    <x v="0"/>
    <x v="9"/>
    <n v="0"/>
    <n v="0"/>
    <n v="433.82400000000001"/>
    <n v="433.82400000000001"/>
    <n v="433.82400000000001"/>
    <n v="433.82400000000001"/>
    <n v="0"/>
    <x v="0"/>
    <n v="0"/>
    <n v="0"/>
    <n v="15"/>
    <n v="28"/>
    <n v="0"/>
    <n v="79.319999999999993"/>
    <n v="252.22"/>
    <m/>
    <n v="89.719855298032911"/>
    <n v="251.13901983982558"/>
    <n v="0"/>
    <n v="34410.919679999999"/>
    <n v="109419.08928"/>
    <n v="0"/>
    <n v="38922.62650481383"/>
    <n v="108950.13414299249"/>
  </r>
  <r>
    <s v="Regular"/>
    <x v="0"/>
    <x v="1"/>
    <x v="0"/>
    <x v="0"/>
    <x v="0"/>
    <x v="0"/>
    <x v="0"/>
    <x v="10"/>
    <n v="0"/>
    <n v="0"/>
    <n v="386.30700000000002"/>
    <n v="386.30700000000002"/>
    <n v="386.30700000000002"/>
    <n v="386.30700000000002"/>
    <n v="0"/>
    <x v="0"/>
    <n v="0"/>
    <n v="0"/>
    <n v="15"/>
    <n v="28"/>
    <n v="0"/>
    <n v="79.319999999999993"/>
    <n v="252.22"/>
    <m/>
    <n v="89.719855298032911"/>
    <n v="251.13901983982558"/>
    <n v="0"/>
    <n v="30641.87124"/>
    <n v="97434.351540000003"/>
    <n v="0"/>
    <n v="34659.408140617204"/>
    <n v="97016.76133726351"/>
  </r>
  <r>
    <s v="Regular"/>
    <x v="0"/>
    <x v="1"/>
    <x v="0"/>
    <x v="0"/>
    <x v="0"/>
    <x v="0"/>
    <x v="0"/>
    <x v="11"/>
    <n v="0"/>
    <n v="0"/>
    <n v="372.16"/>
    <n v="372.16"/>
    <n v="372.16"/>
    <n v="372.16"/>
    <n v="0"/>
    <x v="0"/>
    <n v="0"/>
    <n v="0"/>
    <n v="15"/>
    <n v="28"/>
    <n v="0"/>
    <n v="79.319999999999993"/>
    <n v="252.22"/>
    <m/>
    <n v="89.719855298032911"/>
    <n v="251.13901983982558"/>
    <n v="0"/>
    <n v="29519.731199999998"/>
    <n v="93866.195200000002"/>
    <n v="0"/>
    <n v="33390.141347715929"/>
    <n v="93463.897623589495"/>
  </r>
  <r>
    <s v="Regular"/>
    <x v="0"/>
    <x v="1"/>
    <x v="0"/>
    <x v="0"/>
    <x v="0"/>
    <x v="0"/>
    <x v="0"/>
    <x v="1"/>
    <n v="0"/>
    <n v="0"/>
    <n v="403.423"/>
    <n v="403.423"/>
    <n v="403.423"/>
    <n v="403.423"/>
    <n v="0"/>
    <x v="0"/>
    <n v="0"/>
    <n v="0"/>
    <n v="15"/>
    <n v="28"/>
    <n v="0"/>
    <n v="79.319999999999993"/>
    <n v="252.22"/>
    <m/>
    <n v="89.719855298032911"/>
    <n v="251.13901983982558"/>
    <n v="0"/>
    <n v="31999.512359999997"/>
    <n v="101751.34905999999"/>
    <n v="0"/>
    <n v="36195.05318389833"/>
    <n v="101315.25680084196"/>
  </r>
  <r>
    <s v="Regular"/>
    <x v="0"/>
    <x v="1"/>
    <x v="0"/>
    <x v="0"/>
    <x v="0"/>
    <x v="0"/>
    <x v="0"/>
    <x v="2"/>
    <n v="0"/>
    <n v="0"/>
    <n v="542.94899999999996"/>
    <n v="542.94899999999996"/>
    <n v="542.94899999999996"/>
    <n v="542.94899999999996"/>
    <n v="0"/>
    <x v="0"/>
    <n v="0"/>
    <n v="0"/>
    <n v="15"/>
    <n v="28"/>
    <n v="0"/>
    <n v="79.319999999999993"/>
    <n v="252.22"/>
    <m/>
    <n v="89.719855298032911"/>
    <n v="251.13901983982558"/>
    <n v="0"/>
    <n v="43066.71467999999"/>
    <n v="136942.59677999999"/>
    <n v="0"/>
    <n v="48713.305714211667"/>
    <n v="136355.67968301344"/>
  </r>
  <r>
    <s v="Regular"/>
    <x v="0"/>
    <x v="1"/>
    <x v="0"/>
    <x v="0"/>
    <x v="0"/>
    <x v="0"/>
    <x v="0"/>
    <x v="3"/>
    <n v="0"/>
    <n v="0"/>
    <n v="851.36900000000003"/>
    <n v="851.36900000000003"/>
    <n v="851.36900000000003"/>
    <n v="851.36900000000003"/>
    <n v="0"/>
    <x v="0"/>
    <n v="0"/>
    <n v="0"/>
    <n v="15"/>
    <n v="28"/>
    <n v="0"/>
    <n v="79.319999999999993"/>
    <n v="252.22"/>
    <m/>
    <n v="89.719855298032911"/>
    <n v="251.13901983982558"/>
    <n v="0"/>
    <n v="67530.589079999991"/>
    <n v="214732.28917999999"/>
    <n v="0"/>
    <n v="76384.703485230988"/>
    <n v="213811.97618201247"/>
  </r>
  <r>
    <s v="Regular"/>
    <x v="0"/>
    <x v="1"/>
    <x v="0"/>
    <x v="0"/>
    <x v="0"/>
    <x v="0"/>
    <x v="0"/>
    <x v="4"/>
    <n v="0"/>
    <n v="0"/>
    <n v="661.17499999999995"/>
    <n v="661.17499999999995"/>
    <n v="661.17499999999995"/>
    <n v="661.17499999999995"/>
    <n v="0"/>
    <x v="0"/>
    <n v="0"/>
    <n v="0"/>
    <n v="15"/>
    <n v="28"/>
    <n v="0"/>
    <n v="79.319999999999993"/>
    <n v="252.22"/>
    <m/>
    <n v="89.719855298032911"/>
    <n v="251.13901983982558"/>
    <n v="0"/>
    <n v="52444.400999999991"/>
    <n v="166761.55849999998"/>
    <n v="0"/>
    <n v="59320.525326676907"/>
    <n v="166046.84144259666"/>
  </r>
  <r>
    <s v="Refaturamento - Regular"/>
    <x v="0"/>
    <x v="1"/>
    <x v="0"/>
    <x v="0"/>
    <x v="0"/>
    <x v="0"/>
    <x v="0"/>
    <x v="4"/>
    <n v="0"/>
    <n v="0"/>
    <n v="-65.236999999999995"/>
    <n v="-65.236999999999995"/>
    <n v="-65.236999999999995"/>
    <n v="-65.236999999999995"/>
    <n v="0"/>
    <x v="0"/>
    <n v="0"/>
    <n v="0"/>
    <n v="15"/>
    <n v="28"/>
    <n v="0"/>
    <n v="79.319999999999993"/>
    <n v="252.22"/>
    <m/>
    <n v="89.719855298032911"/>
    <n v="251.13901983982558"/>
    <n v="0"/>
    <n v="-5174.5988399999987"/>
    <n v="-16454.076139999997"/>
    <n v="0"/>
    <n v="-5853.0542000777723"/>
    <n v="-16383.556237290701"/>
  </r>
  <r>
    <s v="Regular"/>
    <x v="0"/>
    <x v="1"/>
    <x v="0"/>
    <x v="0"/>
    <x v="0"/>
    <x v="0"/>
    <x v="0"/>
    <x v="0"/>
    <n v="0"/>
    <n v="0"/>
    <n v="340.99799999999999"/>
    <n v="340.99799999999999"/>
    <n v="340.99799999999999"/>
    <n v="340.99799999999999"/>
    <n v="0"/>
    <x v="0"/>
    <n v="0"/>
    <n v="0"/>
    <n v="15"/>
    <n v="28"/>
    <n v="0"/>
    <n v="79.319999999999993"/>
    <n v="252.22"/>
    <m/>
    <n v="89.719855298032911"/>
    <n v="251.13901983982558"/>
    <n v="0"/>
    <n v="27047.961359999998"/>
    <n v="86006.51556"/>
    <n v="0"/>
    <n v="30594.291216918627"/>
    <n v="85637.903487340838"/>
  </r>
  <r>
    <s v="Sistema de Compensação"/>
    <x v="0"/>
    <x v="1"/>
    <x v="0"/>
    <x v="0"/>
    <x v="0"/>
    <x v="0"/>
    <x v="0"/>
    <x v="0"/>
    <n v="0"/>
    <n v="0"/>
    <n v="7.8609999999999998"/>
    <n v="7.8609999999999998"/>
    <n v="7.8609999999999998"/>
    <n v="7.8609999999999998"/>
    <n v="0"/>
    <x v="0"/>
    <n v="0"/>
    <n v="0"/>
    <n v="15"/>
    <n v="28"/>
    <n v="0"/>
    <n v="79.319999999999993"/>
    <n v="252.22"/>
    <m/>
    <n v="89.719855298032911"/>
    <n v="251.13901983982558"/>
    <n v="0"/>
    <n v="623.53451999999993"/>
    <n v="1982.7014199999999"/>
    <n v="0"/>
    <n v="705.2877824978367"/>
    <n v="1974.2038349608688"/>
  </r>
  <r>
    <s v="Regular"/>
    <x v="0"/>
    <x v="1"/>
    <x v="0"/>
    <x v="0"/>
    <x v="0"/>
    <x v="0"/>
    <x v="2"/>
    <x v="5"/>
    <n v="1342"/>
    <n v="1342"/>
    <n v="0"/>
    <n v="0"/>
    <n v="0"/>
    <n v="0"/>
    <n v="5"/>
    <x v="0"/>
    <n v="0"/>
    <n v="11"/>
    <n v="0"/>
    <n v="0"/>
    <n v="45.42"/>
    <n v="0"/>
    <n v="0"/>
    <n v="45.87320696171841"/>
    <m/>
    <m/>
    <n v="60953.64"/>
    <n v="0"/>
    <n v="0"/>
    <n v="61561.843742626108"/>
    <n v="0"/>
    <n v="0"/>
  </r>
  <r>
    <s v="Regular"/>
    <x v="0"/>
    <x v="1"/>
    <x v="0"/>
    <x v="0"/>
    <x v="0"/>
    <x v="0"/>
    <x v="2"/>
    <x v="6"/>
    <n v="2254"/>
    <n v="2254"/>
    <n v="0"/>
    <n v="0"/>
    <n v="0"/>
    <n v="0"/>
    <n v="9"/>
    <x v="0"/>
    <n v="0"/>
    <n v="11"/>
    <n v="0"/>
    <n v="0"/>
    <n v="45.42"/>
    <n v="0"/>
    <n v="0"/>
    <n v="45.87320696171841"/>
    <m/>
    <m/>
    <n v="102376.68000000001"/>
    <n v="0"/>
    <n v="0"/>
    <n v="103398.20849171329"/>
    <n v="0"/>
    <n v="0"/>
  </r>
  <r>
    <s v="Regular"/>
    <x v="0"/>
    <x v="1"/>
    <x v="0"/>
    <x v="0"/>
    <x v="0"/>
    <x v="0"/>
    <x v="2"/>
    <x v="7"/>
    <n v="1713"/>
    <n v="1713"/>
    <n v="0"/>
    <n v="0"/>
    <n v="0"/>
    <n v="0"/>
    <n v="9"/>
    <x v="0"/>
    <n v="0"/>
    <n v="11"/>
    <n v="0"/>
    <n v="0"/>
    <n v="45.42"/>
    <n v="0"/>
    <n v="0"/>
    <n v="45.87320696171841"/>
    <m/>
    <m/>
    <n v="77804.460000000006"/>
    <n v="0"/>
    <n v="0"/>
    <n v="78580.803525423631"/>
    <n v="0"/>
    <n v="0"/>
  </r>
  <r>
    <s v="Regular"/>
    <x v="0"/>
    <x v="1"/>
    <x v="0"/>
    <x v="0"/>
    <x v="0"/>
    <x v="0"/>
    <x v="2"/>
    <x v="8"/>
    <n v="1914"/>
    <n v="1914"/>
    <n v="0"/>
    <n v="0"/>
    <n v="0"/>
    <n v="0"/>
    <n v="9"/>
    <x v="0"/>
    <n v="0"/>
    <n v="11"/>
    <n v="0"/>
    <n v="0"/>
    <n v="45.42"/>
    <n v="0"/>
    <n v="0"/>
    <n v="45.87320696171841"/>
    <m/>
    <m/>
    <n v="86933.88"/>
    <n v="0"/>
    <n v="0"/>
    <n v="87801.318124729034"/>
    <n v="0"/>
    <n v="0"/>
  </r>
  <r>
    <s v="Regular"/>
    <x v="0"/>
    <x v="1"/>
    <x v="0"/>
    <x v="0"/>
    <x v="0"/>
    <x v="0"/>
    <x v="2"/>
    <x v="9"/>
    <n v="1974"/>
    <n v="1974"/>
    <n v="0"/>
    <n v="0"/>
    <n v="0"/>
    <n v="0"/>
    <n v="9"/>
    <x v="0"/>
    <n v="0"/>
    <n v="11"/>
    <n v="0"/>
    <n v="0"/>
    <n v="45.42"/>
    <n v="0"/>
    <n v="0"/>
    <n v="45.87320696171841"/>
    <m/>
    <m/>
    <n v="89659.08"/>
    <n v="0"/>
    <n v="0"/>
    <n v="90553.710542432134"/>
    <n v="0"/>
    <n v="0"/>
  </r>
  <r>
    <s v="Regular"/>
    <x v="0"/>
    <x v="1"/>
    <x v="0"/>
    <x v="0"/>
    <x v="0"/>
    <x v="0"/>
    <x v="2"/>
    <x v="10"/>
    <n v="2082"/>
    <n v="2082"/>
    <n v="0"/>
    <n v="0"/>
    <n v="0"/>
    <n v="0"/>
    <n v="10"/>
    <x v="0"/>
    <n v="0"/>
    <n v="11"/>
    <n v="0"/>
    <n v="0"/>
    <n v="45.42"/>
    <n v="0"/>
    <n v="0"/>
    <n v="45.87320696171841"/>
    <m/>
    <m/>
    <n v="94564.44"/>
    <n v="0"/>
    <n v="0"/>
    <n v="95508.016894297733"/>
    <n v="0"/>
    <n v="0"/>
  </r>
  <r>
    <s v="Regular"/>
    <x v="0"/>
    <x v="1"/>
    <x v="0"/>
    <x v="0"/>
    <x v="0"/>
    <x v="0"/>
    <x v="2"/>
    <x v="11"/>
    <n v="1848"/>
    <n v="1848"/>
    <n v="0"/>
    <n v="0"/>
    <n v="0"/>
    <n v="0"/>
    <n v="9"/>
    <x v="0"/>
    <n v="0"/>
    <n v="11"/>
    <n v="0"/>
    <n v="0"/>
    <n v="45.42"/>
    <n v="0"/>
    <n v="0"/>
    <n v="45.87320696171841"/>
    <m/>
    <m/>
    <n v="83936.16"/>
    <n v="0"/>
    <n v="0"/>
    <n v="84773.686465255625"/>
    <n v="0"/>
    <n v="0"/>
  </r>
  <r>
    <s v="Sistema de Compensação"/>
    <x v="0"/>
    <x v="1"/>
    <x v="0"/>
    <x v="0"/>
    <x v="0"/>
    <x v="0"/>
    <x v="2"/>
    <x v="11"/>
    <n v="80"/>
    <n v="80"/>
    <n v="0"/>
    <n v="0"/>
    <n v="0"/>
    <n v="0"/>
    <n v="1"/>
    <x v="0"/>
    <n v="0"/>
    <n v="11"/>
    <n v="0"/>
    <n v="0"/>
    <n v="45.42"/>
    <n v="0"/>
    <n v="0"/>
    <n v="45.87320696171841"/>
    <m/>
    <m/>
    <n v="3633.6000000000004"/>
    <n v="0"/>
    <n v="0"/>
    <n v="3669.8565569374728"/>
    <n v="0"/>
    <n v="0"/>
  </r>
  <r>
    <s v="Regular"/>
    <x v="0"/>
    <x v="1"/>
    <x v="0"/>
    <x v="0"/>
    <x v="0"/>
    <x v="0"/>
    <x v="2"/>
    <x v="1"/>
    <n v="2251"/>
    <n v="2251"/>
    <n v="0"/>
    <n v="0"/>
    <n v="0"/>
    <n v="0"/>
    <n v="9"/>
    <x v="0"/>
    <n v="0"/>
    <n v="11"/>
    <n v="0"/>
    <n v="0"/>
    <n v="45.42"/>
    <n v="0"/>
    <n v="0"/>
    <n v="45.87320696171841"/>
    <m/>
    <m/>
    <n v="102240.42"/>
    <n v="0"/>
    <n v="0"/>
    <n v="103260.58887082814"/>
    <n v="0"/>
    <n v="0"/>
  </r>
  <r>
    <s v="Sistema de Compensação"/>
    <x v="0"/>
    <x v="1"/>
    <x v="0"/>
    <x v="0"/>
    <x v="0"/>
    <x v="0"/>
    <x v="2"/>
    <x v="1"/>
    <n v="78"/>
    <n v="78"/>
    <n v="0"/>
    <n v="0"/>
    <n v="0"/>
    <n v="0"/>
    <n v="1"/>
    <x v="0"/>
    <n v="0"/>
    <n v="11"/>
    <n v="0"/>
    <n v="0"/>
    <n v="45.42"/>
    <n v="0"/>
    <n v="0"/>
    <n v="45.87320696171841"/>
    <m/>
    <m/>
    <n v="3542.76"/>
    <n v="0"/>
    <n v="0"/>
    <n v="3578.1101430140361"/>
    <n v="0"/>
    <n v="0"/>
  </r>
  <r>
    <s v="Regular"/>
    <x v="0"/>
    <x v="1"/>
    <x v="0"/>
    <x v="0"/>
    <x v="0"/>
    <x v="0"/>
    <x v="2"/>
    <x v="2"/>
    <n v="2865"/>
    <n v="2865"/>
    <n v="0"/>
    <n v="0"/>
    <n v="0"/>
    <n v="0"/>
    <n v="11"/>
    <x v="0"/>
    <n v="0"/>
    <n v="11"/>
    <n v="0"/>
    <n v="0"/>
    <n v="45.42"/>
    <n v="0"/>
    <n v="0"/>
    <n v="45.87320696171841"/>
    <m/>
    <m/>
    <n v="130128.3"/>
    <n v="0"/>
    <n v="0"/>
    <n v="131426.73794532326"/>
    <n v="0"/>
    <n v="0"/>
  </r>
  <r>
    <s v="Sistema de Compensação"/>
    <x v="0"/>
    <x v="1"/>
    <x v="0"/>
    <x v="0"/>
    <x v="0"/>
    <x v="0"/>
    <x v="2"/>
    <x v="2"/>
    <n v="80"/>
    <n v="80"/>
    <n v="0"/>
    <n v="0"/>
    <n v="0"/>
    <n v="0"/>
    <n v="1"/>
    <x v="0"/>
    <n v="0"/>
    <n v="11"/>
    <n v="0"/>
    <n v="0"/>
    <n v="45.42"/>
    <n v="0"/>
    <n v="0"/>
    <n v="45.87320696171841"/>
    <m/>
    <m/>
    <n v="3633.6000000000004"/>
    <n v="0"/>
    <n v="0"/>
    <n v="3669.8565569374728"/>
    <n v="0"/>
    <n v="0"/>
  </r>
  <r>
    <s v="Regular"/>
    <x v="0"/>
    <x v="1"/>
    <x v="0"/>
    <x v="0"/>
    <x v="0"/>
    <x v="0"/>
    <x v="2"/>
    <x v="3"/>
    <n v="3403"/>
    <n v="3403"/>
    <n v="0"/>
    <n v="0"/>
    <n v="0"/>
    <n v="0"/>
    <n v="12"/>
    <x v="0"/>
    <n v="0"/>
    <n v="11"/>
    <n v="0"/>
    <n v="0"/>
    <n v="45.42"/>
    <n v="0"/>
    <n v="0"/>
    <n v="45.87320696171841"/>
    <m/>
    <m/>
    <n v="154564.26"/>
    <n v="0"/>
    <n v="0"/>
    <n v="156106.52329072775"/>
    <n v="0"/>
    <n v="0"/>
  </r>
  <r>
    <s v="Sistema de Compensação"/>
    <x v="0"/>
    <x v="1"/>
    <x v="0"/>
    <x v="0"/>
    <x v="0"/>
    <x v="0"/>
    <x v="2"/>
    <x v="3"/>
    <n v="172"/>
    <n v="172"/>
    <n v="0"/>
    <n v="0"/>
    <n v="0"/>
    <n v="0"/>
    <n v="1"/>
    <x v="0"/>
    <n v="0"/>
    <n v="11"/>
    <n v="0"/>
    <n v="0"/>
    <n v="45.42"/>
    <n v="0"/>
    <n v="0"/>
    <n v="45.87320696171841"/>
    <m/>
    <m/>
    <n v="7812.2400000000007"/>
    <n v="0"/>
    <n v="0"/>
    <n v="7890.1915974155663"/>
    <n v="0"/>
    <n v="0"/>
  </r>
  <r>
    <s v="Regular"/>
    <x v="0"/>
    <x v="1"/>
    <x v="0"/>
    <x v="0"/>
    <x v="0"/>
    <x v="0"/>
    <x v="2"/>
    <x v="4"/>
    <n v="3351"/>
    <n v="3351"/>
    <n v="0"/>
    <n v="0"/>
    <n v="0"/>
    <n v="0"/>
    <n v="12"/>
    <x v="0"/>
    <n v="0"/>
    <n v="11"/>
    <n v="0"/>
    <n v="0"/>
    <n v="45.42"/>
    <n v="0"/>
    <n v="0"/>
    <n v="45.87320696171841"/>
    <m/>
    <m/>
    <n v="152202.42000000001"/>
    <n v="0"/>
    <n v="0"/>
    <n v="153721.11652871838"/>
    <n v="0"/>
    <n v="0"/>
  </r>
  <r>
    <s v="Sistema de Compensação"/>
    <x v="0"/>
    <x v="1"/>
    <x v="0"/>
    <x v="0"/>
    <x v="0"/>
    <x v="0"/>
    <x v="2"/>
    <x v="4"/>
    <n v="204"/>
    <n v="204"/>
    <n v="0"/>
    <n v="0"/>
    <n v="0"/>
    <n v="0"/>
    <n v="1"/>
    <x v="0"/>
    <n v="0"/>
    <n v="11"/>
    <n v="0"/>
    <n v="0"/>
    <n v="45.42"/>
    <n v="0"/>
    <n v="0"/>
    <n v="45.87320696171841"/>
    <m/>
    <m/>
    <n v="9265.68"/>
    <n v="0"/>
    <n v="0"/>
    <n v="9358.1342201905554"/>
    <n v="0"/>
    <n v="0"/>
  </r>
  <r>
    <s v="Regular"/>
    <x v="0"/>
    <x v="1"/>
    <x v="0"/>
    <x v="0"/>
    <x v="0"/>
    <x v="0"/>
    <x v="2"/>
    <x v="0"/>
    <n v="2401"/>
    <n v="2401"/>
    <n v="0"/>
    <n v="0"/>
    <n v="0"/>
    <n v="0"/>
    <n v="11"/>
    <x v="0"/>
    <n v="0"/>
    <n v="11"/>
    <n v="0"/>
    <n v="0"/>
    <n v="45.42"/>
    <n v="0"/>
    <n v="0"/>
    <n v="45.87320696171841"/>
    <m/>
    <m/>
    <n v="109053.42"/>
    <n v="0"/>
    <n v="0"/>
    <n v="110141.5699150859"/>
    <n v="0"/>
    <n v="0"/>
  </r>
  <r>
    <s v="Sistema de Compensação"/>
    <x v="0"/>
    <x v="1"/>
    <x v="0"/>
    <x v="0"/>
    <x v="0"/>
    <x v="0"/>
    <x v="2"/>
    <x v="0"/>
    <n v="199"/>
    <n v="199"/>
    <n v="0"/>
    <n v="0"/>
    <n v="0"/>
    <n v="0"/>
    <n v="1"/>
    <x v="0"/>
    <n v="0"/>
    <n v="11"/>
    <n v="0"/>
    <n v="0"/>
    <n v="45.42"/>
    <n v="0"/>
    <n v="0"/>
    <n v="45.87320696171841"/>
    <m/>
    <m/>
    <n v="9038.58"/>
    <n v="0"/>
    <n v="0"/>
    <n v="9128.7681853819631"/>
    <n v="0"/>
    <n v="0"/>
  </r>
  <r>
    <s v="Regular"/>
    <x v="0"/>
    <x v="1"/>
    <x v="0"/>
    <x v="0"/>
    <x v="0"/>
    <x v="0"/>
    <x v="1"/>
    <x v="5"/>
    <n v="0"/>
    <n v="0"/>
    <n v="19.803999999999998"/>
    <n v="19.803999999999998"/>
    <n v="19.803999999999998"/>
    <n v="19.803999999999998"/>
    <n v="0"/>
    <x v="0"/>
    <n v="0"/>
    <n v="0"/>
    <n v="7"/>
    <n v="41"/>
    <n v="0"/>
    <n v="1465.12"/>
    <n v="252.22"/>
    <m/>
    <n v="1505.0863668607667"/>
    <n v="251.13901983982558"/>
    <n v="0"/>
    <n v="29015.236479999996"/>
    <n v="4994.9648799999995"/>
    <n v="0"/>
    <n v="29806.730409310621"/>
    <n v="4973.5571489079057"/>
  </r>
  <r>
    <s v="Regular"/>
    <x v="0"/>
    <x v="1"/>
    <x v="0"/>
    <x v="0"/>
    <x v="0"/>
    <x v="0"/>
    <x v="1"/>
    <x v="6"/>
    <n v="0"/>
    <n v="0"/>
    <n v="19.786999999999999"/>
    <n v="19.786999999999999"/>
    <n v="19.786999999999999"/>
    <n v="19.786999999999999"/>
    <n v="0"/>
    <x v="0"/>
    <n v="0"/>
    <n v="0"/>
    <n v="7"/>
    <n v="41"/>
    <n v="0"/>
    <n v="1465.12"/>
    <n v="252.22"/>
    <m/>
    <n v="1505.0863668607667"/>
    <n v="251.13901983982558"/>
    <n v="0"/>
    <n v="28990.329439999998"/>
    <n v="4990.6771399999998"/>
    <n v="0"/>
    <n v="29781.143941073988"/>
    <n v="4969.2877855706283"/>
  </r>
  <r>
    <s v="Regular"/>
    <x v="0"/>
    <x v="1"/>
    <x v="0"/>
    <x v="0"/>
    <x v="0"/>
    <x v="0"/>
    <x v="1"/>
    <x v="7"/>
    <n v="0"/>
    <n v="0"/>
    <n v="21.138000000000002"/>
    <n v="21.138000000000002"/>
    <n v="21.138000000000002"/>
    <n v="21.138000000000002"/>
    <n v="0"/>
    <x v="0"/>
    <n v="0"/>
    <n v="0"/>
    <n v="7"/>
    <n v="41"/>
    <n v="0"/>
    <n v="1465.12"/>
    <n v="252.22"/>
    <m/>
    <n v="1505.0863668607667"/>
    <n v="251.13901983982558"/>
    <n v="0"/>
    <n v="30969.706559999999"/>
    <n v="5331.4263600000004"/>
    <n v="0"/>
    <n v="31814.515622702889"/>
    <n v="5308.5766013742332"/>
  </r>
  <r>
    <s v="Regular"/>
    <x v="0"/>
    <x v="1"/>
    <x v="0"/>
    <x v="0"/>
    <x v="0"/>
    <x v="0"/>
    <x v="1"/>
    <x v="8"/>
    <n v="0"/>
    <n v="0"/>
    <n v="20.082999999999998"/>
    <n v="20.082999999999998"/>
    <n v="20.082999999999998"/>
    <n v="20.082999999999998"/>
    <n v="0"/>
    <x v="0"/>
    <n v="0"/>
    <n v="0"/>
    <n v="7"/>
    <n v="41"/>
    <n v="0"/>
    <n v="1465.12"/>
    <n v="252.22"/>
    <m/>
    <n v="1505.0863668607667"/>
    <n v="251.13901983982558"/>
    <n v="0"/>
    <n v="29424.004959999995"/>
    <n v="5065.3342599999996"/>
    <n v="0"/>
    <n v="30226.649505664776"/>
    <n v="5043.6249354432166"/>
  </r>
  <r>
    <s v="Regular"/>
    <x v="0"/>
    <x v="1"/>
    <x v="0"/>
    <x v="0"/>
    <x v="0"/>
    <x v="0"/>
    <x v="1"/>
    <x v="9"/>
    <n v="0"/>
    <n v="0"/>
    <n v="24.431000000000001"/>
    <n v="24.431000000000001"/>
    <n v="24.431000000000001"/>
    <n v="24.431000000000001"/>
    <n v="0"/>
    <x v="0"/>
    <n v="0"/>
    <n v="0"/>
    <n v="7"/>
    <n v="41"/>
    <n v="0"/>
    <n v="1465.12"/>
    <n v="252.22"/>
    <m/>
    <n v="1505.0863668607667"/>
    <n v="251.13901983982558"/>
    <n v="0"/>
    <n v="35794.346720000001"/>
    <n v="6161.9868200000001"/>
    <n v="0"/>
    <n v="36770.765028775393"/>
    <n v="6135.5773937067788"/>
  </r>
  <r>
    <s v="Regular"/>
    <x v="0"/>
    <x v="1"/>
    <x v="0"/>
    <x v="0"/>
    <x v="0"/>
    <x v="0"/>
    <x v="1"/>
    <x v="10"/>
    <n v="0"/>
    <n v="0"/>
    <n v="22.405000000000001"/>
    <n v="22.405000000000001"/>
    <n v="22.405000000000001"/>
    <n v="22.405000000000001"/>
    <n v="0"/>
    <x v="0"/>
    <n v="0"/>
    <n v="0"/>
    <n v="7"/>
    <n v="41"/>
    <n v="0"/>
    <n v="1465.12"/>
    <n v="252.22"/>
    <m/>
    <n v="1505.0863668607667"/>
    <n v="251.13901983982558"/>
    <n v="0"/>
    <n v="32826.013599999998"/>
    <n v="5650.9891000000007"/>
    <n v="0"/>
    <n v="33721.460049515481"/>
    <n v="5626.7697395112928"/>
  </r>
  <r>
    <s v="Regular"/>
    <x v="0"/>
    <x v="1"/>
    <x v="0"/>
    <x v="0"/>
    <x v="0"/>
    <x v="0"/>
    <x v="1"/>
    <x v="11"/>
    <n v="0"/>
    <n v="0"/>
    <n v="26.715"/>
    <n v="26.715"/>
    <n v="26.715"/>
    <n v="26.715"/>
    <n v="0"/>
    <x v="0"/>
    <n v="0"/>
    <n v="0"/>
    <n v="7"/>
    <n v="41"/>
    <n v="0"/>
    <n v="1465.12"/>
    <n v="252.22"/>
    <m/>
    <n v="1505.0863668607667"/>
    <n v="251.13901983982558"/>
    <n v="0"/>
    <n v="39140.680799999995"/>
    <n v="6738.0572999999995"/>
    <n v="0"/>
    <n v="40208.382290685382"/>
    <n v="6709.1789150209406"/>
  </r>
  <r>
    <s v="Regular"/>
    <x v="0"/>
    <x v="1"/>
    <x v="0"/>
    <x v="0"/>
    <x v="0"/>
    <x v="0"/>
    <x v="1"/>
    <x v="1"/>
    <n v="0"/>
    <n v="0"/>
    <n v="25.806000000000001"/>
    <n v="25.806000000000001"/>
    <n v="25.806000000000001"/>
    <n v="25.806000000000001"/>
    <n v="0"/>
    <x v="0"/>
    <n v="0"/>
    <n v="0"/>
    <n v="7"/>
    <n v="41"/>
    <n v="0"/>
    <n v="1465.12"/>
    <n v="252.22"/>
    <m/>
    <n v="1505.0863668607667"/>
    <n v="251.13901983982558"/>
    <n v="0"/>
    <n v="37808.886719999995"/>
    <n v="6508.7893199999999"/>
    <n v="0"/>
    <n v="38840.258783208948"/>
    <n v="6480.8935459865388"/>
  </r>
  <r>
    <s v="Regular"/>
    <x v="0"/>
    <x v="1"/>
    <x v="0"/>
    <x v="0"/>
    <x v="0"/>
    <x v="0"/>
    <x v="1"/>
    <x v="2"/>
    <n v="0"/>
    <n v="0"/>
    <n v="47.436"/>
    <n v="47.436"/>
    <n v="47.436"/>
    <n v="47.436"/>
    <n v="0"/>
    <x v="0"/>
    <n v="0"/>
    <n v="0"/>
    <n v="7"/>
    <n v="41"/>
    <n v="0"/>
    <n v="1465.12"/>
    <n v="252.22"/>
    <m/>
    <n v="1505.0863668607667"/>
    <n v="251.13901983982558"/>
    <n v="0"/>
    <n v="69499.432319999993"/>
    <n v="11964.307919999999"/>
    <n v="0"/>
    <n v="71395.276898407334"/>
    <n v="11913.030545121966"/>
  </r>
  <r>
    <s v="Regular"/>
    <x v="0"/>
    <x v="1"/>
    <x v="0"/>
    <x v="0"/>
    <x v="0"/>
    <x v="0"/>
    <x v="1"/>
    <x v="3"/>
    <n v="0"/>
    <n v="0"/>
    <n v="59.216000000000001"/>
    <n v="59.216000000000001"/>
    <n v="59.216000000000001"/>
    <n v="59.216000000000001"/>
    <n v="0"/>
    <x v="0"/>
    <n v="0"/>
    <n v="0"/>
    <n v="7"/>
    <n v="41"/>
    <n v="0"/>
    <n v="1465.12"/>
    <n v="252.22"/>
    <m/>
    <n v="1505.0863668607667"/>
    <n v="251.13901983982558"/>
    <n v="0"/>
    <n v="86758.54591999999"/>
    <n v="14935.45952"/>
    <n v="0"/>
    <n v="89125.194300027157"/>
    <n v="14871.448198835113"/>
  </r>
  <r>
    <s v="Regular"/>
    <x v="0"/>
    <x v="1"/>
    <x v="0"/>
    <x v="0"/>
    <x v="0"/>
    <x v="0"/>
    <x v="1"/>
    <x v="4"/>
    <n v="0"/>
    <n v="0"/>
    <n v="49.643000000000001"/>
    <n v="49.643000000000001"/>
    <n v="49.643000000000001"/>
    <n v="49.643000000000001"/>
    <n v="0"/>
    <x v="0"/>
    <n v="0"/>
    <n v="0"/>
    <n v="7"/>
    <n v="41"/>
    <n v="0"/>
    <n v="1465.12"/>
    <n v="252.22"/>
    <m/>
    <n v="1505.0863668607667"/>
    <n v="251.13901983982558"/>
    <n v="0"/>
    <n v="72732.952160000001"/>
    <n v="12520.95746"/>
    <n v="0"/>
    <n v="74717.00251006904"/>
    <n v="12467.294361908462"/>
  </r>
  <r>
    <s v="Refaturamento - Regular"/>
    <x v="0"/>
    <x v="1"/>
    <x v="0"/>
    <x v="0"/>
    <x v="0"/>
    <x v="0"/>
    <x v="1"/>
    <x v="4"/>
    <n v="0"/>
    <n v="0"/>
    <n v="-4.9020000000000001"/>
    <n v="-4.9020000000000001"/>
    <n v="-4.9020000000000001"/>
    <n v="-4.9020000000000001"/>
    <n v="0"/>
    <x v="0"/>
    <n v="0"/>
    <n v="0"/>
    <n v="7"/>
    <n v="41"/>
    <n v="0"/>
    <n v="1465.12"/>
    <n v="252.22"/>
    <m/>
    <n v="1505.0863668607667"/>
    <n v="251.13901983982558"/>
    <n v="0"/>
    <n v="-7182.0182399999994"/>
    <n v="-1236.3824400000001"/>
    <n v="0"/>
    <n v="-7377.9333703514785"/>
    <n v="-1231.0834752548251"/>
  </r>
  <r>
    <s v="Regular"/>
    <x v="0"/>
    <x v="1"/>
    <x v="0"/>
    <x v="0"/>
    <x v="0"/>
    <x v="0"/>
    <x v="1"/>
    <x v="0"/>
    <n v="0"/>
    <n v="0"/>
    <n v="24.045000000000002"/>
    <n v="24.045000000000002"/>
    <n v="24.045000000000002"/>
    <n v="24.045000000000002"/>
    <n v="0"/>
    <x v="0"/>
    <n v="0"/>
    <n v="0"/>
    <n v="7"/>
    <n v="41"/>
    <n v="0"/>
    <n v="1465.12"/>
    <n v="252.22"/>
    <m/>
    <n v="1505.0863668607667"/>
    <n v="251.13901983982558"/>
    <n v="0"/>
    <n v="35228.810400000002"/>
    <n v="6064.6299000000008"/>
    <n v="0"/>
    <n v="36189.801691167137"/>
    <n v="6038.6377320486063"/>
  </r>
  <r>
    <s v="Sistema de Compensação"/>
    <x v="0"/>
    <x v="1"/>
    <x v="0"/>
    <x v="0"/>
    <x v="0"/>
    <x v="0"/>
    <x v="1"/>
    <x v="0"/>
    <n v="0"/>
    <n v="0"/>
    <n v="1.319"/>
    <n v="1.319"/>
    <n v="1.319"/>
    <n v="1.319"/>
    <n v="0"/>
    <x v="0"/>
    <n v="0"/>
    <n v="0"/>
    <n v="7"/>
    <n v="41"/>
    <n v="0"/>
    <n v="1465.12"/>
    <n v="252.22"/>
    <m/>
    <n v="1505.0863668607667"/>
    <n v="251.13901983982558"/>
    <n v="0"/>
    <n v="1932.4932799999997"/>
    <n v="332.67818"/>
    <n v="0"/>
    <n v="1985.2089178893511"/>
    <n v="331.2523671687299"/>
  </r>
  <r>
    <s v="Regular"/>
    <x v="0"/>
    <x v="1"/>
    <x v="1"/>
    <x v="1"/>
    <x v="2"/>
    <x v="0"/>
    <x v="0"/>
    <x v="5"/>
    <n v="0"/>
    <n v="0"/>
    <n v="17.12"/>
    <n v="5.1360000000000001"/>
    <n v="17.12"/>
    <n v="5.1360000000000001"/>
    <n v="0"/>
    <x v="0"/>
    <n v="0"/>
    <n v="0"/>
    <n v="15"/>
    <n v="28"/>
    <n v="0"/>
    <n v="79.319999999999993"/>
    <n v="252.22"/>
    <m/>
    <n v="89.719855298032911"/>
    <n v="251.13901983982558"/>
    <n v="0"/>
    <n v="407.38751999999999"/>
    <n v="1295.40192"/>
    <n v="0"/>
    <n v="460.80117681069703"/>
    <n v="1289.8500058973443"/>
  </r>
  <r>
    <s v="Regular"/>
    <x v="0"/>
    <x v="1"/>
    <x v="1"/>
    <x v="1"/>
    <x v="2"/>
    <x v="0"/>
    <x v="0"/>
    <x v="6"/>
    <n v="0"/>
    <n v="0"/>
    <n v="27.2"/>
    <n v="8.16"/>
    <n v="27.2"/>
    <n v="8.16"/>
    <n v="0"/>
    <x v="0"/>
    <n v="0"/>
    <n v="0"/>
    <n v="15"/>
    <n v="28"/>
    <n v="0"/>
    <n v="79.319999999999993"/>
    <n v="252.22"/>
    <m/>
    <n v="89.719855298032911"/>
    <n v="251.13901983982558"/>
    <n v="0"/>
    <n v="647.25119999999993"/>
    <n v="2058.1152000000002"/>
    <n v="0"/>
    <n v="732.11401923194853"/>
    <n v="2049.2944018929766"/>
  </r>
  <r>
    <s v="Regular"/>
    <x v="0"/>
    <x v="1"/>
    <x v="1"/>
    <x v="1"/>
    <x v="2"/>
    <x v="0"/>
    <x v="0"/>
    <x v="7"/>
    <n v="0"/>
    <n v="0"/>
    <n v="19.091000000000001"/>
    <n v="5.7272999999999996"/>
    <n v="19.091000000000001"/>
    <n v="5.7272999999999996"/>
    <n v="0"/>
    <x v="0"/>
    <n v="0"/>
    <n v="0"/>
    <n v="15"/>
    <n v="28"/>
    <n v="0"/>
    <n v="79.319999999999993"/>
    <n v="252.22"/>
    <m/>
    <n v="89.719855298032911"/>
    <n v="251.13901983982558"/>
    <n v="0"/>
    <n v="454.28943599999991"/>
    <n v="1444.5396059999998"/>
    <n v="0"/>
    <n v="513.85252724842383"/>
    <n v="1438.348508328633"/>
  </r>
  <r>
    <s v="Regular"/>
    <x v="0"/>
    <x v="1"/>
    <x v="1"/>
    <x v="1"/>
    <x v="2"/>
    <x v="0"/>
    <x v="0"/>
    <x v="8"/>
    <n v="0"/>
    <n v="0"/>
    <n v="33.917999999999999"/>
    <n v="10.1754"/>
    <n v="33.917999999999999"/>
    <n v="10.1754"/>
    <n v="0"/>
    <x v="0"/>
    <n v="0"/>
    <n v="0"/>
    <n v="15"/>
    <n v="28"/>
    <n v="0"/>
    <n v="79.319999999999993"/>
    <n v="252.22"/>
    <m/>
    <n v="89.719855298032911"/>
    <n v="251.13901983982558"/>
    <n v="0"/>
    <n v="807.11272799999995"/>
    <n v="2566.4393879999998"/>
    <n v="0"/>
    <n v="912.93541559960408"/>
    <n v="2555.4399824781613"/>
  </r>
  <r>
    <s v="Regular"/>
    <x v="0"/>
    <x v="1"/>
    <x v="1"/>
    <x v="1"/>
    <x v="2"/>
    <x v="0"/>
    <x v="0"/>
    <x v="9"/>
    <n v="0"/>
    <n v="0"/>
    <n v="313.84899999999999"/>
    <n v="94.154700000000005"/>
    <n v="313.84899999999999"/>
    <n v="94.154700000000005"/>
    <n v="0"/>
    <x v="0"/>
    <n v="0"/>
    <n v="0"/>
    <n v="15"/>
    <n v="28"/>
    <n v="0"/>
    <n v="79.319999999999993"/>
    <n v="252.22"/>
    <m/>
    <n v="89.719855298032911"/>
    <n v="251.13901983982558"/>
    <n v="0"/>
    <n v="7468.3508039999997"/>
    <n v="23747.698434000002"/>
    <n v="0"/>
    <n v="8447.5460596296998"/>
    <n v="23645.919071312826"/>
  </r>
  <r>
    <s v="Regular"/>
    <x v="0"/>
    <x v="1"/>
    <x v="1"/>
    <x v="1"/>
    <x v="2"/>
    <x v="0"/>
    <x v="0"/>
    <x v="10"/>
    <n v="0"/>
    <n v="0"/>
    <n v="439.04"/>
    <n v="131.71199999999999"/>
    <n v="439.04"/>
    <n v="131.71199999999999"/>
    <n v="0"/>
    <x v="0"/>
    <n v="0"/>
    <n v="0"/>
    <n v="15"/>
    <n v="28"/>
    <n v="0"/>
    <n v="79.319999999999993"/>
    <n v="252.22"/>
    <m/>
    <n v="89.719855298032911"/>
    <n v="251.13901983982558"/>
    <n v="0"/>
    <n v="10447.395839999997"/>
    <n v="33220.40064"/>
    <n v="0"/>
    <n v="11817.181581014509"/>
    <n v="33078.022581143101"/>
  </r>
  <r>
    <s v="Regular"/>
    <x v="0"/>
    <x v="1"/>
    <x v="1"/>
    <x v="1"/>
    <x v="2"/>
    <x v="0"/>
    <x v="0"/>
    <x v="11"/>
    <n v="0"/>
    <n v="0"/>
    <n v="465.23399999999998"/>
    <n v="139.5702"/>
    <n v="465.23399999999998"/>
    <n v="139.5702"/>
    <n v="0"/>
    <x v="0"/>
    <n v="0"/>
    <n v="0"/>
    <n v="15"/>
    <n v="28"/>
    <n v="0"/>
    <n v="79.319999999999993"/>
    <n v="252.22"/>
    <m/>
    <n v="89.719855298032911"/>
    <n v="251.13901983982558"/>
    <n v="0"/>
    <n v="11070.708263999999"/>
    <n v="35202.395843999999"/>
    <n v="0"/>
    <n v="12522.218147917512"/>
    <n v="35051.523226848425"/>
  </r>
  <r>
    <s v="Regular"/>
    <x v="0"/>
    <x v="1"/>
    <x v="1"/>
    <x v="1"/>
    <x v="2"/>
    <x v="0"/>
    <x v="0"/>
    <x v="1"/>
    <n v="0"/>
    <n v="0"/>
    <n v="333.94200000000001"/>
    <n v="100.18259999999999"/>
    <n v="333.94200000000001"/>
    <n v="100.18259999999999"/>
    <n v="0"/>
    <x v="0"/>
    <n v="0"/>
    <n v="0"/>
    <n v="15"/>
    <n v="28"/>
    <n v="0"/>
    <n v="79.319999999999993"/>
    <n v="252.22"/>
    <m/>
    <n v="89.719855298032911"/>
    <n v="251.13901983982558"/>
    <n v="0"/>
    <n v="7946.483831999999"/>
    <n v="25268.055371999999"/>
    <n v="0"/>
    <n v="8988.3683753807109"/>
    <n v="25159.75996900531"/>
  </r>
  <r>
    <s v="Regular"/>
    <x v="0"/>
    <x v="1"/>
    <x v="1"/>
    <x v="1"/>
    <x v="2"/>
    <x v="0"/>
    <x v="0"/>
    <x v="2"/>
    <n v="0"/>
    <n v="0"/>
    <n v="160.22999999999999"/>
    <n v="48.069000000000003"/>
    <n v="160.22999999999999"/>
    <n v="48.069000000000003"/>
    <n v="0"/>
    <x v="0"/>
    <n v="0"/>
    <n v="0"/>
    <n v="15"/>
    <n v="28"/>
    <n v="0"/>
    <n v="79.319999999999993"/>
    <n v="252.22"/>
    <m/>
    <n v="89.719855298032911"/>
    <n v="251.13901983982558"/>
    <n v="0"/>
    <n v="3812.8330799999999"/>
    <n v="12123.963180000001"/>
    <n v="0"/>
    <n v="4312.7437243211443"/>
    <n v="12072.001544680576"/>
  </r>
  <r>
    <s v="Regular"/>
    <x v="0"/>
    <x v="1"/>
    <x v="1"/>
    <x v="1"/>
    <x v="2"/>
    <x v="0"/>
    <x v="0"/>
    <x v="3"/>
    <n v="0"/>
    <n v="0"/>
    <n v="40.447000000000003"/>
    <n v="12.1341"/>
    <n v="40.447000000000003"/>
    <n v="12.1341"/>
    <n v="0"/>
    <x v="0"/>
    <n v="0"/>
    <n v="0"/>
    <n v="15"/>
    <n v="28"/>
    <n v="0"/>
    <n v="79.319999999999993"/>
    <n v="252.22"/>
    <m/>
    <n v="89.719855298032911"/>
    <n v="251.13901983982558"/>
    <n v="0"/>
    <n v="962.47681199999988"/>
    <n v="3060.4627019999998"/>
    <n v="0"/>
    <n v="1088.6696961718612"/>
    <n v="3047.3459806384276"/>
  </r>
  <r>
    <s v="Regular"/>
    <x v="0"/>
    <x v="1"/>
    <x v="1"/>
    <x v="1"/>
    <x v="2"/>
    <x v="0"/>
    <x v="0"/>
    <x v="4"/>
    <n v="0"/>
    <n v="0"/>
    <n v="18.097999999999999"/>
    <n v="5.4294000000000002"/>
    <n v="18.097999999999999"/>
    <n v="5.4294000000000002"/>
    <n v="0"/>
    <x v="0"/>
    <n v="0"/>
    <n v="0"/>
    <n v="15"/>
    <n v="28"/>
    <n v="0"/>
    <n v="79.319999999999993"/>
    <n v="252.22"/>
    <m/>
    <n v="89.719855298032911"/>
    <n v="251.13901983982558"/>
    <n v="0"/>
    <n v="430.660008"/>
    <n v="1369.403268"/>
    <n v="0"/>
    <n v="487.12498235513993"/>
    <n v="1363.5341943183491"/>
  </r>
  <r>
    <s v="Regular"/>
    <x v="0"/>
    <x v="1"/>
    <x v="1"/>
    <x v="1"/>
    <x v="2"/>
    <x v="0"/>
    <x v="0"/>
    <x v="0"/>
    <n v="0"/>
    <n v="0"/>
    <n v="11.398"/>
    <n v="3.4194"/>
    <n v="11.398"/>
    <n v="3.4194"/>
    <n v="0"/>
    <x v="0"/>
    <n v="0"/>
    <n v="0"/>
    <n v="15"/>
    <n v="28"/>
    <n v="0"/>
    <n v="79.319999999999993"/>
    <n v="252.22"/>
    <m/>
    <n v="89.719855298032911"/>
    <n v="251.13901983982558"/>
    <n v="0"/>
    <n v="271.22680799999995"/>
    <n v="862.44106799999997"/>
    <n v="0"/>
    <n v="306.78807320609371"/>
    <n v="858.7447644402996"/>
  </r>
  <r>
    <s v="Regular"/>
    <x v="0"/>
    <x v="1"/>
    <x v="1"/>
    <x v="1"/>
    <x v="0"/>
    <x v="0"/>
    <x v="0"/>
    <x v="5"/>
    <n v="0"/>
    <n v="0"/>
    <n v="30.774000000000001"/>
    <n v="29.543040000000001"/>
    <n v="30.774000000000001"/>
    <n v="29.543040000000001"/>
    <n v="0"/>
    <x v="0"/>
    <n v="0"/>
    <n v="0"/>
    <n v="15"/>
    <n v="28"/>
    <n v="0"/>
    <n v="79.319999999999993"/>
    <n v="252.22"/>
    <m/>
    <n v="89.719855298032911"/>
    <n v="251.13901983982558"/>
    <n v="0"/>
    <n v="2343.3539327999997"/>
    <n v="7451.3455488"/>
    <n v="0"/>
    <n v="2650.5972738639985"/>
    <n v="7419.4101086887613"/>
  </r>
  <r>
    <s v="Regular"/>
    <x v="0"/>
    <x v="1"/>
    <x v="1"/>
    <x v="1"/>
    <x v="0"/>
    <x v="0"/>
    <x v="0"/>
    <x v="6"/>
    <n v="0"/>
    <n v="0"/>
    <n v="57.018999999999998"/>
    <n v="54.738239999999998"/>
    <n v="57.018999999999998"/>
    <n v="54.738239999999998"/>
    <n v="0"/>
    <x v="0"/>
    <n v="0"/>
    <n v="0"/>
    <n v="15"/>
    <n v="28"/>
    <n v="0"/>
    <n v="79.319999999999993"/>
    <n v="252.22"/>
    <m/>
    <n v="89.719855298032911"/>
    <n v="251.13901983982558"/>
    <n v="0"/>
    <n v="4341.8371967999992"/>
    <n v="13806.0788928"/>
    <n v="0"/>
    <n v="4911.1069720689966"/>
    <n v="13746.907941357133"/>
  </r>
  <r>
    <s v="Regular"/>
    <x v="0"/>
    <x v="1"/>
    <x v="1"/>
    <x v="1"/>
    <x v="0"/>
    <x v="0"/>
    <x v="0"/>
    <x v="7"/>
    <n v="0"/>
    <n v="0"/>
    <n v="38.441000000000003"/>
    <n v="36.903359999999999"/>
    <n v="38.441000000000003"/>
    <n v="36.903359999999999"/>
    <n v="0"/>
    <x v="0"/>
    <n v="0"/>
    <n v="0"/>
    <n v="15"/>
    <n v="28"/>
    <n v="0"/>
    <n v="79.319999999999993"/>
    <n v="252.22"/>
    <m/>
    <n v="89.719855298032911"/>
    <n v="251.13901983982558"/>
    <n v="0"/>
    <n v="2927.1745151999999"/>
    <n v="9307.7654591999999"/>
    <n v="0"/>
    <n v="3310.9641192112158"/>
    <n v="9267.8736591962261"/>
  </r>
  <r>
    <s v="Regular"/>
    <x v="0"/>
    <x v="1"/>
    <x v="1"/>
    <x v="1"/>
    <x v="0"/>
    <x v="0"/>
    <x v="0"/>
    <x v="8"/>
    <n v="0"/>
    <n v="0"/>
    <n v="47.811999999999998"/>
    <n v="45.899520000000003"/>
    <n v="47.811999999999998"/>
    <n v="45.899520000000003"/>
    <n v="0"/>
    <x v="0"/>
    <n v="0"/>
    <n v="0"/>
    <n v="15"/>
    <n v="28"/>
    <n v="0"/>
    <n v="79.319999999999993"/>
    <n v="252.22"/>
    <m/>
    <n v="89.719855298032911"/>
    <n v="251.13901983982558"/>
    <n v="0"/>
    <n v="3640.7499263999998"/>
    <n v="11576.776934400001"/>
    <n v="0"/>
    <n v="4118.0982926491679"/>
    <n v="11527.160463918472"/>
  </r>
  <r>
    <s v="Regular"/>
    <x v="0"/>
    <x v="1"/>
    <x v="1"/>
    <x v="1"/>
    <x v="0"/>
    <x v="0"/>
    <x v="0"/>
    <x v="9"/>
    <n v="0"/>
    <n v="0"/>
    <n v="410.56700000000001"/>
    <n v="394.14431999999999"/>
    <n v="410.56700000000001"/>
    <n v="394.14431999999999"/>
    <n v="0"/>
    <x v="0"/>
    <n v="0"/>
    <n v="0"/>
    <n v="15"/>
    <n v="28"/>
    <n v="0"/>
    <n v="79.319999999999993"/>
    <n v="252.22"/>
    <m/>
    <n v="89.719855298032911"/>
    <n v="251.13901983982558"/>
    <n v="0"/>
    <n v="31263.527462399998"/>
    <n v="99411.080390399991"/>
    <n v="0"/>
    <n v="35362.571356941582"/>
    <n v="98985.018200234554"/>
  </r>
  <r>
    <s v="Sistema de Compensação"/>
    <x v="0"/>
    <x v="1"/>
    <x v="1"/>
    <x v="1"/>
    <x v="0"/>
    <x v="0"/>
    <x v="0"/>
    <x v="9"/>
    <n v="0"/>
    <n v="0"/>
    <n v="23.623000000000001"/>
    <n v="22.678080000000001"/>
    <n v="23.623000000000001"/>
    <n v="22.678080000000001"/>
    <n v="0"/>
    <x v="0"/>
    <n v="0"/>
    <n v="0"/>
    <n v="15"/>
    <n v="28"/>
    <n v="0"/>
    <n v="79.319999999999993"/>
    <n v="252.22"/>
    <m/>
    <n v="89.719855298032911"/>
    <n v="251.13901983982558"/>
    <n v="0"/>
    <n v="1798.8253055999999"/>
    <n v="5719.8653376000002"/>
    <n v="0"/>
    <n v="2034.6740560372143"/>
    <n v="5695.3507830491517"/>
  </r>
  <r>
    <s v="Regular"/>
    <x v="0"/>
    <x v="1"/>
    <x v="1"/>
    <x v="1"/>
    <x v="0"/>
    <x v="0"/>
    <x v="0"/>
    <x v="10"/>
    <n v="0"/>
    <n v="0"/>
    <n v="512.14300000000003"/>
    <n v="491.65728000000001"/>
    <n v="512.14300000000003"/>
    <n v="491.65728000000001"/>
    <n v="0"/>
    <x v="0"/>
    <n v="0"/>
    <n v="0"/>
    <n v="15"/>
    <n v="28"/>
    <n v="0"/>
    <n v="79.319999999999993"/>
    <n v="252.22"/>
    <m/>
    <n v="89.719855298032911"/>
    <n v="251.13901983982558"/>
    <n v="0"/>
    <n v="38998.255449600001"/>
    <n v="124005.79916160001"/>
    <n v="0"/>
    <n v="44111.42001782445"/>
    <n v="123474.32739631468"/>
  </r>
  <r>
    <s v="Sistema de Compensação"/>
    <x v="0"/>
    <x v="1"/>
    <x v="1"/>
    <x v="1"/>
    <x v="0"/>
    <x v="0"/>
    <x v="0"/>
    <x v="10"/>
    <n v="0"/>
    <n v="0"/>
    <n v="16.667000000000002"/>
    <n v="16.000320000000002"/>
    <n v="16.667000000000002"/>
    <n v="16.000320000000002"/>
    <n v="0"/>
    <x v="0"/>
    <n v="0"/>
    <n v="0"/>
    <n v="15"/>
    <n v="28"/>
    <n v="0"/>
    <n v="79.319999999999993"/>
    <n v="252.22"/>
    <m/>
    <n v="89.719855298032911"/>
    <n v="251.13901983982558"/>
    <n v="0"/>
    <n v="1269.1453824"/>
    <n v="4035.6007104000005"/>
    <n v="0"/>
    <n v="1435.5463951222221"/>
    <n v="4018.3046819235587"/>
  </r>
  <r>
    <s v="Regular"/>
    <x v="0"/>
    <x v="1"/>
    <x v="1"/>
    <x v="1"/>
    <x v="0"/>
    <x v="0"/>
    <x v="0"/>
    <x v="11"/>
    <n v="0"/>
    <n v="0"/>
    <n v="578.43700000000001"/>
    <n v="555.29952000000003"/>
    <n v="578.43700000000001"/>
    <n v="555.29952000000003"/>
    <n v="0"/>
    <x v="0"/>
    <n v="0"/>
    <n v="0"/>
    <n v="15"/>
    <n v="28"/>
    <n v="0"/>
    <n v="79.319999999999993"/>
    <n v="252.22"/>
    <m/>
    <n v="89.719855298032911"/>
    <n v="251.13901983982558"/>
    <n v="0"/>
    <n v="44046.3579264"/>
    <n v="140057.64493440001"/>
    <n v="0"/>
    <n v="49821.392581467138"/>
    <n v="139457.37717032564"/>
  </r>
  <r>
    <s v="Sistema de Compensação"/>
    <x v="0"/>
    <x v="1"/>
    <x v="1"/>
    <x v="1"/>
    <x v="0"/>
    <x v="0"/>
    <x v="0"/>
    <x v="11"/>
    <n v="0"/>
    <n v="0"/>
    <n v="31.791"/>
    <n v="30.519359999999999"/>
    <n v="31.791"/>
    <n v="30.519359999999999"/>
    <n v="0"/>
    <x v="0"/>
    <n v="0"/>
    <n v="0"/>
    <n v="15"/>
    <n v="28"/>
    <n v="0"/>
    <n v="79.319999999999993"/>
    <n v="252.22"/>
    <m/>
    <n v="89.719855298032911"/>
    <n v="251.13901983982558"/>
    <n v="0"/>
    <n v="2420.7956351999997"/>
    <n v="7697.5929791999997"/>
    <n v="0"/>
    <n v="2738.1925629885736"/>
    <n v="7664.6021565387791"/>
  </r>
  <r>
    <s v="Regular"/>
    <x v="0"/>
    <x v="1"/>
    <x v="1"/>
    <x v="1"/>
    <x v="0"/>
    <x v="0"/>
    <x v="0"/>
    <x v="1"/>
    <n v="0"/>
    <n v="0"/>
    <n v="467.863"/>
    <n v="449.14848000000001"/>
    <n v="467.863"/>
    <n v="449.14848000000001"/>
    <n v="0"/>
    <x v="0"/>
    <n v="0"/>
    <n v="0"/>
    <n v="15"/>
    <n v="28"/>
    <n v="0"/>
    <n v="79.319999999999993"/>
    <n v="252.22"/>
    <m/>
    <n v="89.719855298032911"/>
    <n v="251.13901983982558"/>
    <n v="0"/>
    <n v="35626.457433600001"/>
    <n v="113284.2296256"/>
    <n v="0"/>
    <n v="40297.536632931427"/>
    <n v="112798.70902974751"/>
  </r>
  <r>
    <s v="Sistema de Compensação"/>
    <x v="0"/>
    <x v="1"/>
    <x v="1"/>
    <x v="1"/>
    <x v="0"/>
    <x v="0"/>
    <x v="0"/>
    <x v="1"/>
    <n v="0"/>
    <n v="0"/>
    <n v="53.62"/>
    <n v="51.475199999999994"/>
    <n v="53.62"/>
    <n v="51.475199999999994"/>
    <n v="0"/>
    <x v="0"/>
    <n v="0"/>
    <n v="0"/>
    <n v="15"/>
    <n v="28"/>
    <n v="0"/>
    <n v="79.319999999999993"/>
    <n v="252.22"/>
    <m/>
    <n v="89.719855298032911"/>
    <n v="251.13901983982558"/>
    <n v="0"/>
    <n v="4083.0128639999994"/>
    <n v="12983.074943999998"/>
    <n v="0"/>
    <n v="4618.3474954373032"/>
    <n v="12927.431274058988"/>
  </r>
  <r>
    <s v="Regular"/>
    <x v="0"/>
    <x v="1"/>
    <x v="1"/>
    <x v="1"/>
    <x v="0"/>
    <x v="0"/>
    <x v="0"/>
    <x v="2"/>
    <n v="0"/>
    <n v="0"/>
    <n v="212.17500000000001"/>
    <n v="203.68799999999999"/>
    <n v="212.17500000000001"/>
    <n v="203.68799999999999"/>
    <n v="0"/>
    <x v="0"/>
    <n v="0"/>
    <n v="0"/>
    <n v="15"/>
    <n v="28"/>
    <n v="0"/>
    <n v="79.319999999999993"/>
    <n v="252.22"/>
    <m/>
    <n v="89.719855298032911"/>
    <n v="251.13901983982558"/>
    <n v="0"/>
    <n v="16156.532159999997"/>
    <n v="51374.187359999996"/>
    <n v="0"/>
    <n v="18274.857885945727"/>
    <n v="51154.00467313439"/>
  </r>
  <r>
    <s v="Sistema de Compensação"/>
    <x v="0"/>
    <x v="1"/>
    <x v="1"/>
    <x v="1"/>
    <x v="0"/>
    <x v="0"/>
    <x v="0"/>
    <x v="2"/>
    <n v="0"/>
    <n v="0"/>
    <n v="3.9430000000000001"/>
    <n v="3.7852799999999998"/>
    <n v="3.9430000000000001"/>
    <n v="3.7852799999999998"/>
    <n v="0"/>
    <x v="0"/>
    <n v="0"/>
    <n v="0"/>
    <n v="15"/>
    <n v="28"/>
    <n v="0"/>
    <n v="79.319999999999993"/>
    <n v="252.22"/>
    <m/>
    <n v="89.719855298032911"/>
    <n v="251.13901983982558"/>
    <n v="0"/>
    <n v="300.24840959999995"/>
    <n v="954.72332159999996"/>
    <n v="0"/>
    <n v="339.61477386253802"/>
    <n v="950.63150901929487"/>
  </r>
  <r>
    <s v="Regular"/>
    <x v="0"/>
    <x v="1"/>
    <x v="1"/>
    <x v="1"/>
    <x v="0"/>
    <x v="0"/>
    <x v="0"/>
    <x v="3"/>
    <n v="0"/>
    <n v="0"/>
    <n v="53.862000000000002"/>
    <n v="51.707520000000002"/>
    <n v="53.862000000000002"/>
    <n v="51.707520000000002"/>
    <n v="0"/>
    <x v="0"/>
    <n v="0"/>
    <n v="0"/>
    <n v="15"/>
    <n v="28"/>
    <n v="0"/>
    <n v="79.319999999999993"/>
    <n v="252.22"/>
    <m/>
    <n v="89.719855298032911"/>
    <n v="251.13901983982558"/>
    <n v="0"/>
    <n v="4101.4404863999998"/>
    <n v="13041.6706944"/>
    <n v="0"/>
    <n v="4639.1912122201429"/>
    <n v="12985.775891148178"/>
  </r>
  <r>
    <s v="Regular"/>
    <x v="0"/>
    <x v="1"/>
    <x v="1"/>
    <x v="1"/>
    <x v="0"/>
    <x v="0"/>
    <x v="0"/>
    <x v="4"/>
    <n v="0"/>
    <n v="0"/>
    <n v="29.379000000000001"/>
    <n v="28.20384"/>
    <n v="29.379000000000001"/>
    <n v="28.20384"/>
    <n v="0"/>
    <x v="0"/>
    <n v="0"/>
    <n v="0"/>
    <n v="15"/>
    <n v="28"/>
    <n v="0"/>
    <n v="79.319999999999993"/>
    <n v="252.22"/>
    <m/>
    <n v="89.719855298032911"/>
    <n v="251.13901983982558"/>
    <n v="0"/>
    <n v="2237.1285887999998"/>
    <n v="7113.5725247999999"/>
    <n v="0"/>
    <n v="2530.4444436488725"/>
    <n v="7083.084733319266"/>
  </r>
  <r>
    <s v="Regular"/>
    <x v="0"/>
    <x v="1"/>
    <x v="1"/>
    <x v="1"/>
    <x v="0"/>
    <x v="0"/>
    <x v="0"/>
    <x v="0"/>
    <n v="0"/>
    <n v="0"/>
    <n v="18.062999999999999"/>
    <n v="17.340479999999999"/>
    <n v="18.062999999999999"/>
    <n v="17.340479999999999"/>
    <n v="0"/>
    <x v="0"/>
    <n v="0"/>
    <n v="0"/>
    <n v="15"/>
    <n v="28"/>
    <n v="0"/>
    <n v="79.319999999999993"/>
    <n v="252.22"/>
    <m/>
    <n v="89.719855298032911"/>
    <n v="251.13901983982558"/>
    <n v="0"/>
    <n v="1375.4468735999999"/>
    <n v="4373.6158655999998"/>
    <n v="0"/>
    <n v="1555.7853563984336"/>
    <n v="4354.8711507520984"/>
  </r>
  <r>
    <s v="Regular"/>
    <x v="0"/>
    <x v="1"/>
    <x v="1"/>
    <x v="1"/>
    <x v="0"/>
    <x v="0"/>
    <x v="2"/>
    <x v="5"/>
    <n v="1250"/>
    <n v="1200"/>
    <n v="0"/>
    <n v="0"/>
    <n v="0"/>
    <n v="0"/>
    <n v="24"/>
    <x v="0"/>
    <n v="0"/>
    <n v="11"/>
    <n v="0"/>
    <n v="0"/>
    <n v="45.42"/>
    <n v="0"/>
    <n v="0"/>
    <n v="45.87320696171841"/>
    <m/>
    <m/>
    <n v="54504"/>
    <n v="0"/>
    <n v="0"/>
    <n v="55047.848354062095"/>
    <n v="0"/>
    <n v="0"/>
  </r>
  <r>
    <s v="Regular"/>
    <x v="0"/>
    <x v="1"/>
    <x v="1"/>
    <x v="1"/>
    <x v="0"/>
    <x v="0"/>
    <x v="2"/>
    <x v="6"/>
    <n v="1487"/>
    <n v="1427.52"/>
    <n v="0"/>
    <n v="0"/>
    <n v="0"/>
    <n v="0"/>
    <n v="24"/>
    <x v="0"/>
    <n v="0"/>
    <n v="11"/>
    <n v="0"/>
    <n v="0"/>
    <n v="45.42"/>
    <n v="0"/>
    <n v="0"/>
    <n v="45.87320696171841"/>
    <m/>
    <m/>
    <n v="64837.958400000003"/>
    <n v="0"/>
    <n v="0"/>
    <n v="65484.920401992262"/>
    <n v="0"/>
    <n v="0"/>
  </r>
  <r>
    <s v="Regular"/>
    <x v="0"/>
    <x v="1"/>
    <x v="1"/>
    <x v="1"/>
    <x v="0"/>
    <x v="0"/>
    <x v="2"/>
    <x v="7"/>
    <n v="1999"/>
    <n v="1919.04"/>
    <n v="0"/>
    <n v="0"/>
    <n v="0"/>
    <n v="0"/>
    <n v="24"/>
    <x v="0"/>
    <n v="0"/>
    <n v="11"/>
    <n v="0"/>
    <n v="0"/>
    <n v="45.42"/>
    <n v="0"/>
    <n v="0"/>
    <n v="45.87320696171841"/>
    <m/>
    <m/>
    <n v="87162.796799999996"/>
    <n v="0"/>
    <n v="0"/>
    <n v="88032.519087816094"/>
    <n v="0"/>
    <n v="0"/>
  </r>
  <r>
    <s v="Regular"/>
    <x v="0"/>
    <x v="1"/>
    <x v="1"/>
    <x v="1"/>
    <x v="0"/>
    <x v="0"/>
    <x v="2"/>
    <x v="8"/>
    <n v="1982"/>
    <n v="1902.72"/>
    <n v="0"/>
    <n v="0"/>
    <n v="0"/>
    <n v="0"/>
    <n v="25"/>
    <x v="0"/>
    <n v="0"/>
    <n v="11"/>
    <n v="0"/>
    <n v="0"/>
    <n v="45.42"/>
    <n v="0"/>
    <n v="0"/>
    <n v="45.87320696171841"/>
    <m/>
    <m/>
    <n v="86421.542400000006"/>
    <n v="0"/>
    <n v="0"/>
    <n v="87283.86835020085"/>
    <n v="0"/>
    <n v="0"/>
  </r>
  <r>
    <s v="Regular"/>
    <x v="0"/>
    <x v="1"/>
    <x v="1"/>
    <x v="1"/>
    <x v="0"/>
    <x v="0"/>
    <x v="2"/>
    <x v="9"/>
    <n v="3630"/>
    <n v="3484.8"/>
    <n v="0"/>
    <n v="0"/>
    <n v="0"/>
    <n v="0"/>
    <n v="24"/>
    <x v="0"/>
    <n v="0"/>
    <n v="11"/>
    <n v="0"/>
    <n v="0"/>
    <n v="45.42"/>
    <n v="0"/>
    <n v="0"/>
    <n v="45.87320696171841"/>
    <m/>
    <m/>
    <n v="158279.61600000001"/>
    <n v="0"/>
    <n v="0"/>
    <n v="159858.95162019631"/>
    <n v="0"/>
    <n v="0"/>
  </r>
  <r>
    <s v="Sistema de Compensação"/>
    <x v="0"/>
    <x v="1"/>
    <x v="1"/>
    <x v="1"/>
    <x v="0"/>
    <x v="0"/>
    <x v="2"/>
    <x v="9"/>
    <n v="257"/>
    <n v="246.72"/>
    <n v="0"/>
    <n v="0"/>
    <n v="0"/>
    <n v="0"/>
    <n v="1"/>
    <x v="0"/>
    <n v="0"/>
    <n v="11"/>
    <n v="0"/>
    <n v="0"/>
    <n v="45.42"/>
    <n v="0"/>
    <n v="0"/>
    <n v="45.87320696171841"/>
    <m/>
    <m/>
    <n v="11206.0224"/>
    <n v="0"/>
    <n v="0"/>
    <n v="11317.837621595167"/>
    <n v="0"/>
    <n v="0"/>
  </r>
  <r>
    <s v="Regular"/>
    <x v="0"/>
    <x v="1"/>
    <x v="1"/>
    <x v="1"/>
    <x v="0"/>
    <x v="0"/>
    <x v="2"/>
    <x v="10"/>
    <n v="4370"/>
    <n v="4195.2"/>
    <n v="0"/>
    <n v="0"/>
    <n v="0"/>
    <n v="0"/>
    <n v="23"/>
    <x v="0"/>
    <n v="0"/>
    <n v="11"/>
    <n v="0"/>
    <n v="0"/>
    <n v="45.42"/>
    <n v="0"/>
    <n v="0"/>
    <n v="45.87320696171841"/>
    <m/>
    <m/>
    <n v="190545.984"/>
    <n v="0"/>
    <n v="0"/>
    <n v="192447.27784580106"/>
    <n v="0"/>
    <n v="0"/>
  </r>
  <r>
    <s v="Sistema de Compensação"/>
    <x v="0"/>
    <x v="1"/>
    <x v="1"/>
    <x v="1"/>
    <x v="0"/>
    <x v="0"/>
    <x v="2"/>
    <x v="10"/>
    <n v="130"/>
    <n v="124.8"/>
    <n v="0"/>
    <n v="0"/>
    <n v="0"/>
    <n v="0"/>
    <n v="1"/>
    <x v="0"/>
    <n v="0"/>
    <n v="11"/>
    <n v="0"/>
    <n v="0"/>
    <n v="45.42"/>
    <n v="0"/>
    <n v="0"/>
    <n v="45.87320696171841"/>
    <m/>
    <m/>
    <n v="5668.4160000000002"/>
    <n v="0"/>
    <n v="0"/>
    <n v="5724.9762288224574"/>
    <n v="0"/>
    <n v="0"/>
  </r>
  <r>
    <s v="Regular"/>
    <x v="0"/>
    <x v="1"/>
    <x v="1"/>
    <x v="1"/>
    <x v="0"/>
    <x v="0"/>
    <x v="2"/>
    <x v="11"/>
    <n v="4701"/>
    <n v="4512.96"/>
    <n v="0"/>
    <n v="0"/>
    <n v="0"/>
    <n v="0"/>
    <n v="24"/>
    <x v="0"/>
    <n v="0"/>
    <n v="11"/>
    <n v="0"/>
    <n v="0"/>
    <n v="45.42"/>
    <n v="0"/>
    <n v="0"/>
    <n v="45.87320696171841"/>
    <m/>
    <m/>
    <n v="204978.64320000002"/>
    <n v="0"/>
    <n v="0"/>
    <n v="207023.94808995671"/>
    <n v="0"/>
    <n v="0"/>
  </r>
  <r>
    <s v="Sistema de Compensação"/>
    <x v="0"/>
    <x v="1"/>
    <x v="1"/>
    <x v="1"/>
    <x v="0"/>
    <x v="0"/>
    <x v="2"/>
    <x v="11"/>
    <n v="130"/>
    <n v="124.8"/>
    <n v="0"/>
    <n v="0"/>
    <n v="0"/>
    <n v="0"/>
    <n v="1"/>
    <x v="0"/>
    <n v="0"/>
    <n v="11"/>
    <n v="0"/>
    <n v="0"/>
    <n v="45.42"/>
    <n v="0"/>
    <n v="0"/>
    <n v="45.87320696171841"/>
    <m/>
    <m/>
    <n v="5668.4160000000002"/>
    <n v="0"/>
    <n v="0"/>
    <n v="5724.9762288224574"/>
    <n v="0"/>
    <n v="0"/>
  </r>
  <r>
    <s v="Regular"/>
    <x v="0"/>
    <x v="1"/>
    <x v="1"/>
    <x v="1"/>
    <x v="0"/>
    <x v="0"/>
    <x v="2"/>
    <x v="1"/>
    <n v="5370"/>
    <n v="5155.2"/>
    <n v="0"/>
    <n v="0"/>
    <n v="0"/>
    <n v="0"/>
    <n v="25"/>
    <x v="0"/>
    <n v="0"/>
    <n v="11"/>
    <n v="0"/>
    <n v="0"/>
    <n v="45.42"/>
    <n v="0"/>
    <n v="0"/>
    <n v="45.87320696171841"/>
    <m/>
    <m/>
    <n v="234149.18400000001"/>
    <n v="0"/>
    <n v="0"/>
    <n v="236485.55652905072"/>
    <n v="0"/>
    <n v="0"/>
  </r>
  <r>
    <s v="Sistema de Compensação"/>
    <x v="0"/>
    <x v="1"/>
    <x v="1"/>
    <x v="1"/>
    <x v="0"/>
    <x v="0"/>
    <x v="2"/>
    <x v="1"/>
    <n v="202"/>
    <n v="193.92"/>
    <n v="0"/>
    <n v="0"/>
    <n v="0"/>
    <n v="0"/>
    <n v="2"/>
    <x v="0"/>
    <n v="0"/>
    <n v="11"/>
    <n v="0"/>
    <n v="0"/>
    <n v="45.42"/>
    <n v="0"/>
    <n v="0"/>
    <n v="45.87320696171841"/>
    <m/>
    <m/>
    <n v="8807.8464000000004"/>
    <n v="0"/>
    <n v="0"/>
    <n v="8895.732294016434"/>
    <n v="0"/>
    <n v="0"/>
  </r>
  <r>
    <s v="Regular"/>
    <x v="0"/>
    <x v="1"/>
    <x v="1"/>
    <x v="1"/>
    <x v="0"/>
    <x v="0"/>
    <x v="2"/>
    <x v="2"/>
    <n v="3986"/>
    <n v="3826.56"/>
    <n v="0"/>
    <n v="0"/>
    <n v="0"/>
    <n v="0"/>
    <n v="23"/>
    <x v="0"/>
    <n v="0"/>
    <n v="11"/>
    <n v="0"/>
    <n v="0"/>
    <n v="45.42"/>
    <n v="0"/>
    <n v="0"/>
    <n v="45.87320696171841"/>
    <m/>
    <m/>
    <n v="173802.35519999999"/>
    <n v="0"/>
    <n v="0"/>
    <n v="175536.5788314332"/>
    <n v="0"/>
    <n v="0"/>
  </r>
  <r>
    <s v="Refaturamento - Regular"/>
    <x v="0"/>
    <x v="1"/>
    <x v="1"/>
    <x v="1"/>
    <x v="0"/>
    <x v="0"/>
    <x v="2"/>
    <x v="2"/>
    <n v="-348"/>
    <n v="-334.08"/>
    <n v="0"/>
    <n v="0"/>
    <n v="0"/>
    <n v="0"/>
    <n v="0"/>
    <x v="0"/>
    <n v="0"/>
    <n v="11"/>
    <n v="0"/>
    <n v="0"/>
    <n v="45.42"/>
    <n v="0"/>
    <n v="0"/>
    <n v="45.87320696171841"/>
    <m/>
    <m/>
    <n v="-15173.9136"/>
    <n v="0"/>
    <n v="0"/>
    <n v="-15325.320981770885"/>
    <n v="0"/>
    <n v="0"/>
  </r>
  <r>
    <s v="Sistema de Compensação"/>
    <x v="0"/>
    <x v="1"/>
    <x v="1"/>
    <x v="1"/>
    <x v="0"/>
    <x v="0"/>
    <x v="2"/>
    <x v="2"/>
    <n v="148"/>
    <n v="142.07999999999998"/>
    <n v="0"/>
    <n v="0"/>
    <n v="0"/>
    <n v="0"/>
    <n v="3"/>
    <x v="0"/>
    <n v="0"/>
    <n v="11"/>
    <n v="0"/>
    <n v="0"/>
    <n v="45.42"/>
    <n v="0"/>
    <n v="0"/>
    <n v="45.87320696171841"/>
    <m/>
    <m/>
    <n v="6453.2735999999995"/>
    <n v="0"/>
    <n v="0"/>
    <n v="6517.6652451209511"/>
    <n v="0"/>
    <n v="0"/>
  </r>
  <r>
    <s v="Regular"/>
    <x v="0"/>
    <x v="1"/>
    <x v="1"/>
    <x v="1"/>
    <x v="0"/>
    <x v="0"/>
    <x v="2"/>
    <x v="3"/>
    <n v="5013"/>
    <n v="4812.4799999999996"/>
    <n v="0"/>
    <n v="0"/>
    <n v="0"/>
    <n v="0"/>
    <n v="25"/>
    <x v="0"/>
    <n v="0"/>
    <n v="11"/>
    <n v="0"/>
    <n v="0"/>
    <n v="45.42"/>
    <n v="0"/>
    <n v="0"/>
    <n v="45.87320696171841"/>
    <m/>
    <m/>
    <n v="218582.84159999999"/>
    <n v="0"/>
    <n v="0"/>
    <n v="220763.8910391306"/>
    <n v="0"/>
    <n v="0"/>
  </r>
  <r>
    <s v="Sistema de Compensação"/>
    <x v="0"/>
    <x v="1"/>
    <x v="1"/>
    <x v="1"/>
    <x v="0"/>
    <x v="0"/>
    <x v="2"/>
    <x v="3"/>
    <n v="18"/>
    <n v="17.28"/>
    <n v="0"/>
    <n v="0"/>
    <n v="0"/>
    <n v="0"/>
    <n v="2"/>
    <x v="0"/>
    <n v="0"/>
    <n v="11"/>
    <n v="0"/>
    <n v="0"/>
    <n v="45.42"/>
    <n v="0"/>
    <n v="0"/>
    <n v="45.87320696171841"/>
    <m/>
    <m/>
    <n v="784.85760000000005"/>
    <n v="0"/>
    <n v="0"/>
    <n v="792.68901629849415"/>
    <n v="0"/>
    <n v="0"/>
  </r>
  <r>
    <s v="Regular"/>
    <x v="0"/>
    <x v="1"/>
    <x v="1"/>
    <x v="1"/>
    <x v="0"/>
    <x v="0"/>
    <x v="2"/>
    <x v="4"/>
    <n v="637"/>
    <n v="611.52"/>
    <n v="0"/>
    <n v="0"/>
    <n v="0"/>
    <n v="0"/>
    <n v="24"/>
    <x v="0"/>
    <n v="0"/>
    <n v="11"/>
    <n v="0"/>
    <n v="0"/>
    <n v="45.42"/>
    <n v="0"/>
    <n v="0"/>
    <n v="45.87320696171841"/>
    <m/>
    <m/>
    <n v="27775.238400000002"/>
    <n v="0"/>
    <n v="0"/>
    <n v="28052.38352123004"/>
    <n v="0"/>
    <n v="0"/>
  </r>
  <r>
    <s v="Refaturamento - Regular"/>
    <x v="0"/>
    <x v="1"/>
    <x v="1"/>
    <x v="1"/>
    <x v="0"/>
    <x v="0"/>
    <x v="2"/>
    <x v="4"/>
    <n v="-3781"/>
    <n v="-3629.76"/>
    <n v="0"/>
    <n v="0"/>
    <n v="0"/>
    <n v="0"/>
    <n v="0"/>
    <x v="0"/>
    <n v="0"/>
    <n v="11"/>
    <n v="0"/>
    <n v="0"/>
    <n v="45.42"/>
    <n v="0"/>
    <n v="0"/>
    <n v="45.87320696171841"/>
    <m/>
    <m/>
    <n v="-164863.6992"/>
    <n v="0"/>
    <n v="0"/>
    <n v="-166508.73170136701"/>
    <n v="0"/>
    <n v="0"/>
  </r>
  <r>
    <s v="Sistema de Compensação"/>
    <x v="0"/>
    <x v="1"/>
    <x v="1"/>
    <x v="1"/>
    <x v="0"/>
    <x v="0"/>
    <x v="2"/>
    <x v="4"/>
    <n v="44"/>
    <n v="42.239999999999995"/>
    <n v="0"/>
    <n v="0"/>
    <n v="0"/>
    <n v="0"/>
    <n v="3"/>
    <x v="0"/>
    <n v="0"/>
    <n v="11"/>
    <n v="0"/>
    <n v="0"/>
    <n v="45.42"/>
    <n v="0"/>
    <n v="0"/>
    <n v="45.87320696171841"/>
    <m/>
    <m/>
    <n v="1918.5407999999998"/>
    <n v="0"/>
    <n v="0"/>
    <n v="1937.6842620629855"/>
    <n v="0"/>
    <n v="0"/>
  </r>
  <r>
    <s v="Regular"/>
    <x v="0"/>
    <x v="1"/>
    <x v="1"/>
    <x v="1"/>
    <x v="0"/>
    <x v="0"/>
    <x v="2"/>
    <x v="0"/>
    <n v="803"/>
    <n v="770.88"/>
    <n v="0"/>
    <n v="0"/>
    <n v="0"/>
    <n v="0"/>
    <n v="24"/>
    <x v="0"/>
    <n v="0"/>
    <n v="11"/>
    <n v="0"/>
    <n v="0"/>
    <n v="45.42"/>
    <n v="0"/>
    <n v="0"/>
    <n v="45.87320696171841"/>
    <m/>
    <m/>
    <n v="35013.369599999998"/>
    <n v="0"/>
    <n v="0"/>
    <n v="35362.737782649485"/>
    <n v="0"/>
    <n v="0"/>
  </r>
  <r>
    <s v="Sistema de Compensação"/>
    <x v="0"/>
    <x v="1"/>
    <x v="1"/>
    <x v="1"/>
    <x v="0"/>
    <x v="0"/>
    <x v="2"/>
    <x v="0"/>
    <n v="18"/>
    <n v="17.28"/>
    <n v="0"/>
    <n v="0"/>
    <n v="0"/>
    <n v="0"/>
    <n v="2"/>
    <x v="0"/>
    <n v="0"/>
    <n v="11"/>
    <n v="0"/>
    <n v="0"/>
    <n v="45.42"/>
    <n v="0"/>
    <n v="0"/>
    <n v="45.87320696171841"/>
    <m/>
    <m/>
    <n v="784.85760000000005"/>
    <n v="0"/>
    <n v="0"/>
    <n v="792.68901629849415"/>
    <n v="0"/>
    <n v="0"/>
  </r>
  <r>
    <s v="Regular"/>
    <x v="0"/>
    <x v="1"/>
    <x v="1"/>
    <x v="1"/>
    <x v="0"/>
    <x v="0"/>
    <x v="1"/>
    <x v="5"/>
    <n v="0"/>
    <n v="0"/>
    <n v="4.1559999999999997"/>
    <n v="3.9897599999999995"/>
    <n v="4.1559999999999997"/>
    <n v="3.9897599999999995"/>
    <n v="0"/>
    <x v="0"/>
    <n v="0"/>
    <n v="0"/>
    <n v="7"/>
    <n v="41"/>
    <n v="0"/>
    <n v="1465.12"/>
    <n v="252.22"/>
    <m/>
    <n v="1505.0863668607667"/>
    <n v="251.13901983982558"/>
    <n v="0"/>
    <n v="5845.4771711999992"/>
    <n v="1006.2972671999999"/>
    <n v="0"/>
    <n v="6004.933383046412"/>
    <n v="1001.9844157961423"/>
  </r>
  <r>
    <s v="Regular"/>
    <x v="0"/>
    <x v="1"/>
    <x v="1"/>
    <x v="1"/>
    <x v="0"/>
    <x v="0"/>
    <x v="1"/>
    <x v="6"/>
    <n v="0"/>
    <n v="0"/>
    <n v="7.4409999999999998"/>
    <n v="7.1433599999999995"/>
    <n v="7.4409999999999998"/>
    <n v="7.1433599999999995"/>
    <n v="0"/>
    <x v="0"/>
    <n v="0"/>
    <n v="0"/>
    <n v="7"/>
    <n v="41"/>
    <n v="0"/>
    <n v="1465.12"/>
    <n v="252.22"/>
    <m/>
    <n v="1505.0863668607667"/>
    <n v="251.13901983982558"/>
    <n v="0"/>
    <n v="10465.879603199999"/>
    <n v="1801.6982591999999"/>
    <n v="0"/>
    <n v="10751.373749578526"/>
    <n v="1793.9764287630164"/>
  </r>
  <r>
    <s v="Regular"/>
    <x v="0"/>
    <x v="1"/>
    <x v="1"/>
    <x v="1"/>
    <x v="0"/>
    <x v="0"/>
    <x v="1"/>
    <x v="7"/>
    <n v="0"/>
    <n v="0"/>
    <n v="5.2210000000000001"/>
    <n v="5.0121599999999997"/>
    <n v="5.2210000000000001"/>
    <n v="5.0121599999999997"/>
    <n v="0"/>
    <x v="0"/>
    <n v="0"/>
    <n v="0"/>
    <n v="7"/>
    <n v="41"/>
    <n v="0"/>
    <n v="1465.12"/>
    <n v="252.22"/>
    <m/>
    <n v="1505.0863668607667"/>
    <n v="251.13901983982558"/>
    <n v="0"/>
    <n v="7343.4158591999994"/>
    <n v="1264.1669952"/>
    <n v="0"/>
    <n v="7543.7336845248601"/>
    <n v="1258.7489496803801"/>
  </r>
  <r>
    <s v="Regular"/>
    <x v="0"/>
    <x v="1"/>
    <x v="1"/>
    <x v="1"/>
    <x v="0"/>
    <x v="0"/>
    <x v="1"/>
    <x v="8"/>
    <n v="0"/>
    <n v="0"/>
    <n v="5.0190000000000001"/>
    <n v="4.8182400000000003"/>
    <n v="5.0190000000000001"/>
    <n v="4.8182400000000003"/>
    <n v="0"/>
    <x v="0"/>
    <n v="0"/>
    <n v="0"/>
    <n v="7"/>
    <n v="41"/>
    <n v="0"/>
    <n v="1465.12"/>
    <n v="252.22"/>
    <m/>
    <n v="1505.0863668607667"/>
    <n v="251.13901983982558"/>
    <n v="0"/>
    <n v="7059.2997888"/>
    <n v="1215.2564928000002"/>
    <n v="0"/>
    <n v="7251.8673362632207"/>
    <n v="1210.0480709530414"/>
  </r>
  <r>
    <s v="Regular"/>
    <x v="0"/>
    <x v="1"/>
    <x v="1"/>
    <x v="1"/>
    <x v="0"/>
    <x v="0"/>
    <x v="1"/>
    <x v="9"/>
    <n v="0"/>
    <n v="0"/>
    <n v="34.173000000000002"/>
    <n v="32.806080000000001"/>
    <n v="34.173000000000002"/>
    <n v="32.806080000000001"/>
    <n v="0"/>
    <x v="0"/>
    <n v="0"/>
    <n v="0"/>
    <n v="7"/>
    <n v="41"/>
    <n v="0"/>
    <n v="1465.12"/>
    <n v="252.22"/>
    <m/>
    <n v="1505.0863668607667"/>
    <n v="251.13901983982558"/>
    <n v="0"/>
    <n v="48064.8439296"/>
    <n v="8274.3494976000002"/>
    <n v="0"/>
    <n v="49375.983758143666"/>
    <n v="8238.8867759869063"/>
  </r>
  <r>
    <s v="Regular"/>
    <x v="0"/>
    <x v="1"/>
    <x v="1"/>
    <x v="1"/>
    <x v="0"/>
    <x v="0"/>
    <x v="1"/>
    <x v="10"/>
    <n v="0"/>
    <n v="0"/>
    <n v="58.46"/>
    <n v="56.121600000000001"/>
    <n v="58.46"/>
    <n v="56.121600000000001"/>
    <n v="0"/>
    <x v="0"/>
    <n v="0"/>
    <n v="0"/>
    <n v="7"/>
    <n v="41"/>
    <n v="0"/>
    <n v="1465.12"/>
    <n v="252.22"/>
    <m/>
    <n v="1505.0863668607667"/>
    <n v="251.13901983982558"/>
    <n v="0"/>
    <n v="82224.878591999994"/>
    <n v="14154.989952"/>
    <n v="0"/>
    <n v="84467.855046413199"/>
    <n v="14094.323615842755"/>
  </r>
  <r>
    <s v="Regular"/>
    <x v="0"/>
    <x v="1"/>
    <x v="1"/>
    <x v="1"/>
    <x v="0"/>
    <x v="0"/>
    <x v="1"/>
    <x v="11"/>
    <n v="0"/>
    <n v="0"/>
    <n v="78.616"/>
    <n v="75.471360000000004"/>
    <n v="78.616"/>
    <n v="75.471360000000004"/>
    <n v="0"/>
    <x v="0"/>
    <n v="0"/>
    <n v="0"/>
    <n v="7"/>
    <n v="41"/>
    <n v="0"/>
    <n v="1465.12"/>
    <n v="252.22"/>
    <m/>
    <n v="1505.0863668607667"/>
    <n v="251.13901983982558"/>
    <n v="0"/>
    <n v="110574.5989632"/>
    <n v="19035.3864192"/>
    <n v="0"/>
    <n v="113590.915024441"/>
    <n v="18953.803376378619"/>
  </r>
  <r>
    <s v="Regular"/>
    <x v="0"/>
    <x v="1"/>
    <x v="1"/>
    <x v="1"/>
    <x v="0"/>
    <x v="0"/>
    <x v="1"/>
    <x v="1"/>
    <n v="0"/>
    <n v="0"/>
    <n v="51.834000000000003"/>
    <n v="49.760640000000002"/>
    <n v="51.834000000000003"/>
    <n v="49.760640000000002"/>
    <n v="0"/>
    <x v="0"/>
    <n v="0"/>
    <n v="0"/>
    <n v="7"/>
    <n v="41"/>
    <n v="0"/>
    <n v="1465.12"/>
    <n v="252.22"/>
    <m/>
    <n v="1505.0863668607667"/>
    <n v="251.13901983982558"/>
    <n v="0"/>
    <n v="72905.308876800002"/>
    <n v="12550.6286208"/>
    <n v="0"/>
    <n v="74894.060870266549"/>
    <n v="12496.838356202419"/>
  </r>
  <r>
    <s v="Sistema de Compensação"/>
    <x v="0"/>
    <x v="1"/>
    <x v="1"/>
    <x v="1"/>
    <x v="0"/>
    <x v="0"/>
    <x v="1"/>
    <x v="1"/>
    <n v="0"/>
    <n v="0"/>
    <n v="5.7590000000000003"/>
    <n v="5.5286400000000002"/>
    <n v="5.7590000000000003"/>
    <n v="5.5286400000000002"/>
    <n v="0"/>
    <x v="0"/>
    <n v="0"/>
    <n v="0"/>
    <n v="7"/>
    <n v="41"/>
    <n v="0"/>
    <n v="1465.12"/>
    <n v="252.22"/>
    <m/>
    <n v="1505.0863668607667"/>
    <n v="251.13901983982558"/>
    <n v="0"/>
    <n v="8100.1210367999993"/>
    <n v="1394.4335808000001"/>
    <n v="0"/>
    <n v="8321.0806912811095"/>
    <n v="1388.4572306472533"/>
  </r>
  <r>
    <s v="Regular"/>
    <x v="0"/>
    <x v="1"/>
    <x v="1"/>
    <x v="1"/>
    <x v="0"/>
    <x v="0"/>
    <x v="1"/>
    <x v="2"/>
    <n v="0"/>
    <n v="0"/>
    <n v="22.794"/>
    <n v="21.882239999999999"/>
    <n v="22.794"/>
    <n v="21.882239999999999"/>
    <n v="0"/>
    <x v="0"/>
    <n v="0"/>
    <n v="0"/>
    <n v="7"/>
    <n v="41"/>
    <n v="0"/>
    <n v="1465.12"/>
    <n v="252.22"/>
    <m/>
    <n v="1505.0863668607667"/>
    <n v="251.13901983982558"/>
    <n v="0"/>
    <n v="32060.107468799997"/>
    <n v="5519.1385727999996"/>
    <n v="0"/>
    <n v="32934.661100375342"/>
    <n v="5495.4843054998246"/>
  </r>
  <r>
    <s v="Regular"/>
    <x v="0"/>
    <x v="1"/>
    <x v="1"/>
    <x v="1"/>
    <x v="0"/>
    <x v="0"/>
    <x v="1"/>
    <x v="3"/>
    <n v="0"/>
    <n v="0"/>
    <n v="5.7729999999999997"/>
    <n v="5.5420800000000003"/>
    <n v="5.7729999999999997"/>
    <n v="5.5420800000000003"/>
    <n v="0"/>
    <x v="0"/>
    <n v="0"/>
    <n v="0"/>
    <n v="7"/>
    <n v="41"/>
    <n v="0"/>
    <n v="1465.12"/>
    <n v="252.22"/>
    <m/>
    <n v="1505.0863668607667"/>
    <n v="251.13901983982558"/>
    <n v="0"/>
    <n v="8119.8122495999996"/>
    <n v="1397.8234176000001"/>
    <n v="0"/>
    <n v="8341.309052051718"/>
    <n v="1391.8325390739005"/>
  </r>
  <r>
    <s v="Regular"/>
    <x v="0"/>
    <x v="1"/>
    <x v="1"/>
    <x v="1"/>
    <x v="0"/>
    <x v="0"/>
    <x v="1"/>
    <x v="4"/>
    <n v="0"/>
    <n v="0"/>
    <n v="5.4539999999999997"/>
    <n v="5.2358399999999996"/>
    <n v="5.4539999999999997"/>
    <n v="5.2358399999999996"/>
    <n v="0"/>
    <x v="0"/>
    <n v="0"/>
    <n v="0"/>
    <n v="7"/>
    <n v="41"/>
    <n v="0"/>
    <n v="1465.12"/>
    <n v="252.22"/>
    <m/>
    <n v="1505.0863668607667"/>
    <n v="251.13901983982558"/>
    <n v="0"/>
    <n v="7671.1339007999986"/>
    <n v="1320.5835648"/>
    <n v="0"/>
    <n v="7880.3914030642763"/>
    <n v="1314.9237256381523"/>
  </r>
  <r>
    <s v="Regular"/>
    <x v="0"/>
    <x v="1"/>
    <x v="1"/>
    <x v="1"/>
    <x v="0"/>
    <x v="0"/>
    <x v="1"/>
    <x v="0"/>
    <n v="0"/>
    <n v="0"/>
    <n v="3.14"/>
    <n v="3.0144000000000002"/>
    <n v="3.14"/>
    <n v="3.0144000000000002"/>
    <n v="0"/>
    <x v="0"/>
    <n v="0"/>
    <n v="0"/>
    <n v="7"/>
    <n v="41"/>
    <n v="0"/>
    <n v="1465.12"/>
    <n v="252.22"/>
    <m/>
    <n v="1505.0863668607667"/>
    <n v="251.13901983982558"/>
    <n v="0"/>
    <n v="4416.4577280000003"/>
    <n v="760.291968"/>
    <n v="0"/>
    <n v="4536.9323442650957"/>
    <n v="757.03346140517033"/>
  </r>
  <r>
    <s v="Regular"/>
    <x v="0"/>
    <x v="1"/>
    <x v="1"/>
    <x v="0"/>
    <x v="0"/>
    <x v="0"/>
    <x v="0"/>
    <x v="5"/>
    <n v="0"/>
    <n v="0"/>
    <n v="26.263000000000002"/>
    <n v="25.212479999999999"/>
    <n v="26.263000000000002"/>
    <n v="25.212479999999999"/>
    <n v="0"/>
    <x v="0"/>
    <n v="0"/>
    <n v="0"/>
    <n v="15"/>
    <n v="28"/>
    <n v="0"/>
    <n v="79.319999999999993"/>
    <n v="252.22"/>
    <m/>
    <n v="89.719855298032911"/>
    <n v="251.13901983982558"/>
    <n v="0"/>
    <n v="1999.8539135999997"/>
    <n v="6359.0917055999998"/>
    <n v="0"/>
    <n v="2262.0600573045485"/>
    <n v="6331.8375149312051"/>
  </r>
  <r>
    <s v="Sistema de Compensação"/>
    <x v="0"/>
    <x v="1"/>
    <x v="1"/>
    <x v="0"/>
    <x v="0"/>
    <x v="0"/>
    <x v="0"/>
    <x v="5"/>
    <n v="0"/>
    <n v="0"/>
    <n v="-48.38"/>
    <n v="-46.444800000000001"/>
    <n v="-48.38"/>
    <n v="-46.444800000000001"/>
    <n v="0"/>
    <x v="0"/>
    <n v="0"/>
    <n v="0"/>
    <n v="15"/>
    <n v="28"/>
    <n v="0"/>
    <n v="79.319999999999993"/>
    <n v="252.22"/>
    <m/>
    <n v="89.719855298032911"/>
    <n v="251.13901983982558"/>
    <n v="0"/>
    <n v="-3684.0015359999998"/>
    <n v="-11714.307456"/>
    <n v="0"/>
    <n v="-4167.0207353460792"/>
    <n v="-11664.101548656732"/>
  </r>
  <r>
    <s v="Regular"/>
    <x v="0"/>
    <x v="1"/>
    <x v="1"/>
    <x v="0"/>
    <x v="0"/>
    <x v="0"/>
    <x v="0"/>
    <x v="6"/>
    <n v="0"/>
    <n v="0"/>
    <n v="28.582999999999998"/>
    <n v="27.439679999999999"/>
    <n v="28.582999999999998"/>
    <n v="27.439679999999999"/>
    <n v="0"/>
    <x v="0"/>
    <n v="0"/>
    <n v="0"/>
    <n v="15"/>
    <n v="28"/>
    <n v="0"/>
    <n v="79.319999999999993"/>
    <n v="252.22"/>
    <m/>
    <n v="89.719855298032911"/>
    <n v="251.13901983982558"/>
    <n v="0"/>
    <n v="2176.5154175999996"/>
    <n v="6920.8360895999995"/>
    <n v="0"/>
    <n v="2461.8841190243274"/>
    <n v="6891.1743399184652"/>
  </r>
  <r>
    <s v="Regular"/>
    <x v="0"/>
    <x v="1"/>
    <x v="1"/>
    <x v="0"/>
    <x v="0"/>
    <x v="0"/>
    <x v="0"/>
    <x v="7"/>
    <n v="0"/>
    <n v="0"/>
    <n v="25.841999999999999"/>
    <n v="24.808319999999998"/>
    <n v="25.841999999999999"/>
    <n v="24.808319999999998"/>
    <n v="0"/>
    <x v="0"/>
    <n v="0"/>
    <n v="0"/>
    <n v="15"/>
    <n v="28"/>
    <n v="0"/>
    <n v="79.319999999999993"/>
    <n v="252.22"/>
    <m/>
    <n v="89.719855298032911"/>
    <n v="251.13901983982558"/>
    <n v="0"/>
    <n v="1967.7959423999996"/>
    <n v="6257.1544703999998"/>
    <n v="0"/>
    <n v="2225.7988805872956"/>
    <n v="6230.3371686727414"/>
  </r>
  <r>
    <s v="Regular"/>
    <x v="0"/>
    <x v="1"/>
    <x v="1"/>
    <x v="0"/>
    <x v="0"/>
    <x v="0"/>
    <x v="0"/>
    <x v="8"/>
    <n v="0"/>
    <n v="0"/>
    <n v="28.277999999999999"/>
    <n v="27.146879999999999"/>
    <n v="28.277999999999999"/>
    <n v="27.146879999999999"/>
    <n v="0"/>
    <x v="0"/>
    <n v="0"/>
    <n v="0"/>
    <n v="15"/>
    <n v="28"/>
    <n v="0"/>
    <n v="79.319999999999993"/>
    <n v="252.22"/>
    <m/>
    <n v="89.719855298032911"/>
    <n v="251.13901983982558"/>
    <n v="0"/>
    <n v="2153.2905215999999"/>
    <n v="6846.9860736000001"/>
    <n v="0"/>
    <n v="2435.6141453930636"/>
    <n v="6817.6408349093645"/>
  </r>
  <r>
    <s v="Regular"/>
    <x v="0"/>
    <x v="1"/>
    <x v="1"/>
    <x v="0"/>
    <x v="0"/>
    <x v="0"/>
    <x v="0"/>
    <x v="9"/>
    <n v="0"/>
    <n v="0"/>
    <n v="33.890999999999998"/>
    <n v="32.535359999999997"/>
    <n v="33.890999999999998"/>
    <n v="32.535359999999997"/>
    <n v="0"/>
    <x v="0"/>
    <n v="0"/>
    <n v="0"/>
    <n v="15"/>
    <n v="28"/>
    <n v="0"/>
    <n v="79.319999999999993"/>
    <n v="252.22"/>
    <m/>
    <n v="89.719855298032911"/>
    <n v="251.13901983982558"/>
    <n v="0"/>
    <n v="2580.7047551999995"/>
    <n v="8206.0684991999988"/>
    <n v="0"/>
    <n v="2919.0677912694077"/>
    <n v="8170.8984205358665"/>
  </r>
  <r>
    <s v="Regular"/>
    <x v="0"/>
    <x v="1"/>
    <x v="1"/>
    <x v="0"/>
    <x v="0"/>
    <x v="0"/>
    <x v="0"/>
    <x v="10"/>
    <n v="0"/>
    <n v="0"/>
    <n v="31.939"/>
    <n v="30.661439999999999"/>
    <n v="31.939"/>
    <n v="30.661439999999999"/>
    <n v="0"/>
    <x v="0"/>
    <n v="0"/>
    <n v="0"/>
    <n v="15"/>
    <n v="28"/>
    <n v="0"/>
    <n v="79.319999999999993"/>
    <n v="252.22"/>
    <m/>
    <n v="89.719855298032911"/>
    <n v="251.13901983982558"/>
    <n v="0"/>
    <n v="2432.0654207999996"/>
    <n v="7733.4283968"/>
    <n v="0"/>
    <n v="2750.9399600293182"/>
    <n v="7700.2839884776213"/>
  </r>
  <r>
    <s v="Regular"/>
    <x v="0"/>
    <x v="1"/>
    <x v="1"/>
    <x v="0"/>
    <x v="0"/>
    <x v="0"/>
    <x v="0"/>
    <x v="11"/>
    <n v="0"/>
    <n v="0"/>
    <n v="38.256"/>
    <n v="36.725760000000001"/>
    <n v="38.256"/>
    <n v="36.725760000000001"/>
    <n v="0"/>
    <x v="0"/>
    <n v="0"/>
    <n v="0"/>
    <n v="15"/>
    <n v="28"/>
    <n v="0"/>
    <n v="79.319999999999993"/>
    <n v="252.22"/>
    <m/>
    <n v="89.719855298032911"/>
    <n v="251.13901983982558"/>
    <n v="0"/>
    <n v="2913.0872832"/>
    <n v="9262.9711872000007"/>
    <n v="0"/>
    <n v="3295.0298729102851"/>
    <n v="9223.2713692726738"/>
  </r>
  <r>
    <s v="Regular"/>
    <x v="0"/>
    <x v="1"/>
    <x v="1"/>
    <x v="0"/>
    <x v="0"/>
    <x v="0"/>
    <x v="0"/>
    <x v="1"/>
    <n v="0"/>
    <n v="0"/>
    <n v="32.28"/>
    <n v="30.988800000000001"/>
    <n v="32.28"/>
    <n v="30.988800000000001"/>
    <n v="0"/>
    <x v="0"/>
    <n v="0"/>
    <n v="0"/>
    <n v="15"/>
    <n v="28"/>
    <n v="0"/>
    <n v="79.319999999999993"/>
    <n v="252.22"/>
    <m/>
    <n v="89.719855298032911"/>
    <n v="251.13901983982558"/>
    <n v="0"/>
    <n v="2458.0316159999998"/>
    <n v="7815.9951360000005"/>
    <n v="0"/>
    <n v="2780.3106518596824"/>
    <n v="7782.4968580123868"/>
  </r>
  <r>
    <s v="Regular"/>
    <x v="0"/>
    <x v="1"/>
    <x v="1"/>
    <x v="0"/>
    <x v="0"/>
    <x v="0"/>
    <x v="0"/>
    <x v="2"/>
    <n v="0"/>
    <n v="0"/>
    <n v="80.394999999999996"/>
    <n v="77.179199999999994"/>
    <n v="80.394999999999996"/>
    <n v="77.179199999999994"/>
    <n v="0"/>
    <x v="0"/>
    <n v="0"/>
    <n v="0"/>
    <n v="15"/>
    <n v="28"/>
    <n v="0"/>
    <n v="79.319999999999993"/>
    <n v="252.22"/>
    <m/>
    <n v="89.719855298032911"/>
    <n v="251.13901983982558"/>
    <n v="0"/>
    <n v="6121.854143999999"/>
    <n v="19466.137823999998"/>
    <n v="0"/>
    <n v="6924.5066560179412"/>
    <n v="19382.708640021865"/>
  </r>
  <r>
    <s v="Regular"/>
    <x v="0"/>
    <x v="1"/>
    <x v="1"/>
    <x v="0"/>
    <x v="0"/>
    <x v="0"/>
    <x v="0"/>
    <x v="3"/>
    <n v="0"/>
    <n v="0"/>
    <n v="71.855000000000004"/>
    <n v="68.980800000000002"/>
    <n v="71.855000000000004"/>
    <n v="68.980800000000002"/>
    <n v="0"/>
    <x v="0"/>
    <n v="0"/>
    <n v="0"/>
    <n v="15"/>
    <n v="28"/>
    <n v="0"/>
    <n v="79.319999999999993"/>
    <n v="252.22"/>
    <m/>
    <n v="89.719855298032911"/>
    <n v="251.13901983982558"/>
    <n v="0"/>
    <n v="5471.5570559999996"/>
    <n v="17398.337375999999"/>
    <n v="0"/>
    <n v="6188.9473943425492"/>
    <n v="17323.770499767041"/>
  </r>
  <r>
    <s v="Regular"/>
    <x v="0"/>
    <x v="1"/>
    <x v="1"/>
    <x v="0"/>
    <x v="0"/>
    <x v="0"/>
    <x v="0"/>
    <x v="4"/>
    <n v="0"/>
    <n v="0"/>
    <n v="51.518000000000001"/>
    <n v="49.457279999999997"/>
    <n v="51.518000000000001"/>
    <n v="49.457279999999997"/>
    <n v="0"/>
    <x v="0"/>
    <n v="0"/>
    <n v="0"/>
    <n v="15"/>
    <n v="28"/>
    <n v="0"/>
    <n v="79.319999999999993"/>
    <n v="252.22"/>
    <m/>
    <n v="89.719855298032911"/>
    <n v="251.13901983982558"/>
    <n v="0"/>
    <n v="3922.9514495999993"/>
    <n v="12474.115161599999"/>
    <n v="0"/>
    <n v="4437.3000050342971"/>
    <n v="12420.652823143808"/>
  </r>
  <r>
    <s v="Sistema de Compensação"/>
    <x v="0"/>
    <x v="1"/>
    <x v="1"/>
    <x v="0"/>
    <x v="0"/>
    <x v="0"/>
    <x v="0"/>
    <x v="4"/>
    <n v="0"/>
    <n v="0"/>
    <n v="11.651"/>
    <n v="11.18496"/>
    <n v="11.651"/>
    <n v="11.18496"/>
    <n v="0"/>
    <x v="0"/>
    <n v="0"/>
    <n v="0"/>
    <n v="15"/>
    <n v="28"/>
    <n v="0"/>
    <n v="79.319999999999993"/>
    <n v="252.22"/>
    <m/>
    <n v="89.719855298032911"/>
    <n v="251.13901983982558"/>
    <n v="0"/>
    <n v="887.19102719999989"/>
    <n v="2821.0706112000003"/>
    <n v="0"/>
    <n v="1003.5129927142862"/>
    <n v="2808.9798913476557"/>
  </r>
  <r>
    <s v="Regular"/>
    <x v="0"/>
    <x v="1"/>
    <x v="1"/>
    <x v="0"/>
    <x v="0"/>
    <x v="0"/>
    <x v="0"/>
    <x v="0"/>
    <n v="0"/>
    <n v="0"/>
    <n v="41.88"/>
    <n v="40.204799999999999"/>
    <n v="41.88"/>
    <n v="40.204799999999999"/>
    <n v="0"/>
    <x v="0"/>
    <n v="0"/>
    <n v="0"/>
    <n v="15"/>
    <n v="28"/>
    <n v="0"/>
    <n v="79.319999999999993"/>
    <n v="252.22"/>
    <m/>
    <n v="89.719855298032911"/>
    <n v="251.13901983982558"/>
    <n v="0"/>
    <n v="3189.0447359999998"/>
    <n v="10140.454656"/>
    <n v="0"/>
    <n v="3607.1688382863535"/>
    <n v="10096.994064856219"/>
  </r>
  <r>
    <s v="Sistema de Compensação"/>
    <x v="0"/>
    <x v="1"/>
    <x v="1"/>
    <x v="0"/>
    <x v="0"/>
    <x v="0"/>
    <x v="0"/>
    <x v="0"/>
    <n v="0"/>
    <n v="0"/>
    <n v="44.261000000000003"/>
    <n v="42.490560000000002"/>
    <n v="44.261000000000003"/>
    <n v="42.490560000000002"/>
    <n v="0"/>
    <x v="0"/>
    <n v="0"/>
    <n v="0"/>
    <n v="15"/>
    <n v="28"/>
    <n v="0"/>
    <n v="79.319999999999993"/>
    <n v="252.22"/>
    <m/>
    <n v="89.719855298032911"/>
    <n v="251.13901983982558"/>
    <n v="0"/>
    <n v="3370.3512191999998"/>
    <n v="10716.969043200001"/>
    <n v="0"/>
    <n v="3812.2468947323855"/>
    <n v="10671.037590845299"/>
  </r>
  <r>
    <s v="Regular"/>
    <x v="0"/>
    <x v="1"/>
    <x v="1"/>
    <x v="0"/>
    <x v="0"/>
    <x v="0"/>
    <x v="2"/>
    <x v="5"/>
    <n v="198"/>
    <n v="190.07999999999998"/>
    <n v="0"/>
    <n v="0"/>
    <n v="0"/>
    <n v="0"/>
    <n v="2"/>
    <x v="0"/>
    <n v="0"/>
    <n v="11"/>
    <n v="0"/>
    <n v="0"/>
    <n v="45.42"/>
    <n v="0"/>
    <n v="0"/>
    <n v="45.87320696171841"/>
    <m/>
    <m/>
    <n v="8633.4336000000003"/>
    <n v="0"/>
    <n v="0"/>
    <n v="8719.5791792834352"/>
    <n v="0"/>
    <n v="0"/>
  </r>
  <r>
    <s v="Sistema de Compensação"/>
    <x v="0"/>
    <x v="1"/>
    <x v="1"/>
    <x v="0"/>
    <x v="0"/>
    <x v="0"/>
    <x v="2"/>
    <x v="5"/>
    <n v="315"/>
    <n v="302.39999999999998"/>
    <n v="0"/>
    <n v="0"/>
    <n v="0"/>
    <n v="0"/>
    <n v="3"/>
    <x v="0"/>
    <n v="0"/>
    <n v="11"/>
    <n v="0"/>
    <n v="0"/>
    <n v="45.42"/>
    <n v="0"/>
    <n v="0"/>
    <n v="45.87320696171841"/>
    <m/>
    <m/>
    <n v="13735.008"/>
    <n v="0"/>
    <n v="0"/>
    <n v="13872.057785223646"/>
    <n v="0"/>
    <n v="0"/>
  </r>
  <r>
    <s v="Regular"/>
    <x v="0"/>
    <x v="1"/>
    <x v="1"/>
    <x v="0"/>
    <x v="0"/>
    <x v="0"/>
    <x v="2"/>
    <x v="6"/>
    <n v="241"/>
    <n v="231.35999999999999"/>
    <n v="0"/>
    <n v="0"/>
    <n v="0"/>
    <n v="0"/>
    <n v="2"/>
    <x v="0"/>
    <n v="0"/>
    <n v="11"/>
    <n v="0"/>
    <n v="0"/>
    <n v="45.42"/>
    <n v="0"/>
    <n v="0"/>
    <n v="45.87320696171841"/>
    <m/>
    <m/>
    <n v="10508.3712"/>
    <n v="0"/>
    <n v="0"/>
    <n v="10613.225162663171"/>
    <n v="0"/>
    <n v="0"/>
  </r>
  <r>
    <s v="Sistema de Compensação"/>
    <x v="0"/>
    <x v="1"/>
    <x v="1"/>
    <x v="0"/>
    <x v="0"/>
    <x v="0"/>
    <x v="2"/>
    <x v="6"/>
    <n v="317"/>
    <n v="304.32"/>
    <n v="0"/>
    <n v="0"/>
    <n v="0"/>
    <n v="0"/>
    <n v="4"/>
    <x v="0"/>
    <n v="0"/>
    <n v="11"/>
    <n v="0"/>
    <n v="0"/>
    <n v="45.42"/>
    <n v="0"/>
    <n v="0"/>
    <n v="45.87320696171841"/>
    <m/>
    <m/>
    <n v="13822.214400000001"/>
    <n v="0"/>
    <n v="0"/>
    <n v="13960.134342590147"/>
    <n v="0"/>
    <n v="0"/>
  </r>
  <r>
    <s v="Regular"/>
    <x v="0"/>
    <x v="1"/>
    <x v="1"/>
    <x v="0"/>
    <x v="0"/>
    <x v="0"/>
    <x v="2"/>
    <x v="7"/>
    <n v="139"/>
    <n v="133.44"/>
    <n v="0"/>
    <n v="0"/>
    <n v="0"/>
    <n v="0"/>
    <n v="2"/>
    <x v="0"/>
    <n v="0"/>
    <n v="11"/>
    <n v="0"/>
    <n v="0"/>
    <n v="45.42"/>
    <n v="0"/>
    <n v="0"/>
    <n v="45.87320696171841"/>
    <m/>
    <m/>
    <n v="6060.8447999999999"/>
    <n v="0"/>
    <n v="0"/>
    <n v="6121.3207369717047"/>
    <n v="0"/>
    <n v="0"/>
  </r>
  <r>
    <s v="Sistema de Compensação"/>
    <x v="0"/>
    <x v="1"/>
    <x v="1"/>
    <x v="0"/>
    <x v="0"/>
    <x v="0"/>
    <x v="2"/>
    <x v="7"/>
    <n v="415"/>
    <n v="398.4"/>
    <n v="0"/>
    <n v="0"/>
    <n v="0"/>
    <n v="0"/>
    <n v="4"/>
    <x v="0"/>
    <n v="0"/>
    <n v="11"/>
    <n v="0"/>
    <n v="0"/>
    <n v="45.42"/>
    <n v="0"/>
    <n v="0"/>
    <n v="45.87320696171841"/>
    <m/>
    <m/>
    <n v="18095.328000000001"/>
    <n v="0"/>
    <n v="0"/>
    <n v="18275.885653548612"/>
    <n v="0"/>
    <n v="0"/>
  </r>
  <r>
    <s v="Regular"/>
    <x v="0"/>
    <x v="1"/>
    <x v="1"/>
    <x v="0"/>
    <x v="0"/>
    <x v="0"/>
    <x v="2"/>
    <x v="8"/>
    <n v="176"/>
    <n v="168.96"/>
    <n v="0"/>
    <n v="0"/>
    <n v="0"/>
    <n v="0"/>
    <n v="2"/>
    <x v="0"/>
    <n v="0"/>
    <n v="11"/>
    <n v="0"/>
    <n v="0"/>
    <n v="45.42"/>
    <n v="0"/>
    <n v="0"/>
    <n v="45.87320696171841"/>
    <m/>
    <m/>
    <n v="7674.1632000000009"/>
    <n v="0"/>
    <n v="0"/>
    <n v="7750.7370482519427"/>
    <n v="0"/>
    <n v="0"/>
  </r>
  <r>
    <s v="Sistema de Compensação"/>
    <x v="0"/>
    <x v="1"/>
    <x v="1"/>
    <x v="0"/>
    <x v="0"/>
    <x v="0"/>
    <x v="2"/>
    <x v="8"/>
    <n v="491"/>
    <n v="471.35999999999996"/>
    <n v="0"/>
    <n v="0"/>
    <n v="0"/>
    <n v="0"/>
    <n v="4"/>
    <x v="0"/>
    <n v="0"/>
    <n v="11"/>
    <n v="0"/>
    <n v="0"/>
    <n v="45.42"/>
    <n v="0"/>
    <n v="0"/>
    <n v="45.87320696171841"/>
    <m/>
    <m/>
    <n v="21409.171199999997"/>
    <n v="0"/>
    <n v="0"/>
    <n v="21622.794833475589"/>
    <n v="0"/>
    <n v="0"/>
  </r>
  <r>
    <s v="Regular"/>
    <x v="0"/>
    <x v="1"/>
    <x v="1"/>
    <x v="0"/>
    <x v="0"/>
    <x v="0"/>
    <x v="2"/>
    <x v="9"/>
    <n v="201"/>
    <n v="192.96"/>
    <n v="0"/>
    <n v="0"/>
    <n v="0"/>
    <n v="0"/>
    <n v="2"/>
    <x v="0"/>
    <n v="0"/>
    <n v="11"/>
    <n v="0"/>
    <n v="0"/>
    <n v="45.42"/>
    <n v="0"/>
    <n v="0"/>
    <n v="45.87320696171841"/>
    <m/>
    <m/>
    <n v="8764.2432000000008"/>
    <n v="0"/>
    <n v="0"/>
    <n v="8851.6940153331852"/>
    <n v="0"/>
    <n v="0"/>
  </r>
  <r>
    <s v="Sistema de Compensação"/>
    <x v="0"/>
    <x v="1"/>
    <x v="1"/>
    <x v="0"/>
    <x v="0"/>
    <x v="0"/>
    <x v="2"/>
    <x v="9"/>
    <n v="527"/>
    <n v="505.91999999999996"/>
    <n v="0"/>
    <n v="0"/>
    <n v="0"/>
    <n v="0"/>
    <n v="4"/>
    <x v="0"/>
    <n v="0"/>
    <n v="11"/>
    <n v="0"/>
    <n v="0"/>
    <n v="45.42"/>
    <n v="0"/>
    <n v="0"/>
    <n v="45.87320696171841"/>
    <m/>
    <m/>
    <n v="22978.886399999999"/>
    <n v="0"/>
    <n v="0"/>
    <n v="23208.172866072575"/>
    <n v="0"/>
    <n v="0"/>
  </r>
  <r>
    <s v="Regular"/>
    <x v="0"/>
    <x v="1"/>
    <x v="1"/>
    <x v="0"/>
    <x v="0"/>
    <x v="0"/>
    <x v="2"/>
    <x v="10"/>
    <n v="138"/>
    <n v="132.47999999999999"/>
    <n v="0"/>
    <n v="0"/>
    <n v="0"/>
    <n v="0"/>
    <n v="2"/>
    <x v="0"/>
    <n v="0"/>
    <n v="11"/>
    <n v="0"/>
    <n v="0"/>
    <n v="45.42"/>
    <n v="0"/>
    <n v="0"/>
    <n v="45.87320696171841"/>
    <m/>
    <m/>
    <n v="6017.2415999999994"/>
    <n v="0"/>
    <n v="0"/>
    <n v="6077.2824582884541"/>
    <n v="0"/>
    <n v="0"/>
  </r>
  <r>
    <s v="Sistema de Compensação"/>
    <x v="0"/>
    <x v="1"/>
    <x v="1"/>
    <x v="0"/>
    <x v="0"/>
    <x v="0"/>
    <x v="2"/>
    <x v="10"/>
    <n v="331"/>
    <n v="317.76"/>
    <n v="0"/>
    <n v="0"/>
    <n v="0"/>
    <n v="0"/>
    <n v="4"/>
    <x v="0"/>
    <n v="0"/>
    <n v="11"/>
    <n v="0"/>
    <n v="0"/>
    <n v="45.42"/>
    <n v="0"/>
    <n v="0"/>
    <n v="45.87320696171841"/>
    <m/>
    <m/>
    <n v="14432.6592"/>
    <n v="0"/>
    <n v="0"/>
    <n v="14576.670244155641"/>
    <n v="0"/>
    <n v="0"/>
  </r>
  <r>
    <s v="Regular"/>
    <x v="0"/>
    <x v="1"/>
    <x v="1"/>
    <x v="0"/>
    <x v="0"/>
    <x v="0"/>
    <x v="2"/>
    <x v="11"/>
    <n v="140"/>
    <n v="134.4"/>
    <n v="0"/>
    <n v="0"/>
    <n v="0"/>
    <n v="0"/>
    <n v="2"/>
    <x v="0"/>
    <n v="0"/>
    <n v="11"/>
    <n v="0"/>
    <n v="0"/>
    <n v="45.42"/>
    <n v="0"/>
    <n v="0"/>
    <n v="45.87320696171841"/>
    <m/>
    <m/>
    <n v="6104.4480000000003"/>
    <n v="0"/>
    <n v="0"/>
    <n v="6165.3590156549544"/>
    <n v="0"/>
    <n v="0"/>
  </r>
  <r>
    <s v="Sistema de Compensação"/>
    <x v="0"/>
    <x v="1"/>
    <x v="1"/>
    <x v="0"/>
    <x v="0"/>
    <x v="0"/>
    <x v="2"/>
    <x v="11"/>
    <n v="399"/>
    <n v="383.03999999999996"/>
    <n v="0"/>
    <n v="0"/>
    <n v="0"/>
    <n v="0"/>
    <n v="4"/>
    <x v="0"/>
    <n v="0"/>
    <n v="11"/>
    <n v="0"/>
    <n v="0"/>
    <n v="45.42"/>
    <n v="0"/>
    <n v="0"/>
    <n v="45.87320696171841"/>
    <m/>
    <m/>
    <n v="17397.676799999997"/>
    <n v="0"/>
    <n v="0"/>
    <n v="17571.273194616617"/>
    <n v="0"/>
    <n v="0"/>
  </r>
  <r>
    <s v="Regular"/>
    <x v="0"/>
    <x v="1"/>
    <x v="1"/>
    <x v="0"/>
    <x v="0"/>
    <x v="0"/>
    <x v="2"/>
    <x v="1"/>
    <n v="106"/>
    <n v="101.76"/>
    <n v="0"/>
    <n v="0"/>
    <n v="0"/>
    <n v="0"/>
    <n v="2"/>
    <x v="0"/>
    <n v="0"/>
    <n v="11"/>
    <n v="0"/>
    <n v="0"/>
    <n v="45.42"/>
    <n v="0"/>
    <n v="0"/>
    <n v="45.87320696171841"/>
    <m/>
    <m/>
    <n v="4621.9392000000007"/>
    <n v="0"/>
    <n v="0"/>
    <n v="4668.0575404244655"/>
    <n v="0"/>
    <n v="0"/>
  </r>
  <r>
    <s v="Sistema de Compensação"/>
    <x v="0"/>
    <x v="1"/>
    <x v="1"/>
    <x v="0"/>
    <x v="0"/>
    <x v="0"/>
    <x v="2"/>
    <x v="1"/>
    <n v="333"/>
    <n v="319.68"/>
    <n v="0"/>
    <n v="0"/>
    <n v="0"/>
    <n v="0"/>
    <n v="3"/>
    <x v="0"/>
    <n v="0"/>
    <n v="11"/>
    <n v="0"/>
    <n v="0"/>
    <n v="45.42"/>
    <n v="0"/>
    <n v="0"/>
    <n v="45.87320696171841"/>
    <m/>
    <m/>
    <n v="14519.865600000001"/>
    <n v="0"/>
    <n v="0"/>
    <n v="14664.746801522142"/>
    <n v="0"/>
    <n v="0"/>
  </r>
  <r>
    <s v="Regular"/>
    <x v="0"/>
    <x v="1"/>
    <x v="1"/>
    <x v="0"/>
    <x v="0"/>
    <x v="0"/>
    <x v="2"/>
    <x v="2"/>
    <n v="284"/>
    <n v="272.64"/>
    <n v="0"/>
    <n v="0"/>
    <n v="0"/>
    <n v="0"/>
    <n v="3"/>
    <x v="0"/>
    <n v="0"/>
    <n v="11"/>
    <n v="0"/>
    <n v="0"/>
    <n v="45.42"/>
    <n v="0"/>
    <n v="0"/>
    <n v="45.87320696171841"/>
    <m/>
    <m/>
    <n v="12383.308800000001"/>
    <n v="0"/>
    <n v="0"/>
    <n v="12506.871146042906"/>
    <n v="0"/>
    <n v="0"/>
  </r>
  <r>
    <s v="Sistema de Compensação"/>
    <x v="0"/>
    <x v="1"/>
    <x v="1"/>
    <x v="0"/>
    <x v="0"/>
    <x v="0"/>
    <x v="2"/>
    <x v="2"/>
    <n v="378"/>
    <n v="362.88"/>
    <n v="0"/>
    <n v="0"/>
    <n v="0"/>
    <n v="0"/>
    <n v="3"/>
    <x v="0"/>
    <n v="0"/>
    <n v="11"/>
    <n v="0"/>
    <n v="0"/>
    <n v="45.42"/>
    <n v="0"/>
    <n v="0"/>
    <n v="45.87320696171841"/>
    <m/>
    <m/>
    <n v="16482.009600000001"/>
    <n v="0"/>
    <n v="0"/>
    <n v="16646.469342268378"/>
    <n v="0"/>
    <n v="0"/>
  </r>
  <r>
    <s v="Sistema de Compensação"/>
    <x v="0"/>
    <x v="1"/>
    <x v="1"/>
    <x v="0"/>
    <x v="0"/>
    <x v="0"/>
    <x v="2"/>
    <x v="2"/>
    <n v="-3"/>
    <n v="-2.88"/>
    <n v="0"/>
    <n v="0"/>
    <n v="0"/>
    <n v="0"/>
    <n v="2"/>
    <x v="0"/>
    <n v="0"/>
    <n v="11"/>
    <n v="0"/>
    <n v="0"/>
    <n v="45.42"/>
    <n v="0"/>
    <n v="0"/>
    <n v="45.87320696171841"/>
    <m/>
    <m/>
    <n v="-130.80959999999999"/>
    <n v="0"/>
    <n v="0"/>
    <n v="-132.11483604974902"/>
    <n v="0"/>
    <n v="0"/>
  </r>
  <r>
    <s v="Regular"/>
    <x v="0"/>
    <x v="1"/>
    <x v="1"/>
    <x v="0"/>
    <x v="0"/>
    <x v="0"/>
    <x v="2"/>
    <x v="3"/>
    <n v="319"/>
    <n v="306.24"/>
    <n v="0"/>
    <n v="0"/>
    <n v="0"/>
    <n v="0"/>
    <n v="3"/>
    <x v="0"/>
    <n v="0"/>
    <n v="11"/>
    <n v="0"/>
    <n v="0"/>
    <n v="45.42"/>
    <n v="0"/>
    <n v="0"/>
    <n v="45.87320696171841"/>
    <m/>
    <m/>
    <n v="13909.420800000002"/>
    <n v="0"/>
    <n v="0"/>
    <n v="14048.210899956646"/>
    <n v="0"/>
    <n v="0"/>
  </r>
  <r>
    <s v="Sistema de Compensação"/>
    <x v="0"/>
    <x v="1"/>
    <x v="1"/>
    <x v="0"/>
    <x v="0"/>
    <x v="0"/>
    <x v="2"/>
    <x v="3"/>
    <n v="812"/>
    <n v="779.52"/>
    <n v="0"/>
    <n v="0"/>
    <n v="0"/>
    <n v="0"/>
    <n v="3"/>
    <x v="0"/>
    <n v="0"/>
    <n v="11"/>
    <n v="0"/>
    <n v="0"/>
    <n v="45.42"/>
    <n v="0"/>
    <n v="0"/>
    <n v="45.87320696171841"/>
    <m/>
    <m/>
    <n v="35405.7984"/>
    <n v="0"/>
    <n v="0"/>
    <n v="35759.082290798731"/>
    <n v="0"/>
    <n v="0"/>
  </r>
  <r>
    <s v="Regular"/>
    <x v="0"/>
    <x v="1"/>
    <x v="1"/>
    <x v="0"/>
    <x v="0"/>
    <x v="0"/>
    <x v="2"/>
    <x v="4"/>
    <n v="380"/>
    <n v="364.8"/>
    <n v="0"/>
    <n v="0"/>
    <n v="0"/>
    <n v="0"/>
    <n v="3"/>
    <x v="0"/>
    <n v="0"/>
    <n v="11"/>
    <n v="0"/>
    <n v="0"/>
    <n v="45.42"/>
    <n v="0"/>
    <n v="0"/>
    <n v="45.87320696171841"/>
    <m/>
    <m/>
    <n v="16569.216"/>
    <n v="0"/>
    <n v="0"/>
    <n v="16734.545899634875"/>
    <n v="0"/>
    <n v="0"/>
  </r>
  <r>
    <s v="Sistema de Compensação"/>
    <x v="0"/>
    <x v="1"/>
    <x v="1"/>
    <x v="0"/>
    <x v="0"/>
    <x v="0"/>
    <x v="2"/>
    <x v="4"/>
    <n v="768"/>
    <n v="737.28"/>
    <n v="0"/>
    <n v="0"/>
    <n v="0"/>
    <n v="0"/>
    <n v="3"/>
    <x v="0"/>
    <n v="0"/>
    <n v="11"/>
    <n v="0"/>
    <n v="0"/>
    <n v="45.42"/>
    <n v="0"/>
    <n v="0"/>
    <n v="45.87320696171841"/>
    <m/>
    <m/>
    <n v="33487.257599999997"/>
    <n v="0"/>
    <n v="0"/>
    <n v="33821.398028735748"/>
    <n v="0"/>
    <n v="0"/>
  </r>
  <r>
    <s v="Regular"/>
    <x v="0"/>
    <x v="1"/>
    <x v="1"/>
    <x v="0"/>
    <x v="0"/>
    <x v="0"/>
    <x v="2"/>
    <x v="0"/>
    <n v="437"/>
    <n v="419.52"/>
    <n v="0"/>
    <n v="0"/>
    <n v="0"/>
    <n v="0"/>
    <n v="3"/>
    <x v="0"/>
    <n v="0"/>
    <n v="11"/>
    <n v="0"/>
    <n v="0"/>
    <n v="45.42"/>
    <n v="0"/>
    <n v="0"/>
    <n v="45.87320696171841"/>
    <m/>
    <m/>
    <n v="19054.598399999999"/>
    <n v="0"/>
    <n v="0"/>
    <n v="19244.727784580107"/>
    <n v="0"/>
    <n v="0"/>
  </r>
  <r>
    <s v="Sistema de Compensação"/>
    <x v="0"/>
    <x v="1"/>
    <x v="1"/>
    <x v="0"/>
    <x v="0"/>
    <x v="0"/>
    <x v="2"/>
    <x v="0"/>
    <n v="700"/>
    <n v="672"/>
    <n v="0"/>
    <n v="0"/>
    <n v="0"/>
    <n v="0"/>
    <n v="3"/>
    <x v="0"/>
    <n v="0"/>
    <n v="11"/>
    <n v="0"/>
    <n v="0"/>
    <n v="45.42"/>
    <n v="0"/>
    <n v="0"/>
    <n v="45.87320696171841"/>
    <m/>
    <m/>
    <n v="30522.240000000002"/>
    <n v="0"/>
    <n v="0"/>
    <n v="30826.795078274772"/>
    <n v="0"/>
    <n v="0"/>
  </r>
  <r>
    <s v="Regular"/>
    <x v="0"/>
    <x v="1"/>
    <x v="1"/>
    <x v="0"/>
    <x v="0"/>
    <x v="0"/>
    <x v="1"/>
    <x v="5"/>
    <n v="0"/>
    <n v="0"/>
    <n v="2.3250000000000002"/>
    <n v="2.2320000000000002"/>
    <n v="2.3250000000000002"/>
    <n v="2.2320000000000002"/>
    <n v="0"/>
    <x v="0"/>
    <n v="0"/>
    <n v="0"/>
    <n v="7"/>
    <n v="41"/>
    <n v="0"/>
    <n v="1465.12"/>
    <n v="252.22"/>
    <m/>
    <n v="1505.0863668607667"/>
    <n v="251.13901983982558"/>
    <n v="0"/>
    <n v="3270.1478400000001"/>
    <n v="562.95504000000005"/>
    <n v="0"/>
    <n v="3359.3527708332317"/>
    <n v="560.54229228249073"/>
  </r>
  <r>
    <s v="Sistema de Compensação"/>
    <x v="0"/>
    <x v="1"/>
    <x v="1"/>
    <x v="0"/>
    <x v="0"/>
    <x v="0"/>
    <x v="1"/>
    <x v="5"/>
    <n v="0"/>
    <n v="0"/>
    <n v="-11.004"/>
    <n v="-10.563839999999999"/>
    <n v="-11.004"/>
    <n v="-10.563839999999999"/>
    <n v="0"/>
    <x v="0"/>
    <n v="0"/>
    <n v="0"/>
    <n v="7"/>
    <n v="41"/>
    <n v="0"/>
    <n v="1465.12"/>
    <n v="252.22"/>
    <m/>
    <n v="1505.0863668607667"/>
    <n v="251.13901983982558"/>
    <n v="0"/>
    <n v="-15477.293260799997"/>
    <n v="-2664.4117247999998"/>
    <n v="0"/>
    <n v="-15899.491565698439"/>
    <n v="-2652.9924233447427"/>
  </r>
  <r>
    <s v="Regular"/>
    <x v="0"/>
    <x v="1"/>
    <x v="1"/>
    <x v="0"/>
    <x v="0"/>
    <x v="0"/>
    <x v="1"/>
    <x v="6"/>
    <n v="0"/>
    <n v="0"/>
    <n v="3.3759999999999999"/>
    <n v="3.2409599999999998"/>
    <n v="3.3759999999999999"/>
    <n v="3.2409599999999998"/>
    <n v="0"/>
    <x v="0"/>
    <n v="0"/>
    <n v="0"/>
    <n v="7"/>
    <n v="41"/>
    <n v="0"/>
    <n v="1465.12"/>
    <n v="252.22"/>
    <m/>
    <n v="1505.0863668607667"/>
    <n v="251.13901983982558"/>
    <n v="0"/>
    <n v="4748.3953151999995"/>
    <n v="817.43493119999994"/>
    <n v="0"/>
    <n v="4877.9247115410699"/>
    <n v="813.93151774008106"/>
  </r>
  <r>
    <s v="Regular"/>
    <x v="0"/>
    <x v="1"/>
    <x v="1"/>
    <x v="0"/>
    <x v="0"/>
    <x v="0"/>
    <x v="1"/>
    <x v="7"/>
    <n v="0"/>
    <n v="0"/>
    <n v="2.831"/>
    <n v="2.7177600000000002"/>
    <n v="2.831"/>
    <n v="2.7177600000000002"/>
    <n v="0"/>
    <x v="0"/>
    <n v="0"/>
    <n v="0"/>
    <n v="7"/>
    <n v="41"/>
    <n v="0"/>
    <n v="1465.12"/>
    <n v="252.22"/>
    <m/>
    <n v="1505.0863668607667"/>
    <n v="251.13901983982558"/>
    <n v="0"/>
    <n v="3981.8445311999999"/>
    <n v="685.47342720000006"/>
    <n v="0"/>
    <n v="4090.4635243995176"/>
    <n v="682.53558255988446"/>
  </r>
  <r>
    <s v="Regular"/>
    <x v="0"/>
    <x v="1"/>
    <x v="1"/>
    <x v="0"/>
    <x v="0"/>
    <x v="0"/>
    <x v="1"/>
    <x v="8"/>
    <n v="0"/>
    <n v="0"/>
    <n v="2.9790000000000001"/>
    <n v="2.8598400000000002"/>
    <n v="2.9790000000000001"/>
    <n v="2.8598400000000002"/>
    <n v="0"/>
    <x v="0"/>
    <n v="0"/>
    <n v="0"/>
    <n v="7"/>
    <n v="41"/>
    <n v="0"/>
    <n v="1465.12"/>
    <n v="252.22"/>
    <m/>
    <n v="1505.0863668607667"/>
    <n v="251.13901983982558"/>
    <n v="0"/>
    <n v="4190.0087807999998"/>
    <n v="721.30884480000009"/>
    <n v="0"/>
    <n v="4304.3061954030954"/>
    <n v="718.21741449872684"/>
  </r>
  <r>
    <s v="Regular"/>
    <x v="0"/>
    <x v="1"/>
    <x v="1"/>
    <x v="0"/>
    <x v="0"/>
    <x v="0"/>
    <x v="1"/>
    <x v="9"/>
    <n v="0"/>
    <n v="0"/>
    <n v="3.573"/>
    <n v="3.4300799999999998"/>
    <n v="3.573"/>
    <n v="3.4300799999999998"/>
    <n v="0"/>
    <x v="0"/>
    <n v="0"/>
    <n v="0"/>
    <n v="7"/>
    <n v="41"/>
    <n v="0"/>
    <n v="1465.12"/>
    <n v="252.22"/>
    <m/>
    <n v="1505.0863668607667"/>
    <n v="251.13901983982558"/>
    <n v="0"/>
    <n v="5025.4788095999993"/>
    <n v="865.13477759999989"/>
    <n v="0"/>
    <n v="5162.5666452417781"/>
    <n v="861.42692917218892"/>
  </r>
  <r>
    <s v="Regular"/>
    <x v="0"/>
    <x v="1"/>
    <x v="1"/>
    <x v="0"/>
    <x v="0"/>
    <x v="0"/>
    <x v="1"/>
    <x v="10"/>
    <n v="0"/>
    <n v="0"/>
    <n v="3.4940000000000002"/>
    <n v="3.3542399999999999"/>
    <n v="3.4940000000000002"/>
    <n v="3.3542399999999999"/>
    <n v="0"/>
    <x v="0"/>
    <n v="0"/>
    <n v="0"/>
    <n v="7"/>
    <n v="41"/>
    <n v="0"/>
    <n v="1465.12"/>
    <n v="252.22"/>
    <m/>
    <n v="1505.0863668607667"/>
    <n v="251.13901983982558"/>
    <n v="0"/>
    <n v="4914.3641087999995"/>
    <n v="846.00641280000002"/>
    <n v="0"/>
    <n v="5048.4208951790579"/>
    <n v="842.38054590753654"/>
  </r>
  <r>
    <s v="Regular"/>
    <x v="0"/>
    <x v="1"/>
    <x v="1"/>
    <x v="0"/>
    <x v="0"/>
    <x v="0"/>
    <x v="1"/>
    <x v="11"/>
    <n v="0"/>
    <n v="0"/>
    <n v="4.181"/>
    <n v="4.0137600000000004"/>
    <n v="4.181"/>
    <n v="4.0137600000000004"/>
    <n v="0"/>
    <x v="0"/>
    <n v="0"/>
    <n v="0"/>
    <n v="7"/>
    <n v="41"/>
    <n v="0"/>
    <n v="1465.12"/>
    <n v="252.22"/>
    <m/>
    <n v="1505.0863668607667"/>
    <n v="251.13901983982558"/>
    <n v="0"/>
    <n v="5880.6400512"/>
    <n v="1012.3505472000001"/>
    <n v="0"/>
    <n v="6041.0554558510712"/>
    <n v="1008.0117522722984"/>
  </r>
  <r>
    <s v="Regular"/>
    <x v="0"/>
    <x v="1"/>
    <x v="1"/>
    <x v="0"/>
    <x v="0"/>
    <x v="0"/>
    <x v="1"/>
    <x v="1"/>
    <n v="0"/>
    <n v="0"/>
    <n v="3.2709999999999999"/>
    <n v="3.1401599999999998"/>
    <n v="3.2709999999999999"/>
    <n v="3.1401599999999998"/>
    <n v="0"/>
    <x v="0"/>
    <n v="0"/>
    <n v="0"/>
    <n v="7"/>
    <n v="41"/>
    <n v="0"/>
    <n v="1465.12"/>
    <n v="252.22"/>
    <m/>
    <n v="1505.0863668607667"/>
    <n v="251.13901983982558"/>
    <n v="0"/>
    <n v="4600.7112191999995"/>
    <n v="792.01115519999996"/>
    <n v="0"/>
    <n v="4726.2120057615048"/>
    <n v="788.61670454022669"/>
  </r>
  <r>
    <s v="Regular"/>
    <x v="0"/>
    <x v="1"/>
    <x v="1"/>
    <x v="0"/>
    <x v="0"/>
    <x v="0"/>
    <x v="1"/>
    <x v="2"/>
    <n v="0"/>
    <n v="0"/>
    <n v="8.6219999999999999"/>
    <n v="8.27712"/>
    <n v="8.6219999999999999"/>
    <n v="8.27712"/>
    <n v="0"/>
    <x v="0"/>
    <n v="0"/>
    <n v="0"/>
    <n v="7"/>
    <n v="41"/>
    <n v="0"/>
    <n v="1465.12"/>
    <n v="252.22"/>
    <m/>
    <n v="1505.0863668607667"/>
    <n v="251.13901983982558"/>
    <n v="0"/>
    <n v="12126.9740544"/>
    <n v="2087.6552064000002"/>
    <n v="0"/>
    <n v="12457.780468870589"/>
    <n v="2078.707803896617"/>
  </r>
  <r>
    <s v="Regular"/>
    <x v="0"/>
    <x v="1"/>
    <x v="1"/>
    <x v="0"/>
    <x v="0"/>
    <x v="0"/>
    <x v="1"/>
    <x v="3"/>
    <n v="0"/>
    <n v="0"/>
    <n v="8.2959999999999994"/>
    <n v="7.9641599999999997"/>
    <n v="8.2959999999999994"/>
    <n v="7.9641599999999997"/>
    <n v="0"/>
    <x v="0"/>
    <n v="0"/>
    <n v="0"/>
    <n v="7"/>
    <n v="41"/>
    <n v="0"/>
    <n v="1465.12"/>
    <n v="252.22"/>
    <m/>
    <n v="1505.0863668607667"/>
    <n v="251.13901983982558"/>
    <n v="0"/>
    <n v="11668.450099199999"/>
    <n v="2008.7204351999999"/>
    <n v="0"/>
    <n v="11986.748639497844"/>
    <n v="2000.1113362475453"/>
  </r>
  <r>
    <s v="Regular"/>
    <x v="0"/>
    <x v="1"/>
    <x v="1"/>
    <x v="0"/>
    <x v="0"/>
    <x v="0"/>
    <x v="1"/>
    <x v="4"/>
    <n v="0"/>
    <n v="0"/>
    <n v="5.03"/>
    <n v="4.8288000000000002"/>
    <n v="5.03"/>
    <n v="4.8288000000000002"/>
    <n v="0"/>
    <x v="0"/>
    <n v="0"/>
    <n v="0"/>
    <n v="7"/>
    <n v="41"/>
    <n v="0"/>
    <n v="1465.12"/>
    <n v="252.22"/>
    <m/>
    <n v="1505.0863668607667"/>
    <n v="251.13901983982558"/>
    <n v="0"/>
    <n v="7074.7714559999995"/>
    <n v="1217.919936"/>
    <n v="0"/>
    <n v="7267.7610482972705"/>
    <n v="1212.7000990025499"/>
  </r>
  <r>
    <s v="Sistema de Compensação"/>
    <x v="0"/>
    <x v="1"/>
    <x v="1"/>
    <x v="0"/>
    <x v="0"/>
    <x v="0"/>
    <x v="1"/>
    <x v="4"/>
    <n v="0"/>
    <n v="0"/>
    <n v="2.157"/>
    <n v="2.0707200000000001"/>
    <n v="2.157"/>
    <n v="2.0707200000000001"/>
    <n v="0"/>
    <x v="0"/>
    <n v="0"/>
    <n v="0"/>
    <n v="7"/>
    <n v="41"/>
    <n v="0"/>
    <n v="1465.12"/>
    <n v="252.22"/>
    <m/>
    <n v="1505.0863668607667"/>
    <n v="251.13901983982558"/>
    <n v="0"/>
    <n v="3033.8532863999999"/>
    <n v="522.27699840000002"/>
    <n v="0"/>
    <n v="3116.6124415859272"/>
    <n v="520.03859116272361"/>
  </r>
  <r>
    <s v="Regular"/>
    <x v="0"/>
    <x v="1"/>
    <x v="1"/>
    <x v="0"/>
    <x v="0"/>
    <x v="0"/>
    <x v="1"/>
    <x v="0"/>
    <n v="0"/>
    <n v="0"/>
    <n v="3.0459999999999998"/>
    <n v="2.9241600000000001"/>
    <n v="3.0459999999999998"/>
    <n v="2.9241600000000001"/>
    <n v="0"/>
    <x v="0"/>
    <n v="0"/>
    <n v="0"/>
    <n v="7"/>
    <n v="41"/>
    <n v="0"/>
    <n v="1465.12"/>
    <n v="252.22"/>
    <m/>
    <n v="1505.0863668607667"/>
    <n v="251.13901983982558"/>
    <n v="0"/>
    <n v="4284.2452991999999"/>
    <n v="737.53163519999998"/>
    <n v="0"/>
    <n v="4401.1133505195794"/>
    <n v="734.37067625482439"/>
  </r>
  <r>
    <s v="Sistema de Compensação"/>
    <x v="0"/>
    <x v="1"/>
    <x v="1"/>
    <x v="0"/>
    <x v="0"/>
    <x v="0"/>
    <x v="1"/>
    <x v="0"/>
    <n v="0"/>
    <n v="0"/>
    <n v="2.0249999999999999"/>
    <n v="1.944"/>
    <n v="2.0249999999999999"/>
    <n v="1.944"/>
    <n v="0"/>
    <x v="0"/>
    <n v="0"/>
    <n v="0"/>
    <n v="7"/>
    <n v="41"/>
    <n v="0"/>
    <n v="1465.12"/>
    <n v="252.22"/>
    <m/>
    <n v="1505.0863668607667"/>
    <n v="251.13901983982558"/>
    <n v="0"/>
    <n v="2848.1932799999995"/>
    <n v="490.31567999999999"/>
    <n v="0"/>
    <n v="2925.8878971773306"/>
    <n v="488.2142545686209"/>
  </r>
  <r>
    <s v="Regular"/>
    <x v="1"/>
    <x v="2"/>
    <x v="3"/>
    <x v="2"/>
    <x v="0"/>
    <x v="0"/>
    <x v="2"/>
    <x v="5"/>
    <n v="0"/>
    <n v="0"/>
    <n v="992.53399999999999"/>
    <n v="992.53399999999999"/>
    <n v="992.53399999999999"/>
    <n v="992.53399999999999"/>
    <n v="8255"/>
    <x v="0"/>
    <n v="0"/>
    <n v="0"/>
    <n v="4"/>
    <n v="73"/>
    <n v="0"/>
    <n v="425.75"/>
    <n v="252.22"/>
    <m/>
    <n v="432.62277336814327"/>
    <n v="251.13901983982558"/>
    <n v="0"/>
    <n v="422571.3505"/>
    <n v="250336.92548000001"/>
    <n v="0"/>
    <n v="429392.81174217671"/>
    <n v="249264.01591770144"/>
  </r>
  <r>
    <s v="Refaturamento - Regular"/>
    <x v="1"/>
    <x v="2"/>
    <x v="3"/>
    <x v="2"/>
    <x v="0"/>
    <x v="0"/>
    <x v="2"/>
    <x v="5"/>
    <n v="0"/>
    <n v="0"/>
    <n v="-0.377"/>
    <n v="-0.377"/>
    <n v="-0.377"/>
    <n v="-0.377"/>
    <n v="0"/>
    <x v="0"/>
    <n v="0"/>
    <n v="0"/>
    <n v="4"/>
    <n v="73"/>
    <n v="0"/>
    <n v="425.75"/>
    <n v="252.22"/>
    <m/>
    <n v="432.62277336814327"/>
    <n v="251.13901983982558"/>
    <n v="0"/>
    <n v="-160.50774999999999"/>
    <n v="-95.086939999999998"/>
    <n v="0"/>
    <n v="-163.09878555979"/>
    <n v="-94.679410479614248"/>
  </r>
  <r>
    <s v="Sistema de Compensação"/>
    <x v="1"/>
    <x v="2"/>
    <x v="3"/>
    <x v="2"/>
    <x v="0"/>
    <x v="0"/>
    <x v="2"/>
    <x v="5"/>
    <n v="0"/>
    <n v="0"/>
    <n v="44.189"/>
    <n v="44.189"/>
    <n v="44.189"/>
    <n v="44.189"/>
    <n v="453"/>
    <x v="0"/>
    <n v="0"/>
    <n v="0"/>
    <n v="4"/>
    <n v="73"/>
    <n v="0"/>
    <n v="425.75"/>
    <n v="252.22"/>
    <m/>
    <n v="432.62277336814327"/>
    <n v="251.13901983982558"/>
    <n v="0"/>
    <n v="18813.46675"/>
    <n v="11145.34958"/>
    <n v="0"/>
    <n v="19117.167732364884"/>
    <n v="11097.582147702053"/>
  </r>
  <r>
    <s v="Regular"/>
    <x v="1"/>
    <x v="2"/>
    <x v="3"/>
    <x v="2"/>
    <x v="0"/>
    <x v="0"/>
    <x v="2"/>
    <x v="6"/>
    <n v="0"/>
    <n v="0"/>
    <n v="1012.851"/>
    <n v="1012.851"/>
    <n v="1012.851"/>
    <n v="1012.851"/>
    <n v="8243"/>
    <x v="0"/>
    <n v="0"/>
    <n v="0"/>
    <n v="4"/>
    <n v="73"/>
    <n v="0"/>
    <n v="425.75"/>
    <n v="252.22"/>
    <m/>
    <n v="432.62277336814327"/>
    <n v="251.13901983982558"/>
    <n v="0"/>
    <n v="431221.31325000001"/>
    <n v="255461.27922"/>
    <n v="0"/>
    <n v="438182.40862869727"/>
    <n v="254366.40738378718"/>
  </r>
  <r>
    <s v="Refaturamento - Regular"/>
    <x v="1"/>
    <x v="2"/>
    <x v="3"/>
    <x v="2"/>
    <x v="0"/>
    <x v="0"/>
    <x v="2"/>
    <x v="6"/>
    <n v="0"/>
    <n v="0"/>
    <n v="-0.32500000000000001"/>
    <n v="-0.32500000000000001"/>
    <n v="-0.32500000000000001"/>
    <n v="-0.32500000000000001"/>
    <n v="0"/>
    <x v="0"/>
    <n v="0"/>
    <n v="0"/>
    <n v="4"/>
    <n v="73"/>
    <n v="0"/>
    <n v="425.75"/>
    <n v="252.22"/>
    <m/>
    <n v="432.62277336814327"/>
    <n v="251.13901983982558"/>
    <n v="0"/>
    <n v="-138.36875000000001"/>
    <n v="-81.971500000000006"/>
    <n v="0"/>
    <n v="-140.60240134464658"/>
    <n v="-81.62018144794331"/>
  </r>
  <r>
    <s v="Sistema de Compensação"/>
    <x v="1"/>
    <x v="2"/>
    <x v="3"/>
    <x v="2"/>
    <x v="0"/>
    <x v="0"/>
    <x v="2"/>
    <x v="6"/>
    <n v="0"/>
    <n v="0"/>
    <n v="35.491"/>
    <n v="35.491"/>
    <n v="35.491"/>
    <n v="35.491"/>
    <n v="467"/>
    <x v="0"/>
    <n v="0"/>
    <n v="0"/>
    <n v="4"/>
    <n v="73"/>
    <n v="0"/>
    <n v="425.75"/>
    <n v="252.22"/>
    <m/>
    <n v="432.62277336814327"/>
    <n v="251.13901983982558"/>
    <n v="0"/>
    <n v="15110.293250000001"/>
    <n v="8951.5400200000004"/>
    <n v="0"/>
    <n v="15354.214849608772"/>
    <n v="8913.1749531352489"/>
  </r>
  <r>
    <s v="Regular"/>
    <x v="1"/>
    <x v="2"/>
    <x v="3"/>
    <x v="2"/>
    <x v="0"/>
    <x v="0"/>
    <x v="2"/>
    <x v="7"/>
    <n v="0"/>
    <n v="0"/>
    <n v="1029.579"/>
    <n v="1029.579"/>
    <n v="1029.579"/>
    <n v="1029.579"/>
    <n v="8270"/>
    <x v="0"/>
    <n v="0"/>
    <n v="0"/>
    <n v="4"/>
    <n v="73"/>
    <n v="0"/>
    <n v="425.75"/>
    <n v="252.22"/>
    <m/>
    <n v="432.62277336814327"/>
    <n v="251.13901983982558"/>
    <n v="0"/>
    <n v="438343.25925"/>
    <n v="259680.41537999999"/>
    <n v="0"/>
    <n v="445419.32238159957"/>
    <n v="258567.46090766776"/>
  </r>
  <r>
    <s v="Refaturamento - Regular"/>
    <x v="1"/>
    <x v="2"/>
    <x v="3"/>
    <x v="2"/>
    <x v="0"/>
    <x v="0"/>
    <x v="2"/>
    <x v="7"/>
    <n v="0"/>
    <n v="0"/>
    <n v="0.14699999999999999"/>
    <n v="0.14699999999999999"/>
    <n v="0.14699999999999999"/>
    <n v="0.14699999999999999"/>
    <n v="0"/>
    <x v="0"/>
    <n v="0"/>
    <n v="0"/>
    <n v="4"/>
    <n v="73"/>
    <n v="0"/>
    <n v="425.75"/>
    <n v="252.22"/>
    <m/>
    <n v="432.62277336814327"/>
    <n v="251.13901983982558"/>
    <n v="0"/>
    <n v="62.585249999999995"/>
    <n v="37.076339999999995"/>
    <n v="0"/>
    <n v="63.595547685117054"/>
    <n v="36.917435916454359"/>
  </r>
  <r>
    <s v="Sistema de Compensação"/>
    <x v="1"/>
    <x v="2"/>
    <x v="3"/>
    <x v="2"/>
    <x v="0"/>
    <x v="0"/>
    <x v="2"/>
    <x v="7"/>
    <n v="0"/>
    <n v="0"/>
    <n v="32.054000000000002"/>
    <n v="32.054000000000002"/>
    <n v="32.054000000000002"/>
    <n v="32.054000000000002"/>
    <n v="472"/>
    <x v="0"/>
    <n v="0"/>
    <n v="0"/>
    <n v="4"/>
    <n v="73"/>
    <n v="0"/>
    <n v="425.75"/>
    <n v="252.22"/>
    <m/>
    <n v="432.62277336814327"/>
    <n v="251.13901983982558"/>
    <n v="0"/>
    <n v="13646.990500000002"/>
    <n v="8084.6598800000002"/>
    <n v="0"/>
    <n v="13867.290377542466"/>
    <n v="8050.0101419457696"/>
  </r>
  <r>
    <s v="Sistema de Compensação"/>
    <x v="1"/>
    <x v="2"/>
    <x v="3"/>
    <x v="2"/>
    <x v="0"/>
    <x v="0"/>
    <x v="2"/>
    <x v="7"/>
    <n v="0"/>
    <n v="0"/>
    <n v="0.31900000000000001"/>
    <n v="0.31900000000000001"/>
    <n v="0.31900000000000001"/>
    <n v="0.31900000000000001"/>
    <n v="1"/>
    <x v="0"/>
    <n v="0"/>
    <n v="0"/>
    <n v="4"/>
    <n v="73"/>
    <n v="0"/>
    <n v="425.75"/>
    <n v="252.22"/>
    <m/>
    <n v="432.62277336814327"/>
    <n v="251.13901983982558"/>
    <n v="0"/>
    <n v="135.81425000000002"/>
    <n v="80.458179999999999"/>
    <n v="0"/>
    <n v="138.0066647044377"/>
    <n v="80.113347328904368"/>
  </r>
  <r>
    <s v="Regular"/>
    <x v="1"/>
    <x v="2"/>
    <x v="3"/>
    <x v="2"/>
    <x v="0"/>
    <x v="0"/>
    <x v="2"/>
    <x v="8"/>
    <n v="0"/>
    <n v="0"/>
    <n v="1002.316"/>
    <n v="1002.316"/>
    <n v="1002.316"/>
    <n v="1002.316"/>
    <n v="8247"/>
    <x v="0"/>
    <n v="0"/>
    <n v="0"/>
    <n v="4"/>
    <n v="73"/>
    <n v="0"/>
    <n v="425.75"/>
    <n v="252.22"/>
    <m/>
    <n v="432.62277336814327"/>
    <n v="251.13901983982558"/>
    <n v="0"/>
    <n v="426736.03700000001"/>
    <n v="252804.14152"/>
    <n v="0"/>
    <n v="433624.72771126393"/>
    <n v="251720.65780977462"/>
  </r>
  <r>
    <s v="Refaturamento - Regular"/>
    <x v="1"/>
    <x v="2"/>
    <x v="3"/>
    <x v="2"/>
    <x v="0"/>
    <x v="0"/>
    <x v="2"/>
    <x v="8"/>
    <n v="0"/>
    <n v="0"/>
    <n v="-1.4450000000000001"/>
    <n v="-1.4450000000000001"/>
    <n v="-1.4450000000000001"/>
    <n v="-1.4450000000000001"/>
    <n v="0"/>
    <x v="0"/>
    <n v="0"/>
    <n v="0"/>
    <n v="4"/>
    <n v="73"/>
    <n v="0"/>
    <n v="425.75"/>
    <n v="252.22"/>
    <m/>
    <n v="432.62277336814327"/>
    <n v="251.13901983982558"/>
    <n v="0"/>
    <n v="-615.20875000000001"/>
    <n v="-364.4579"/>
    <n v="0"/>
    <n v="-625.13990751696701"/>
    <n v="-362.89588366854798"/>
  </r>
  <r>
    <s v="Sistema de Compensação"/>
    <x v="1"/>
    <x v="2"/>
    <x v="3"/>
    <x v="2"/>
    <x v="0"/>
    <x v="0"/>
    <x v="2"/>
    <x v="8"/>
    <n v="0"/>
    <n v="0"/>
    <n v="26.238"/>
    <n v="26.238"/>
    <n v="26.238"/>
    <n v="26.238"/>
    <n v="480"/>
    <x v="0"/>
    <n v="0"/>
    <n v="0"/>
    <n v="4"/>
    <n v="73"/>
    <n v="0"/>
    <n v="425.75"/>
    <n v="252.22"/>
    <m/>
    <n v="432.62277336814327"/>
    <n v="251.13901983982558"/>
    <n v="0"/>
    <n v="11170.8285"/>
    <n v="6617.7483599999996"/>
    <n v="0"/>
    <n v="11351.156327633344"/>
    <n v="6589.3856025573432"/>
  </r>
  <r>
    <s v="Regular"/>
    <x v="1"/>
    <x v="2"/>
    <x v="3"/>
    <x v="2"/>
    <x v="0"/>
    <x v="0"/>
    <x v="2"/>
    <x v="9"/>
    <n v="0"/>
    <n v="0"/>
    <n v="1114.566"/>
    <n v="1114.566"/>
    <n v="1114.566"/>
    <n v="1114.566"/>
    <n v="8243"/>
    <x v="0"/>
    <n v="0"/>
    <n v="0"/>
    <n v="4"/>
    <n v="73"/>
    <n v="0"/>
    <n v="425.75"/>
    <n v="252.22"/>
    <m/>
    <n v="432.62277336814327"/>
    <n v="251.13901983982558"/>
    <n v="0"/>
    <n v="474526.47450000001"/>
    <n v="281115.83652000001"/>
    <n v="0"/>
    <n v="482186.63402183796"/>
    <n v="279911.01278679504"/>
  </r>
  <r>
    <s v="Refaturamento - Regular"/>
    <x v="1"/>
    <x v="2"/>
    <x v="3"/>
    <x v="2"/>
    <x v="0"/>
    <x v="0"/>
    <x v="2"/>
    <x v="9"/>
    <n v="0"/>
    <n v="0"/>
    <n v="-0.51500000000000001"/>
    <n v="-0.51500000000000001"/>
    <n v="-0.51500000000000001"/>
    <n v="-0.51500000000000001"/>
    <n v="0"/>
    <x v="0"/>
    <n v="0"/>
    <n v="0"/>
    <n v="4"/>
    <n v="73"/>
    <n v="0"/>
    <n v="425.75"/>
    <n v="252.22"/>
    <m/>
    <n v="432.62277336814327"/>
    <n v="251.13901983982558"/>
    <n v="0"/>
    <n v="-219.26125000000002"/>
    <n v="-129.89330000000001"/>
    <n v="0"/>
    <n v="-222.80072828459379"/>
    <n v="-129.33659521751017"/>
  </r>
  <r>
    <s v="Sistema de Compensação"/>
    <x v="1"/>
    <x v="2"/>
    <x v="3"/>
    <x v="2"/>
    <x v="0"/>
    <x v="0"/>
    <x v="2"/>
    <x v="9"/>
    <n v="0"/>
    <n v="0"/>
    <n v="25.38"/>
    <n v="25.38"/>
    <n v="25.38"/>
    <n v="25.38"/>
    <n v="496"/>
    <x v="0"/>
    <n v="0"/>
    <n v="0"/>
    <n v="4"/>
    <n v="73"/>
    <n v="0"/>
    <n v="425.75"/>
    <n v="252.22"/>
    <m/>
    <n v="432.62277336814327"/>
    <n v="251.13901983982558"/>
    <n v="0"/>
    <n v="10805.535"/>
    <n v="6401.3436000000002"/>
    <n v="0"/>
    <n v="10979.965988083475"/>
    <n v="6373.9083235347725"/>
  </r>
  <r>
    <s v="Regular"/>
    <x v="1"/>
    <x v="2"/>
    <x v="3"/>
    <x v="2"/>
    <x v="0"/>
    <x v="0"/>
    <x v="2"/>
    <x v="10"/>
    <n v="0"/>
    <n v="0"/>
    <n v="1113.55"/>
    <n v="1113.55"/>
    <n v="1113.55"/>
    <n v="1113.55"/>
    <n v="8224"/>
    <x v="0"/>
    <n v="0"/>
    <n v="0"/>
    <n v="4"/>
    <n v="73"/>
    <n v="0"/>
    <n v="425.75"/>
    <n v="252.22"/>
    <m/>
    <n v="432.62277336814327"/>
    <n v="251.13901983982558"/>
    <n v="0"/>
    <n v="474093.91249999998"/>
    <n v="280859.58100000001"/>
    <n v="0"/>
    <n v="481747.08928409591"/>
    <n v="279655.85554263776"/>
  </r>
  <r>
    <s v="Refaturamento - Regular"/>
    <x v="1"/>
    <x v="2"/>
    <x v="3"/>
    <x v="2"/>
    <x v="0"/>
    <x v="0"/>
    <x v="2"/>
    <x v="10"/>
    <n v="0"/>
    <n v="0"/>
    <n v="-4.1000000000000002E-2"/>
    <n v="-4.1000000000000002E-2"/>
    <n v="-4.1000000000000002E-2"/>
    <n v="-4.1000000000000002E-2"/>
    <n v="0"/>
    <x v="0"/>
    <n v="0"/>
    <n v="0"/>
    <n v="4"/>
    <n v="73"/>
    <n v="0"/>
    <n v="425.75"/>
    <n v="252.22"/>
    <m/>
    <n v="432.62277336814327"/>
    <n v="251.13901983982558"/>
    <n v="0"/>
    <n v="-17.455750000000002"/>
    <n v="-10.34102"/>
    <n v="0"/>
    <n v="-17.737533708093874"/>
    <n v="-10.296699813432848"/>
  </r>
  <r>
    <s v="Sistema de Compensação"/>
    <x v="1"/>
    <x v="2"/>
    <x v="3"/>
    <x v="2"/>
    <x v="0"/>
    <x v="0"/>
    <x v="2"/>
    <x v="10"/>
    <n v="0"/>
    <n v="0"/>
    <n v="28.027000000000001"/>
    <n v="28.027000000000001"/>
    <n v="28.027000000000001"/>
    <n v="28.027000000000001"/>
    <n v="505"/>
    <x v="0"/>
    <n v="0"/>
    <n v="0"/>
    <n v="4"/>
    <n v="73"/>
    <n v="0"/>
    <n v="425.75"/>
    <n v="252.22"/>
    <m/>
    <n v="432.62277336814327"/>
    <n v="251.13901983982558"/>
    <n v="0"/>
    <n v="11932.49525"/>
    <n v="7068.96994"/>
    <n v="0"/>
    <n v="12125.118469188952"/>
    <n v="7038.6733090507914"/>
  </r>
  <r>
    <s v="Regular"/>
    <x v="1"/>
    <x v="2"/>
    <x v="3"/>
    <x v="2"/>
    <x v="0"/>
    <x v="0"/>
    <x v="2"/>
    <x v="11"/>
    <n v="0"/>
    <n v="0"/>
    <n v="1398.951"/>
    <n v="1398.951"/>
    <n v="1398.951"/>
    <n v="1398.951"/>
    <n v="8229"/>
    <x v="0"/>
    <n v="0"/>
    <n v="0"/>
    <n v="4"/>
    <n v="73"/>
    <n v="0"/>
    <n v="425.75"/>
    <n v="252.22"/>
    <m/>
    <n v="432.62277336814327"/>
    <n v="251.13901983982558"/>
    <n v="0"/>
    <n v="595603.38824999996"/>
    <n v="352843.42122000002"/>
    <n v="0"/>
    <n v="605218.06142613746"/>
    <n v="351331.18294394383"/>
  </r>
  <r>
    <s v="Refaturamento - Regular"/>
    <x v="1"/>
    <x v="2"/>
    <x v="3"/>
    <x v="2"/>
    <x v="0"/>
    <x v="0"/>
    <x v="2"/>
    <x v="11"/>
    <n v="0"/>
    <n v="0"/>
    <n v="0.05"/>
    <n v="0.05"/>
    <n v="0.05"/>
    <n v="0.05"/>
    <n v="0"/>
    <x v="0"/>
    <n v="0"/>
    <n v="0"/>
    <n v="4"/>
    <n v="73"/>
    <n v="0"/>
    <n v="425.75"/>
    <n v="252.22"/>
    <m/>
    <n v="432.62277336814327"/>
    <n v="251.13901983982558"/>
    <n v="0"/>
    <n v="21.287500000000001"/>
    <n v="12.611000000000001"/>
    <n v="0"/>
    <n v="21.631138668407164"/>
    <n v="12.556950991991279"/>
  </r>
  <r>
    <s v="Sistema de Compensação"/>
    <x v="1"/>
    <x v="2"/>
    <x v="3"/>
    <x v="2"/>
    <x v="0"/>
    <x v="0"/>
    <x v="2"/>
    <x v="11"/>
    <n v="0"/>
    <n v="0"/>
    <n v="39.793999999999997"/>
    <n v="39.793999999999997"/>
    <n v="39.793999999999997"/>
    <n v="39.793999999999997"/>
    <n v="506"/>
    <x v="0"/>
    <n v="0"/>
    <n v="0"/>
    <n v="4"/>
    <n v="73"/>
    <n v="0"/>
    <n v="425.75"/>
    <n v="252.22"/>
    <m/>
    <n v="432.62277336814327"/>
    <n v="251.13901983982558"/>
    <n v="0"/>
    <n v="16942.2955"/>
    <n v="10036.84268"/>
    <n v="0"/>
    <n v="17215.790643411892"/>
    <n v="9993.826155506018"/>
  </r>
  <r>
    <s v="Regular"/>
    <x v="1"/>
    <x v="2"/>
    <x v="3"/>
    <x v="2"/>
    <x v="0"/>
    <x v="0"/>
    <x v="2"/>
    <x v="1"/>
    <n v="0"/>
    <n v="0"/>
    <n v="1460.9549999999999"/>
    <n v="1460.9549999999999"/>
    <n v="1460.9549999999999"/>
    <n v="1460.9549999999999"/>
    <n v="8201"/>
    <x v="0"/>
    <n v="0"/>
    <n v="0"/>
    <n v="4"/>
    <n v="73"/>
    <n v="0"/>
    <n v="425.75"/>
    <n v="252.22"/>
    <m/>
    <n v="432.62277336814327"/>
    <n v="251.13901983982558"/>
    <n v="0"/>
    <n v="622001.59124999994"/>
    <n v="368482.07009999995"/>
    <n v="0"/>
    <n v="632042.40386605577"/>
    <n v="366902.80673009239"/>
  </r>
  <r>
    <s v="Sistema de Compensação"/>
    <x v="1"/>
    <x v="2"/>
    <x v="3"/>
    <x v="2"/>
    <x v="0"/>
    <x v="0"/>
    <x v="2"/>
    <x v="1"/>
    <n v="0"/>
    <n v="0"/>
    <n v="45.277999999999999"/>
    <n v="45.277999999999999"/>
    <n v="45.277999999999999"/>
    <n v="45.277999999999999"/>
    <n v="506"/>
    <x v="0"/>
    <n v="0"/>
    <n v="0"/>
    <n v="4"/>
    <n v="73"/>
    <n v="0"/>
    <n v="425.75"/>
    <n v="252.22"/>
    <m/>
    <n v="432.62277336814327"/>
    <n v="251.13901983982558"/>
    <n v="0"/>
    <n v="19277.108499999998"/>
    <n v="11420.017159999999"/>
    <n v="0"/>
    <n v="19588.293932562792"/>
    <n v="11371.072540307623"/>
  </r>
  <r>
    <s v="Regular"/>
    <x v="1"/>
    <x v="2"/>
    <x v="3"/>
    <x v="2"/>
    <x v="0"/>
    <x v="0"/>
    <x v="2"/>
    <x v="2"/>
    <n v="0"/>
    <n v="0"/>
    <n v="1295.683"/>
    <n v="1295.683"/>
    <n v="1295.683"/>
    <n v="1295.683"/>
    <n v="8202"/>
    <x v="0"/>
    <n v="0"/>
    <n v="0"/>
    <n v="4"/>
    <n v="73"/>
    <n v="0"/>
    <n v="425.75"/>
    <n v="252.22"/>
    <m/>
    <n v="432.62277336814327"/>
    <n v="251.13901983982558"/>
    <n v="0"/>
    <n v="551637.03725000005"/>
    <n v="326797.16625999997"/>
    <n v="0"/>
    <n v="560541.97286595602"/>
    <n v="325396.55864312471"/>
  </r>
  <r>
    <s v="Refaturamento - Regular"/>
    <x v="1"/>
    <x v="2"/>
    <x v="3"/>
    <x v="2"/>
    <x v="0"/>
    <x v="0"/>
    <x v="2"/>
    <x v="2"/>
    <n v="0"/>
    <n v="0"/>
    <n v="-2.258"/>
    <n v="-2.258"/>
    <n v="-2.258"/>
    <n v="-2.258"/>
    <n v="0"/>
    <x v="0"/>
    <n v="0"/>
    <n v="0"/>
    <n v="4"/>
    <n v="73"/>
    <n v="0"/>
    <n v="425.75"/>
    <n v="252.22"/>
    <m/>
    <n v="432.62277336814327"/>
    <n v="251.13901983982558"/>
    <n v="0"/>
    <n v="-961.34349999999995"/>
    <n v="-569.51275999999996"/>
    <n v="0"/>
    <n v="-976.86222226526752"/>
    <n v="-567.07190679832615"/>
  </r>
  <r>
    <s v="Sistema de Compensação"/>
    <x v="1"/>
    <x v="2"/>
    <x v="3"/>
    <x v="2"/>
    <x v="0"/>
    <x v="0"/>
    <x v="2"/>
    <x v="2"/>
    <n v="0"/>
    <n v="0"/>
    <n v="41.749000000000002"/>
    <n v="41.749000000000002"/>
    <n v="41.749000000000002"/>
    <n v="41.749000000000002"/>
    <n v="517"/>
    <x v="0"/>
    <n v="0"/>
    <n v="0"/>
    <n v="4"/>
    <n v="73"/>
    <n v="0"/>
    <n v="425.75"/>
    <n v="252.22"/>
    <m/>
    <n v="432.62277336814327"/>
    <n v="251.13901983982558"/>
    <n v="0"/>
    <n v="17774.636750000001"/>
    <n v="10529.932780000001"/>
    <n v="0"/>
    <n v="18061.568165346613"/>
    <n v="10484.802939292878"/>
  </r>
  <r>
    <s v="Regular"/>
    <x v="1"/>
    <x v="2"/>
    <x v="3"/>
    <x v="2"/>
    <x v="0"/>
    <x v="0"/>
    <x v="2"/>
    <x v="3"/>
    <n v="0"/>
    <n v="0"/>
    <n v="1039.5609999999999"/>
    <n v="1039.5609999999999"/>
    <n v="1039.5609999999999"/>
    <n v="1039.5609999999999"/>
    <n v="7752"/>
    <x v="0"/>
    <n v="0"/>
    <n v="0"/>
    <n v="4"/>
    <n v="73"/>
    <n v="0"/>
    <n v="425.75"/>
    <n v="252.22"/>
    <m/>
    <n v="432.62277336814327"/>
    <n v="251.13901983982558"/>
    <n v="0"/>
    <n v="442593.09574999998"/>
    <n v="262198.07541999995"/>
    <n v="0"/>
    <n v="449737.76290536037"/>
    <n v="261074.33060370889"/>
  </r>
  <r>
    <s v="Refaturamento - Regular"/>
    <x v="1"/>
    <x v="2"/>
    <x v="3"/>
    <x v="2"/>
    <x v="0"/>
    <x v="0"/>
    <x v="2"/>
    <x v="3"/>
    <n v="0"/>
    <n v="0"/>
    <n v="-3.226"/>
    <n v="-3.226"/>
    <n v="-3.226"/>
    <n v="-3.226"/>
    <n v="0"/>
    <x v="0"/>
    <n v="0"/>
    <n v="0"/>
    <n v="4"/>
    <n v="73"/>
    <n v="0"/>
    <n v="425.75"/>
    <n v="252.22"/>
    <m/>
    <n v="432.62277336814327"/>
    <n v="251.13901983982558"/>
    <n v="0"/>
    <n v="-1373.4694999999999"/>
    <n v="-813.66171999999995"/>
    <n v="0"/>
    <n v="-1395.6410668856302"/>
    <n v="-810.17447800327727"/>
  </r>
  <r>
    <s v="Sistema de Compensação"/>
    <x v="1"/>
    <x v="2"/>
    <x v="3"/>
    <x v="2"/>
    <x v="0"/>
    <x v="0"/>
    <x v="2"/>
    <x v="3"/>
    <n v="0"/>
    <n v="0"/>
    <n v="31.696000000000002"/>
    <n v="31.696000000000002"/>
    <n v="31.696000000000002"/>
    <n v="31.696000000000002"/>
    <n v="526"/>
    <x v="0"/>
    <n v="0"/>
    <n v="0"/>
    <n v="4"/>
    <n v="73"/>
    <n v="0"/>
    <n v="425.75"/>
    <n v="252.22"/>
    <m/>
    <n v="432.62277336814327"/>
    <n v="251.13901983982558"/>
    <n v="0"/>
    <n v="13494.572"/>
    <n v="7994.3651200000004"/>
    <n v="0"/>
    <n v="13712.411424676669"/>
    <n v="7960.1023728431119"/>
  </r>
  <r>
    <s v="Regular"/>
    <x v="1"/>
    <x v="2"/>
    <x v="3"/>
    <x v="2"/>
    <x v="0"/>
    <x v="0"/>
    <x v="2"/>
    <x v="4"/>
    <n v="0"/>
    <n v="0"/>
    <n v="979.10699999999997"/>
    <n v="979.10699999999997"/>
    <n v="979.10699999999997"/>
    <n v="979.10699999999997"/>
    <n v="7771"/>
    <x v="0"/>
    <n v="0"/>
    <n v="0"/>
    <n v="4"/>
    <n v="73"/>
    <n v="0"/>
    <n v="425.75"/>
    <n v="252.22"/>
    <m/>
    <n v="432.62277336814327"/>
    <n v="251.13901983982558"/>
    <n v="0"/>
    <n v="416854.80524999998"/>
    <n v="246950.36753999998"/>
    <n v="0"/>
    <n v="423583.98576416261"/>
    <n v="245891.97229831209"/>
  </r>
  <r>
    <s v="Refaturamento - Regular"/>
    <x v="1"/>
    <x v="2"/>
    <x v="3"/>
    <x v="2"/>
    <x v="0"/>
    <x v="0"/>
    <x v="2"/>
    <x v="4"/>
    <n v="0"/>
    <n v="0"/>
    <n v="-0.2"/>
    <n v="-0.2"/>
    <n v="-0.2"/>
    <n v="-0.2"/>
    <n v="0"/>
    <x v="0"/>
    <n v="0"/>
    <n v="0"/>
    <n v="4"/>
    <n v="73"/>
    <n v="0"/>
    <n v="425.75"/>
    <n v="252.22"/>
    <m/>
    <n v="432.62277336814327"/>
    <n v="251.13901983982558"/>
    <n v="0"/>
    <n v="-85.15"/>
    <n v="-50.444000000000003"/>
    <n v="0"/>
    <n v="-86.524554673628657"/>
    <n v="-50.227803967965116"/>
  </r>
  <r>
    <s v="Sistema de Compensação"/>
    <x v="1"/>
    <x v="2"/>
    <x v="3"/>
    <x v="2"/>
    <x v="0"/>
    <x v="0"/>
    <x v="2"/>
    <x v="4"/>
    <n v="0"/>
    <n v="0"/>
    <n v="38.625999999999998"/>
    <n v="38.625999999999998"/>
    <n v="38.625999999999998"/>
    <n v="38.625999999999998"/>
    <n v="517"/>
    <x v="0"/>
    <n v="0"/>
    <n v="0"/>
    <n v="4"/>
    <n v="73"/>
    <n v="0"/>
    <n v="425.75"/>
    <n v="252.22"/>
    <m/>
    <n v="432.62277336814327"/>
    <n v="251.13901983982558"/>
    <n v="0"/>
    <n v="16445.019499999999"/>
    <n v="9742.2497199999998"/>
    <n v="0"/>
    <n v="16710.4872441179"/>
    <n v="9700.4957803331017"/>
  </r>
  <r>
    <s v="Regular"/>
    <x v="1"/>
    <x v="2"/>
    <x v="3"/>
    <x v="2"/>
    <x v="0"/>
    <x v="0"/>
    <x v="2"/>
    <x v="0"/>
    <n v="0"/>
    <n v="0"/>
    <n v="943.17600000000004"/>
    <n v="943.17600000000004"/>
    <n v="943.17600000000004"/>
    <n v="943.17600000000004"/>
    <n v="7704"/>
    <x v="0"/>
    <n v="0"/>
    <n v="0"/>
    <n v="4"/>
    <n v="73"/>
    <n v="0"/>
    <n v="425.75"/>
    <n v="252.22"/>
    <m/>
    <n v="432.62277336814327"/>
    <n v="251.13901983982558"/>
    <n v="0"/>
    <n v="401557.18200000003"/>
    <n v="237887.85072000002"/>
    <n v="0"/>
    <n v="408039.41689427191"/>
    <n v="236868.29617644733"/>
  </r>
  <r>
    <s v="Sistema de Compensação"/>
    <x v="1"/>
    <x v="2"/>
    <x v="3"/>
    <x v="2"/>
    <x v="0"/>
    <x v="0"/>
    <x v="2"/>
    <x v="0"/>
    <n v="0"/>
    <n v="0"/>
    <n v="54.265999999999998"/>
    <n v="54.265999999999998"/>
    <n v="54.265999999999998"/>
    <n v="54.265999999999998"/>
    <n v="532"/>
    <x v="0"/>
    <n v="0"/>
    <n v="0"/>
    <n v="4"/>
    <n v="73"/>
    <n v="0"/>
    <n v="425.75"/>
    <n v="252.22"/>
    <m/>
    <n v="432.62277336814327"/>
    <n v="251.13901983982558"/>
    <n v="0"/>
    <n v="23103.749499999998"/>
    <n v="13686.970519999999"/>
    <n v="0"/>
    <n v="23476.707419595663"/>
    <n v="13628.310050627975"/>
  </r>
  <r>
    <s v="Sistema de Compensação"/>
    <x v="1"/>
    <x v="2"/>
    <x v="3"/>
    <x v="2"/>
    <x v="0"/>
    <x v="0"/>
    <x v="2"/>
    <x v="0"/>
    <n v="0"/>
    <n v="0"/>
    <n v="-0.34799999999999998"/>
    <n v="-0.34799999999999998"/>
    <n v="-0.34799999999999998"/>
    <n v="-0.34799999999999998"/>
    <n v="2"/>
    <x v="0"/>
    <n v="0"/>
    <n v="0"/>
    <n v="4"/>
    <n v="73"/>
    <n v="0"/>
    <n v="425.75"/>
    <n v="252.22"/>
    <m/>
    <n v="432.62277336814327"/>
    <n v="251.13901983982558"/>
    <n v="0"/>
    <n v="-148.161"/>
    <n v="-87.772559999999999"/>
    <n v="0"/>
    <n v="-150.55272513211384"/>
    <n v="-87.396378904259294"/>
  </r>
  <r>
    <s v="Regular"/>
    <x v="1"/>
    <x v="2"/>
    <x v="3"/>
    <x v="3"/>
    <x v="0"/>
    <x v="0"/>
    <x v="2"/>
    <x v="5"/>
    <n v="0"/>
    <n v="0"/>
    <n v="8.0399999999999991"/>
    <n v="8.0399999999999991"/>
    <n v="8.0399999999999991"/>
    <n v="8.0399999999999991"/>
    <n v="28"/>
    <x v="0"/>
    <n v="0"/>
    <n v="0"/>
    <n v="12"/>
    <n v="77"/>
    <n v="0"/>
    <n v="124.73"/>
    <n v="88.28"/>
    <m/>
    <n v="115.93231301511172"/>
    <n v="87.898656943938946"/>
    <n v="0"/>
    <n v="1002.8291999999999"/>
    <n v="709.77119999999991"/>
    <n v="0"/>
    <n v="932.09579664149805"/>
    <n v="706.70520182926907"/>
  </r>
  <r>
    <s v="Sistema de Compensação"/>
    <x v="1"/>
    <x v="2"/>
    <x v="3"/>
    <x v="3"/>
    <x v="0"/>
    <x v="0"/>
    <x v="2"/>
    <x v="5"/>
    <n v="0"/>
    <n v="0"/>
    <n v="0.09"/>
    <n v="-8.5500000000000007E-2"/>
    <n v="0.09"/>
    <n v="-8.5500000000000007E-2"/>
    <n v="0"/>
    <x v="0"/>
    <n v="0"/>
    <n v="0"/>
    <n v="12"/>
    <n v="77"/>
    <n v="0"/>
    <n v="124.73"/>
    <n v="88.28"/>
    <m/>
    <n v="115.93231301511172"/>
    <n v="87.898656943938946"/>
    <n v="0"/>
    <n v="-10.664415000000002"/>
    <n v="-7.5479400000000005"/>
    <n v="0"/>
    <n v="-9.912212762792052"/>
    <n v="-7.5153351687067804"/>
  </r>
  <r>
    <s v="Regular"/>
    <x v="1"/>
    <x v="2"/>
    <x v="3"/>
    <x v="3"/>
    <x v="0"/>
    <x v="0"/>
    <x v="2"/>
    <x v="6"/>
    <n v="0"/>
    <n v="0"/>
    <n v="8.52"/>
    <n v="8.52"/>
    <n v="8.52"/>
    <n v="8.52"/>
    <n v="25"/>
    <x v="0"/>
    <n v="0"/>
    <n v="0"/>
    <n v="12"/>
    <n v="77"/>
    <n v="0"/>
    <n v="124.73"/>
    <n v="88.28"/>
    <m/>
    <n v="115.93231301511172"/>
    <n v="87.898656943938946"/>
    <n v="0"/>
    <n v="1062.6995999999999"/>
    <n v="752.14559999999994"/>
    <n v="0"/>
    <n v="987.74330688875182"/>
    <n v="748.89655716235973"/>
  </r>
  <r>
    <s v="Sistema de Compensação"/>
    <x v="1"/>
    <x v="2"/>
    <x v="3"/>
    <x v="3"/>
    <x v="0"/>
    <x v="0"/>
    <x v="2"/>
    <x v="6"/>
    <n v="0"/>
    <n v="0"/>
    <n v="7.5999999999999998E-2"/>
    <n v="-7.22E-2"/>
    <n v="7.5999999999999998E-2"/>
    <n v="-7.22E-2"/>
    <n v="0"/>
    <x v="0"/>
    <n v="0"/>
    <n v="0"/>
    <n v="12"/>
    <n v="77"/>
    <n v="0"/>
    <n v="124.73"/>
    <n v="88.28"/>
    <m/>
    <n v="115.93231301511172"/>
    <n v="87.898656943938946"/>
    <n v="0"/>
    <n v="-9.0055060000000005"/>
    <n v="-6.3738159999999997"/>
    <n v="0"/>
    <n v="-8.3703129996910661"/>
    <n v="-6.3462830313523915"/>
  </r>
  <r>
    <s v="Regular"/>
    <x v="1"/>
    <x v="2"/>
    <x v="3"/>
    <x v="3"/>
    <x v="0"/>
    <x v="0"/>
    <x v="2"/>
    <x v="7"/>
    <n v="0"/>
    <n v="0"/>
    <n v="8.5039999999999996"/>
    <n v="8.5039999999999996"/>
    <n v="8.5039999999999996"/>
    <n v="8.5039999999999996"/>
    <n v="24"/>
    <x v="0"/>
    <n v="0"/>
    <n v="0"/>
    <n v="12"/>
    <n v="77"/>
    <n v="0"/>
    <n v="124.73"/>
    <n v="88.28"/>
    <m/>
    <n v="115.93231301511172"/>
    <n v="87.898656943938946"/>
    <n v="0"/>
    <n v="1060.7039199999999"/>
    <n v="750.73311999999999"/>
    <n v="0"/>
    <n v="985.88838988050998"/>
    <n v="747.49017865125677"/>
  </r>
  <r>
    <s v="Sistema de Compensação"/>
    <x v="1"/>
    <x v="2"/>
    <x v="3"/>
    <x v="3"/>
    <x v="0"/>
    <x v="0"/>
    <x v="2"/>
    <x v="7"/>
    <n v="0"/>
    <n v="0"/>
    <n v="6.2E-2"/>
    <n v="-9.9199999999999997E-2"/>
    <n v="6.2E-2"/>
    <n v="-9.9199999999999997E-2"/>
    <n v="0"/>
    <x v="0"/>
    <n v="0"/>
    <n v="0"/>
    <n v="12"/>
    <n v="77"/>
    <n v="0"/>
    <n v="124.73"/>
    <n v="88.28"/>
    <m/>
    <n v="115.93231301511172"/>
    <n v="87.898656943938946"/>
    <n v="0"/>
    <n v="-12.373215999999999"/>
    <n v="-8.7573759999999989"/>
    <n v="0"/>
    <n v="-11.500485451099081"/>
    <n v="-8.7195467688387431"/>
  </r>
  <r>
    <s v="Regular"/>
    <x v="1"/>
    <x v="2"/>
    <x v="3"/>
    <x v="3"/>
    <x v="0"/>
    <x v="0"/>
    <x v="2"/>
    <x v="8"/>
    <n v="0"/>
    <n v="0"/>
    <n v="8.67"/>
    <n v="8.67"/>
    <n v="8.67"/>
    <n v="8.67"/>
    <n v="21"/>
    <x v="0"/>
    <n v="0"/>
    <n v="0"/>
    <n v="12"/>
    <n v="77"/>
    <n v="0"/>
    <n v="124.73"/>
    <n v="88.28"/>
    <m/>
    <n v="115.93231301511172"/>
    <n v="87.898656943938946"/>
    <n v="0"/>
    <n v="1081.4091000000001"/>
    <n v="765.38760000000002"/>
    <n v="0"/>
    <n v="1005.1331538410186"/>
    <n v="762.08135570395063"/>
  </r>
  <r>
    <s v="Sistema de Compensação"/>
    <x v="1"/>
    <x v="2"/>
    <x v="3"/>
    <x v="3"/>
    <x v="0"/>
    <x v="0"/>
    <x v="2"/>
    <x v="8"/>
    <n v="0"/>
    <n v="0"/>
    <n v="5.3999999999999999E-2"/>
    <n v="-8.6400000000000005E-2"/>
    <n v="5.3999999999999999E-2"/>
    <n v="-8.6400000000000005E-2"/>
    <n v="0"/>
    <x v="0"/>
    <n v="0"/>
    <n v="0"/>
    <n v="12"/>
    <n v="77"/>
    <n v="0"/>
    <n v="124.73"/>
    <n v="88.28"/>
    <m/>
    <n v="115.93231301511172"/>
    <n v="87.898656943938946"/>
    <n v="0"/>
    <n v="-10.776672000000001"/>
    <n v="-7.6273920000000004"/>
    <n v="0"/>
    <n v="-10.016551844505653"/>
    <n v="-7.5944439599563252"/>
  </r>
  <r>
    <s v="Regular"/>
    <x v="1"/>
    <x v="2"/>
    <x v="3"/>
    <x v="3"/>
    <x v="0"/>
    <x v="0"/>
    <x v="2"/>
    <x v="9"/>
    <n v="0"/>
    <n v="0"/>
    <n v="8.73"/>
    <n v="8.73"/>
    <n v="8.73"/>
    <n v="8.73"/>
    <n v="14"/>
    <x v="0"/>
    <n v="0"/>
    <n v="0"/>
    <n v="12"/>
    <n v="77"/>
    <n v="0"/>
    <n v="124.73"/>
    <n v="88.28"/>
    <m/>
    <n v="115.93231301511172"/>
    <n v="87.898656943938946"/>
    <n v="0"/>
    <n v="1088.8929000000001"/>
    <n v="770.6844000000001"/>
    <n v="0"/>
    <n v="1012.0890926219254"/>
    <n v="767.35527512058707"/>
  </r>
  <r>
    <s v="Sistema de Compensação"/>
    <x v="1"/>
    <x v="2"/>
    <x v="3"/>
    <x v="3"/>
    <x v="0"/>
    <x v="0"/>
    <x v="2"/>
    <x v="9"/>
    <n v="0"/>
    <n v="0"/>
    <n v="0.06"/>
    <n v="-9.6000000000000002E-2"/>
    <n v="0.06"/>
    <n v="-9.6000000000000002E-2"/>
    <n v="0"/>
    <x v="0"/>
    <n v="0"/>
    <n v="0"/>
    <n v="12"/>
    <n v="77"/>
    <n v="0"/>
    <n v="124.73"/>
    <n v="88.28"/>
    <m/>
    <n v="115.93231301511172"/>
    <n v="87.898656943938946"/>
    <n v="0"/>
    <n v="-11.974080000000001"/>
    <n v="-8.4748800000000006"/>
    <n v="0"/>
    <n v="-11.129502049450725"/>
    <n v="-8.4382710666181389"/>
  </r>
  <r>
    <s v="Regular"/>
    <x v="1"/>
    <x v="2"/>
    <x v="3"/>
    <x v="3"/>
    <x v="0"/>
    <x v="0"/>
    <x v="2"/>
    <x v="10"/>
    <n v="0"/>
    <n v="0"/>
    <n v="9.06"/>
    <n v="9.06"/>
    <n v="9.06"/>
    <n v="9.06"/>
    <n v="13"/>
    <x v="0"/>
    <n v="0"/>
    <n v="0"/>
    <n v="12"/>
    <n v="77"/>
    <n v="0"/>
    <n v="124.73"/>
    <n v="88.28"/>
    <m/>
    <n v="115.93231301511172"/>
    <n v="87.898656943938946"/>
    <n v="0"/>
    <n v="1130.0538000000001"/>
    <n v="799.81680000000006"/>
    <n v="0"/>
    <n v="1050.3467559169121"/>
    <n v="796.36183191208693"/>
  </r>
  <r>
    <s v="Sistema de Compensação"/>
    <x v="1"/>
    <x v="2"/>
    <x v="3"/>
    <x v="3"/>
    <x v="0"/>
    <x v="0"/>
    <x v="2"/>
    <x v="10"/>
    <n v="0"/>
    <n v="0"/>
    <n v="0.06"/>
    <n v="-5.7000000000000002E-2"/>
    <n v="0.06"/>
    <n v="-5.7000000000000002E-2"/>
    <n v="0"/>
    <x v="0"/>
    <n v="0"/>
    <n v="0"/>
    <n v="12"/>
    <n v="77"/>
    <n v="0"/>
    <n v="124.73"/>
    <n v="88.28"/>
    <m/>
    <n v="115.93231301511172"/>
    <n v="87.898656943938946"/>
    <n v="0"/>
    <n v="-7.1096100000000009"/>
    <n v="-5.0319600000000007"/>
    <n v="0"/>
    <n v="-6.608141841861368"/>
    <n v="-5.0102234458045203"/>
  </r>
  <r>
    <s v="Regular"/>
    <x v="1"/>
    <x v="2"/>
    <x v="3"/>
    <x v="3"/>
    <x v="0"/>
    <x v="0"/>
    <x v="2"/>
    <x v="11"/>
    <n v="0"/>
    <n v="0"/>
    <n v="9.2100000000000009"/>
    <n v="9.2100000000000009"/>
    <n v="9.2100000000000009"/>
    <n v="9.2100000000000009"/>
    <n v="14"/>
    <x v="0"/>
    <n v="0"/>
    <n v="0"/>
    <n v="12"/>
    <n v="77"/>
    <n v="0"/>
    <n v="124.73"/>
    <n v="88.28"/>
    <m/>
    <n v="115.93231301511172"/>
    <n v="87.898656943938946"/>
    <n v="0"/>
    <n v="1148.7633000000001"/>
    <n v="813.05880000000013"/>
    <n v="0"/>
    <n v="1067.736602869179"/>
    <n v="809.54663045367772"/>
  </r>
  <r>
    <s v="Sistema de Compensação"/>
    <x v="1"/>
    <x v="2"/>
    <x v="3"/>
    <x v="3"/>
    <x v="0"/>
    <x v="0"/>
    <x v="2"/>
    <x v="11"/>
    <n v="0"/>
    <n v="0"/>
    <n v="0.06"/>
    <n v="-5.7000000000000002E-2"/>
    <n v="0.06"/>
    <n v="-5.7000000000000002E-2"/>
    <n v="0"/>
    <x v="0"/>
    <n v="0"/>
    <n v="0"/>
    <n v="12"/>
    <n v="77"/>
    <n v="0"/>
    <n v="124.73"/>
    <n v="88.28"/>
    <m/>
    <n v="115.93231301511172"/>
    <n v="87.898656943938946"/>
    <n v="0"/>
    <n v="-7.1096100000000009"/>
    <n v="-5.0319600000000007"/>
    <n v="0"/>
    <n v="-6.608141841861368"/>
    <n v="-5.0102234458045203"/>
  </r>
  <r>
    <s v="Regular"/>
    <x v="1"/>
    <x v="2"/>
    <x v="3"/>
    <x v="3"/>
    <x v="0"/>
    <x v="0"/>
    <x v="2"/>
    <x v="1"/>
    <n v="0"/>
    <n v="0"/>
    <n v="9.33"/>
    <n v="9.33"/>
    <n v="9.33"/>
    <n v="9.33"/>
    <n v="8"/>
    <x v="0"/>
    <n v="0"/>
    <n v="0"/>
    <n v="12"/>
    <n v="77"/>
    <n v="0"/>
    <n v="124.73"/>
    <n v="88.28"/>
    <m/>
    <n v="115.93231301511172"/>
    <n v="87.898656943938946"/>
    <n v="0"/>
    <n v="1163.7309"/>
    <n v="823.65240000000006"/>
    <n v="0"/>
    <n v="1081.6484804309923"/>
    <n v="820.09446928695036"/>
  </r>
  <r>
    <s v="Sistema de Compensação"/>
    <x v="1"/>
    <x v="2"/>
    <x v="3"/>
    <x v="3"/>
    <x v="0"/>
    <x v="0"/>
    <x v="2"/>
    <x v="1"/>
    <n v="0"/>
    <n v="0"/>
    <n v="0.09"/>
    <n v="-8.5500000000000007E-2"/>
    <n v="0.09"/>
    <n v="-8.5500000000000007E-2"/>
    <n v="0"/>
    <x v="0"/>
    <n v="0"/>
    <n v="0"/>
    <n v="12"/>
    <n v="77"/>
    <n v="0"/>
    <n v="124.73"/>
    <n v="88.28"/>
    <m/>
    <n v="115.93231301511172"/>
    <n v="87.898656943938946"/>
    <n v="0"/>
    <n v="-10.664415000000002"/>
    <n v="-7.5479400000000005"/>
    <n v="0"/>
    <n v="-9.912212762792052"/>
    <n v="-7.5153351687067804"/>
  </r>
  <r>
    <s v="Regular"/>
    <x v="1"/>
    <x v="2"/>
    <x v="3"/>
    <x v="3"/>
    <x v="0"/>
    <x v="0"/>
    <x v="2"/>
    <x v="2"/>
    <n v="0"/>
    <n v="0"/>
    <n v="9.6300000000000008"/>
    <n v="9.6300000000000008"/>
    <n v="9.6300000000000008"/>
    <n v="9.6300000000000008"/>
    <n v="14"/>
    <x v="0"/>
    <n v="0"/>
    <n v="0"/>
    <n v="12"/>
    <n v="77"/>
    <n v="0"/>
    <n v="124.73"/>
    <n v="88.28"/>
    <m/>
    <n v="115.93231301511172"/>
    <n v="87.898656943938946"/>
    <n v="0"/>
    <n v="1201.1499000000001"/>
    <n v="850.13640000000009"/>
    <n v="0"/>
    <n v="1116.4281743355259"/>
    <n v="846.46406637013206"/>
  </r>
  <r>
    <s v="Sistema de Compensação"/>
    <x v="1"/>
    <x v="2"/>
    <x v="3"/>
    <x v="3"/>
    <x v="0"/>
    <x v="0"/>
    <x v="2"/>
    <x v="2"/>
    <n v="0"/>
    <n v="0"/>
    <n v="0.09"/>
    <n v="-0.14399999999999999"/>
    <n v="0.09"/>
    <n v="-0.14399999999999999"/>
    <n v="0"/>
    <x v="0"/>
    <n v="0"/>
    <n v="0"/>
    <n v="12"/>
    <n v="77"/>
    <n v="0"/>
    <n v="124.73"/>
    <n v="88.28"/>
    <m/>
    <n v="115.93231301511172"/>
    <n v="87.898656943938946"/>
    <n v="0"/>
    <n v="-17.961119999999998"/>
    <n v="-12.71232"/>
    <n v="0"/>
    <n v="-16.694253074176086"/>
    <n v="-12.657406599927207"/>
  </r>
  <r>
    <s v="Regular"/>
    <x v="1"/>
    <x v="2"/>
    <x v="3"/>
    <x v="3"/>
    <x v="0"/>
    <x v="0"/>
    <x v="2"/>
    <x v="3"/>
    <n v="0"/>
    <n v="0"/>
    <n v="22.948"/>
    <n v="22.948"/>
    <n v="22.948"/>
    <n v="22.948"/>
    <n v="68"/>
    <x v="0"/>
    <n v="0"/>
    <n v="0"/>
    <n v="12"/>
    <n v="77"/>
    <n v="0"/>
    <n v="124.73"/>
    <n v="88.28"/>
    <m/>
    <n v="115.93231301511172"/>
    <n v="87.898656943938946"/>
    <n v="0"/>
    <n v="2862.30404"/>
    <n v="2025.84944"/>
    <n v="0"/>
    <n v="2660.4147190707836"/>
    <n v="2017.098379549511"/>
  </r>
  <r>
    <s v="Sistema de Compensação"/>
    <x v="1"/>
    <x v="2"/>
    <x v="3"/>
    <x v="3"/>
    <x v="0"/>
    <x v="0"/>
    <x v="2"/>
    <x v="3"/>
    <n v="0"/>
    <n v="0"/>
    <n v="8.8999999999999996E-2"/>
    <n v="-0.54735"/>
    <n v="8.8999999999999996E-2"/>
    <n v="-0.54735"/>
    <n v="0"/>
    <x v="0"/>
    <n v="0"/>
    <n v="0"/>
    <n v="12"/>
    <n v="77"/>
    <n v="0"/>
    <n v="124.73"/>
    <n v="88.28"/>
    <m/>
    <n v="115.93231301511172"/>
    <n v="87.898656943938946"/>
    <n v="0"/>
    <n v="-68.270965500000003"/>
    <n v="-48.320058000000003"/>
    <n v="0"/>
    <n v="-63.455551528821395"/>
    <n v="-48.111329878264982"/>
  </r>
  <r>
    <s v="Regular"/>
    <x v="1"/>
    <x v="2"/>
    <x v="3"/>
    <x v="3"/>
    <x v="0"/>
    <x v="0"/>
    <x v="2"/>
    <x v="4"/>
    <n v="0"/>
    <n v="0"/>
    <n v="23.457000000000001"/>
    <n v="23.457000000000001"/>
    <n v="23.457000000000001"/>
    <n v="23.457000000000001"/>
    <n v="74"/>
    <x v="0"/>
    <n v="0"/>
    <n v="0"/>
    <n v="12"/>
    <n v="77"/>
    <n v="0"/>
    <n v="124.73"/>
    <n v="88.28"/>
    <m/>
    <n v="115.93231301511172"/>
    <n v="87.898656943938946"/>
    <n v="0"/>
    <n v="2925.7916100000002"/>
    <n v="2070.7839600000002"/>
    <n v="0"/>
    <n v="2719.4242663954756"/>
    <n v="2061.8387959339757"/>
  </r>
  <r>
    <s v="Sistema de Compensação"/>
    <x v="1"/>
    <x v="2"/>
    <x v="3"/>
    <x v="3"/>
    <x v="0"/>
    <x v="0"/>
    <x v="2"/>
    <x v="4"/>
    <n v="0"/>
    <n v="0"/>
    <n v="0.19900000000000001"/>
    <n v="-1.2238500000000001"/>
    <n v="0.19900000000000001"/>
    <n v="-1.2238500000000001"/>
    <n v="0"/>
    <x v="0"/>
    <n v="0"/>
    <n v="0"/>
    <n v="12"/>
    <n v="77"/>
    <n v="0"/>
    <n v="124.73"/>
    <n v="88.28"/>
    <m/>
    <n v="115.93231301511172"/>
    <n v="87.898656943938946"/>
    <n v="0"/>
    <n v="-152.65081050000001"/>
    <n v="-108.04147800000001"/>
    <n v="0"/>
    <n v="-141.88376128354449"/>
    <n v="-107.57477130083969"/>
  </r>
  <r>
    <s v="Regular"/>
    <x v="1"/>
    <x v="2"/>
    <x v="3"/>
    <x v="3"/>
    <x v="0"/>
    <x v="0"/>
    <x v="2"/>
    <x v="0"/>
    <n v="0"/>
    <n v="0"/>
    <n v="24.93"/>
    <n v="24.93"/>
    <n v="24.93"/>
    <n v="24.93"/>
    <n v="96"/>
    <x v="0"/>
    <n v="0"/>
    <n v="0"/>
    <n v="12"/>
    <n v="77"/>
    <n v="0"/>
    <n v="124.73"/>
    <n v="88.28"/>
    <m/>
    <n v="115.93231301511172"/>
    <n v="87.898656943938946"/>
    <n v="0"/>
    <n v="3109.5189"/>
    <n v="2200.8204000000001"/>
    <n v="0"/>
    <n v="2890.192563466735"/>
    <n v="2191.3135176123978"/>
  </r>
  <r>
    <s v="Sistema de Compensação"/>
    <x v="1"/>
    <x v="2"/>
    <x v="3"/>
    <x v="3"/>
    <x v="0"/>
    <x v="0"/>
    <x v="2"/>
    <x v="0"/>
    <n v="0"/>
    <n v="0"/>
    <n v="0.26300000000000001"/>
    <n v="-1.6174500000000001"/>
    <n v="0.26300000000000001"/>
    <n v="-1.6174500000000001"/>
    <n v="0"/>
    <x v="0"/>
    <n v="0"/>
    <n v="0"/>
    <n v="12"/>
    <n v="77"/>
    <n v="0"/>
    <n v="124.73"/>
    <n v="88.28"/>
    <m/>
    <n v="115.93231301511172"/>
    <n v="87.898656943938946"/>
    <n v="0"/>
    <n v="-201.7445385"/>
    <n v="-142.78848600000001"/>
    <n v="0"/>
    <n v="-187.51471968629247"/>
    <n v="-142.17168267397406"/>
  </r>
  <r>
    <s v="Regular"/>
    <x v="1"/>
    <x v="2"/>
    <x v="3"/>
    <x v="4"/>
    <x v="0"/>
    <x v="0"/>
    <x v="2"/>
    <x v="5"/>
    <n v="0"/>
    <n v="0"/>
    <n v="13.337999999999999"/>
    <n v="13.337999999999999"/>
    <n v="13.337999999999999"/>
    <n v="13.337999999999999"/>
    <n v="110"/>
    <x v="0"/>
    <n v="0"/>
    <n v="0"/>
    <n v="55"/>
    <n v="50"/>
    <n v="0"/>
    <n v="213.82"/>
    <n v="151.33000000000001"/>
    <m/>
    <n v="198.74110802590579"/>
    <n v="150.68341190389535"/>
    <n v="0"/>
    <n v="2851.9311599999996"/>
    <n v="2018.4395400000001"/>
    <n v="0"/>
    <n v="2650.808898849531"/>
    <n v="2009.8153479741561"/>
  </r>
  <r>
    <s v="Sistema de Compensação"/>
    <x v="1"/>
    <x v="2"/>
    <x v="3"/>
    <x v="4"/>
    <x v="0"/>
    <x v="0"/>
    <x v="2"/>
    <x v="5"/>
    <n v="0"/>
    <n v="0"/>
    <n v="4.2999999999999997E-2"/>
    <n v="-8.6E-3"/>
    <n v="4.2999999999999997E-2"/>
    <n v="-8.6E-3"/>
    <n v="0"/>
    <x v="0"/>
    <n v="0"/>
    <n v="0"/>
    <n v="55"/>
    <n v="50"/>
    <n v="0"/>
    <n v="213.82"/>
    <n v="151.33000000000001"/>
    <m/>
    <n v="198.74110802590579"/>
    <n v="150.68341190389535"/>
    <n v="0"/>
    <n v="-1.8388519999999999"/>
    <n v="-1.3014380000000001"/>
    <n v="0"/>
    <n v="-1.7091735290227899"/>
    <n v="-1.2958773423734999"/>
  </r>
  <r>
    <s v="Regular"/>
    <x v="1"/>
    <x v="2"/>
    <x v="3"/>
    <x v="4"/>
    <x v="0"/>
    <x v="0"/>
    <x v="2"/>
    <x v="6"/>
    <n v="0"/>
    <n v="0"/>
    <n v="14.515000000000001"/>
    <n v="14.515000000000001"/>
    <n v="14.515000000000001"/>
    <n v="14.515000000000001"/>
    <n v="113"/>
    <x v="0"/>
    <n v="0"/>
    <n v="0"/>
    <n v="55"/>
    <n v="50"/>
    <n v="0"/>
    <n v="213.82"/>
    <n v="151.33000000000001"/>
    <m/>
    <n v="198.74110802590579"/>
    <n v="150.68341190389535"/>
    <n v="0"/>
    <n v="3103.5972999999999"/>
    <n v="2196.5549500000002"/>
    <n v="0"/>
    <n v="2884.7271829960227"/>
    <n v="2187.1697237850412"/>
  </r>
  <r>
    <s v="Regular"/>
    <x v="1"/>
    <x v="2"/>
    <x v="3"/>
    <x v="4"/>
    <x v="0"/>
    <x v="0"/>
    <x v="2"/>
    <x v="7"/>
    <n v="0"/>
    <n v="0"/>
    <n v="15.045"/>
    <n v="15.045"/>
    <n v="15.045"/>
    <n v="15.045"/>
    <n v="102"/>
    <x v="0"/>
    <n v="0"/>
    <n v="0"/>
    <n v="55"/>
    <n v="50"/>
    <n v="0"/>
    <n v="213.82"/>
    <n v="151.33000000000001"/>
    <m/>
    <n v="198.74110802590579"/>
    <n v="150.68341190389535"/>
    <n v="0"/>
    <n v="3216.9218999999998"/>
    <n v="2276.7598500000004"/>
    <n v="0"/>
    <n v="2990.0599702497525"/>
    <n v="2267.0319320941053"/>
  </r>
  <r>
    <s v="Sistema de Compensação"/>
    <x v="1"/>
    <x v="2"/>
    <x v="3"/>
    <x v="4"/>
    <x v="0"/>
    <x v="0"/>
    <x v="2"/>
    <x v="7"/>
    <n v="0"/>
    <n v="0"/>
    <n v="1.0999999999999999E-2"/>
    <n v="-6.6E-3"/>
    <n v="1.0999999999999999E-2"/>
    <n v="-6.6E-3"/>
    <n v="0"/>
    <x v="0"/>
    <n v="0"/>
    <n v="0"/>
    <n v="55"/>
    <n v="50"/>
    <n v="0"/>
    <n v="213.82"/>
    <n v="151.33000000000001"/>
    <m/>
    <n v="198.74110802590579"/>
    <n v="150.68341190389535"/>
    <n v="0"/>
    <n v="-1.4112119999999999"/>
    <n v="-0.99877800000000005"/>
    <n v="0"/>
    <n v="-1.3116913129709782"/>
    <n v="-0.99451051856570927"/>
  </r>
  <r>
    <s v="Regular"/>
    <x v="1"/>
    <x v="2"/>
    <x v="3"/>
    <x v="4"/>
    <x v="0"/>
    <x v="0"/>
    <x v="2"/>
    <x v="8"/>
    <n v="0"/>
    <n v="0"/>
    <n v="15.439"/>
    <n v="15.439"/>
    <n v="15.439"/>
    <n v="15.439"/>
    <n v="108"/>
    <x v="0"/>
    <n v="0"/>
    <n v="0"/>
    <n v="55"/>
    <n v="50"/>
    <n v="0"/>
    <n v="213.82"/>
    <n v="151.33000000000001"/>
    <m/>
    <n v="198.74110802590579"/>
    <n v="150.68341190389535"/>
    <n v="0"/>
    <n v="3301.16698"/>
    <n v="2336.3838700000001"/>
    <n v="0"/>
    <n v="3068.3639668119595"/>
    <n v="2326.4011963842404"/>
  </r>
  <r>
    <s v="Regular"/>
    <x v="1"/>
    <x v="2"/>
    <x v="3"/>
    <x v="4"/>
    <x v="0"/>
    <x v="0"/>
    <x v="2"/>
    <x v="9"/>
    <n v="0"/>
    <n v="0"/>
    <n v="16.474"/>
    <n v="16.474"/>
    <n v="16.474"/>
    <n v="16.474"/>
    <n v="97"/>
    <x v="0"/>
    <n v="0"/>
    <n v="0"/>
    <n v="55"/>
    <n v="50"/>
    <n v="0"/>
    <n v="213.82"/>
    <n v="151.33000000000001"/>
    <m/>
    <n v="198.74110802590579"/>
    <n v="150.68341190389535"/>
    <n v="0"/>
    <n v="3522.4706799999999"/>
    <n v="2493.0104200000001"/>
    <n v="0"/>
    <n v="3274.061013618772"/>
    <n v="2482.3585277047719"/>
  </r>
  <r>
    <s v="Sistema de Compensação"/>
    <x v="1"/>
    <x v="2"/>
    <x v="3"/>
    <x v="4"/>
    <x v="0"/>
    <x v="0"/>
    <x v="2"/>
    <x v="9"/>
    <n v="0"/>
    <n v="0"/>
    <n v="1.2E-2"/>
    <n v="-7.1999999999999998E-3"/>
    <n v="1.2E-2"/>
    <n v="-7.1999999999999998E-3"/>
    <n v="0"/>
    <x v="0"/>
    <n v="0"/>
    <n v="0"/>
    <n v="55"/>
    <n v="50"/>
    <n v="0"/>
    <n v="213.82"/>
    <n v="151.33000000000001"/>
    <m/>
    <n v="198.74110802590579"/>
    <n v="150.68341190389535"/>
    <n v="0"/>
    <n v="-1.539504"/>
    <n v="-1.0895760000000001"/>
    <n v="0"/>
    <n v="-1.4309359777865216"/>
    <n v="-1.0849205657080465"/>
  </r>
  <r>
    <s v="Regular"/>
    <x v="1"/>
    <x v="2"/>
    <x v="3"/>
    <x v="4"/>
    <x v="0"/>
    <x v="0"/>
    <x v="2"/>
    <x v="10"/>
    <n v="0"/>
    <n v="0"/>
    <n v="17.369"/>
    <n v="17.369"/>
    <n v="17.369"/>
    <n v="17.369"/>
    <n v="100"/>
    <x v="0"/>
    <n v="0"/>
    <n v="0"/>
    <n v="55"/>
    <n v="50"/>
    <n v="0"/>
    <n v="213.82"/>
    <n v="151.33000000000001"/>
    <m/>
    <n v="198.74110802590579"/>
    <n v="150.68341190389535"/>
    <n v="0"/>
    <n v="3713.8395799999998"/>
    <n v="2628.4507700000004"/>
    <n v="0"/>
    <n v="3451.9343053019575"/>
    <n v="2617.2201813587581"/>
  </r>
  <r>
    <s v="Sistema de Compensação"/>
    <x v="1"/>
    <x v="2"/>
    <x v="3"/>
    <x v="4"/>
    <x v="0"/>
    <x v="0"/>
    <x v="2"/>
    <x v="10"/>
    <n v="0"/>
    <n v="0"/>
    <n v="0.14000000000000001"/>
    <n v="-2.8000000000000001E-2"/>
    <n v="0.14000000000000001"/>
    <n v="-2.8000000000000001E-2"/>
    <n v="0"/>
    <x v="0"/>
    <n v="0"/>
    <n v="0"/>
    <n v="55"/>
    <n v="50"/>
    <n v="0"/>
    <n v="213.82"/>
    <n v="151.33000000000001"/>
    <m/>
    <n v="198.74110802590579"/>
    <n v="150.68341190389535"/>
    <n v="0"/>
    <n v="-5.9869599999999998"/>
    <n v="-4.2372400000000008"/>
    <n v="0"/>
    <n v="-5.5647510247253624"/>
    <n v="-4.2191355333090694"/>
  </r>
  <r>
    <s v="Regular"/>
    <x v="1"/>
    <x v="2"/>
    <x v="3"/>
    <x v="4"/>
    <x v="0"/>
    <x v="0"/>
    <x v="2"/>
    <x v="11"/>
    <n v="0"/>
    <n v="0"/>
    <n v="18.405999999999999"/>
    <n v="18.405999999999999"/>
    <n v="18.405999999999999"/>
    <n v="18.405999999999999"/>
    <n v="75"/>
    <x v="0"/>
    <n v="0"/>
    <n v="0"/>
    <n v="55"/>
    <n v="50"/>
    <n v="0"/>
    <n v="213.82"/>
    <n v="151.33000000000001"/>
    <m/>
    <n v="198.74110802590579"/>
    <n v="150.68341190389535"/>
    <n v="0"/>
    <n v="3935.5709199999997"/>
    <n v="2785.3799800000002"/>
    <n v="0"/>
    <n v="3658.0288343248217"/>
    <n v="2773.4788795030977"/>
  </r>
  <r>
    <s v="Sistema de Compensação"/>
    <x v="1"/>
    <x v="2"/>
    <x v="3"/>
    <x v="4"/>
    <x v="0"/>
    <x v="0"/>
    <x v="2"/>
    <x v="11"/>
    <n v="0"/>
    <n v="0"/>
    <n v="0.14000000000000001"/>
    <n v="-2.8000000000000001E-2"/>
    <n v="0.14000000000000001"/>
    <n v="-2.8000000000000001E-2"/>
    <n v="0"/>
    <x v="0"/>
    <n v="0"/>
    <n v="0"/>
    <n v="55"/>
    <n v="50"/>
    <n v="0"/>
    <n v="213.82"/>
    <n v="151.33000000000001"/>
    <m/>
    <n v="198.74110802590579"/>
    <n v="150.68341190389535"/>
    <n v="0"/>
    <n v="-5.9869599999999998"/>
    <n v="-4.2372400000000008"/>
    <n v="0"/>
    <n v="-5.5647510247253624"/>
    <n v="-4.2191355333090694"/>
  </r>
  <r>
    <s v="Regular"/>
    <x v="1"/>
    <x v="2"/>
    <x v="3"/>
    <x v="4"/>
    <x v="0"/>
    <x v="0"/>
    <x v="2"/>
    <x v="1"/>
    <n v="0"/>
    <n v="0"/>
    <n v="18.997"/>
    <n v="18.997"/>
    <n v="18.997"/>
    <n v="18.997"/>
    <n v="70"/>
    <x v="0"/>
    <n v="0"/>
    <n v="0"/>
    <n v="55"/>
    <n v="50"/>
    <n v="0"/>
    <n v="213.82"/>
    <n v="151.33000000000001"/>
    <m/>
    <n v="198.74110802590579"/>
    <n v="150.68341190389535"/>
    <n v="0"/>
    <n v="4061.9385399999996"/>
    <n v="2874.81601"/>
    <n v="0"/>
    <n v="3775.4848291681324"/>
    <n v="2862.5327759382999"/>
  </r>
  <r>
    <s v="Sistema de Compensação"/>
    <x v="1"/>
    <x v="2"/>
    <x v="3"/>
    <x v="4"/>
    <x v="0"/>
    <x v="0"/>
    <x v="2"/>
    <x v="1"/>
    <n v="0"/>
    <n v="0"/>
    <n v="0.14000000000000001"/>
    <n v="-2.8000000000000001E-2"/>
    <n v="0.14000000000000001"/>
    <n v="-2.8000000000000001E-2"/>
    <n v="0"/>
    <x v="0"/>
    <n v="0"/>
    <n v="0"/>
    <n v="55"/>
    <n v="50"/>
    <n v="0"/>
    <n v="213.82"/>
    <n v="151.33000000000001"/>
    <m/>
    <n v="198.74110802590579"/>
    <n v="150.68341190389535"/>
    <n v="0"/>
    <n v="-5.9869599999999998"/>
    <n v="-4.2372400000000008"/>
    <n v="0"/>
    <n v="-5.5647510247253624"/>
    <n v="-4.2191355333090694"/>
  </r>
  <r>
    <s v="Regular"/>
    <x v="1"/>
    <x v="2"/>
    <x v="3"/>
    <x v="4"/>
    <x v="0"/>
    <x v="0"/>
    <x v="2"/>
    <x v="2"/>
    <n v="0"/>
    <n v="0"/>
    <n v="19.401"/>
    <n v="19.401"/>
    <n v="19.401"/>
    <n v="19.401"/>
    <n v="73"/>
    <x v="0"/>
    <n v="0"/>
    <n v="0"/>
    <n v="55"/>
    <n v="50"/>
    <n v="0"/>
    <n v="213.82"/>
    <n v="151.33000000000001"/>
    <m/>
    <n v="198.74110802590579"/>
    <n v="150.68341190389535"/>
    <n v="0"/>
    <n v="4148.3218200000001"/>
    <n v="2935.9533300000003"/>
    <n v="0"/>
    <n v="3855.7762368105982"/>
    <n v="2923.4088743474736"/>
  </r>
  <r>
    <s v="Sistema de Compensação"/>
    <x v="1"/>
    <x v="2"/>
    <x v="3"/>
    <x v="4"/>
    <x v="0"/>
    <x v="0"/>
    <x v="2"/>
    <x v="2"/>
    <n v="0"/>
    <n v="0"/>
    <n v="0.14000000000000001"/>
    <n v="-8.4000000000000005E-2"/>
    <n v="0.14000000000000001"/>
    <n v="-8.4000000000000005E-2"/>
    <n v="0"/>
    <x v="0"/>
    <n v="0"/>
    <n v="0"/>
    <n v="55"/>
    <n v="50"/>
    <n v="0"/>
    <n v="213.82"/>
    <n v="151.33000000000001"/>
    <m/>
    <n v="198.74110802590579"/>
    <n v="150.68341190389535"/>
    <n v="0"/>
    <n v="-17.96088"/>
    <n v="-12.711720000000001"/>
    <n v="0"/>
    <n v="-16.694253074176086"/>
    <n v="-12.65740659992721"/>
  </r>
  <r>
    <s v="Regular"/>
    <x v="1"/>
    <x v="2"/>
    <x v="3"/>
    <x v="4"/>
    <x v="0"/>
    <x v="0"/>
    <x v="2"/>
    <x v="3"/>
    <n v="0"/>
    <n v="0"/>
    <n v="40.292999999999999"/>
    <n v="40.292999999999999"/>
    <n v="40.292999999999999"/>
    <n v="40.292999999999999"/>
    <n v="258"/>
    <x v="0"/>
    <n v="0"/>
    <n v="0"/>
    <n v="55"/>
    <n v="50"/>
    <n v="0"/>
    <n v="213.82"/>
    <n v="151.33000000000001"/>
    <m/>
    <n v="198.74110802590579"/>
    <n v="150.68341190389535"/>
    <n v="0"/>
    <n v="8615.4492599999994"/>
    <n v="6097.5396900000005"/>
    <n v="0"/>
    <n v="8007.8754656878218"/>
    <n v="6071.4867158436555"/>
  </r>
  <r>
    <s v="Sistema de Compensação"/>
    <x v="1"/>
    <x v="2"/>
    <x v="3"/>
    <x v="4"/>
    <x v="0"/>
    <x v="0"/>
    <x v="2"/>
    <x v="3"/>
    <n v="0"/>
    <n v="0"/>
    <n v="4.2999999999999997E-2"/>
    <n v="-0.1462"/>
    <n v="4.2999999999999997E-2"/>
    <n v="-0.1462"/>
    <n v="2"/>
    <x v="0"/>
    <n v="0"/>
    <n v="0"/>
    <n v="55"/>
    <n v="50"/>
    <n v="0"/>
    <n v="213.82"/>
    <n v="151.33000000000001"/>
    <m/>
    <n v="198.74110802590579"/>
    <n v="150.68341190389535"/>
    <n v="0"/>
    <n v="-31.260483999999998"/>
    <n v="-22.124446000000002"/>
    <n v="0"/>
    <n v="-29.055949993387426"/>
    <n v="-22.0299148203495"/>
  </r>
  <r>
    <s v="Regular"/>
    <x v="1"/>
    <x v="2"/>
    <x v="3"/>
    <x v="4"/>
    <x v="0"/>
    <x v="0"/>
    <x v="2"/>
    <x v="4"/>
    <n v="0"/>
    <n v="0"/>
    <n v="40.398000000000003"/>
    <n v="40.398000000000003"/>
    <n v="40.398000000000003"/>
    <n v="40.398000000000003"/>
    <n v="278"/>
    <x v="0"/>
    <n v="0"/>
    <n v="0"/>
    <n v="55"/>
    <n v="50"/>
    <n v="0"/>
    <n v="213.82"/>
    <n v="151.33000000000001"/>
    <m/>
    <n v="198.74110802590579"/>
    <n v="150.68341190389535"/>
    <n v="0"/>
    <n v="8637.9003599999996"/>
    <n v="6113.4293400000006"/>
    <n v="0"/>
    <n v="8028.743282030543"/>
    <n v="6087.3084740935647"/>
  </r>
  <r>
    <s v="Refaturamento - Regular"/>
    <x v="1"/>
    <x v="2"/>
    <x v="3"/>
    <x v="4"/>
    <x v="0"/>
    <x v="0"/>
    <x v="2"/>
    <x v="4"/>
    <n v="0"/>
    <n v="0"/>
    <n v="-1.4E-2"/>
    <n v="-1.4E-2"/>
    <n v="-1.4E-2"/>
    <n v="-1.4E-2"/>
    <n v="0"/>
    <x v="0"/>
    <n v="0"/>
    <n v="0"/>
    <n v="55"/>
    <n v="50"/>
    <n v="0"/>
    <n v="213.82"/>
    <n v="151.33000000000001"/>
    <m/>
    <n v="198.74110802590579"/>
    <n v="150.68341190389535"/>
    <n v="0"/>
    <n v="-2.9934799999999999"/>
    <n v="-2.1186200000000004"/>
    <n v="0"/>
    <n v="-2.7823755123626812"/>
    <n v="-2.1095677666545347"/>
  </r>
  <r>
    <s v="Sistema de Compensação"/>
    <x v="1"/>
    <x v="2"/>
    <x v="3"/>
    <x v="4"/>
    <x v="0"/>
    <x v="0"/>
    <x v="2"/>
    <x v="4"/>
    <n v="0"/>
    <n v="0"/>
    <n v="0.158"/>
    <n v="-0.53720000000000001"/>
    <n v="0.158"/>
    <n v="-0.53720000000000001"/>
    <n v="2"/>
    <x v="0"/>
    <n v="0"/>
    <n v="0"/>
    <n v="55"/>
    <n v="50"/>
    <n v="0"/>
    <n v="213.82"/>
    <n v="151.33000000000001"/>
    <m/>
    <n v="198.74110802590579"/>
    <n v="150.68341190389535"/>
    <n v="0"/>
    <n v="-114.864104"/>
    <n v="-81.294476000000003"/>
    <n v="0"/>
    <n v="-106.76372323151659"/>
    <n v="-80.947128874772588"/>
  </r>
  <r>
    <s v="Regular"/>
    <x v="1"/>
    <x v="2"/>
    <x v="3"/>
    <x v="4"/>
    <x v="0"/>
    <x v="0"/>
    <x v="2"/>
    <x v="0"/>
    <n v="0"/>
    <n v="0"/>
    <n v="40.932000000000002"/>
    <n v="40.932000000000002"/>
    <n v="40.932000000000002"/>
    <n v="40.932000000000002"/>
    <n v="320"/>
    <x v="0"/>
    <n v="0"/>
    <n v="0"/>
    <n v="55"/>
    <n v="50"/>
    <n v="0"/>
    <n v="213.82"/>
    <n v="151.33000000000001"/>
    <m/>
    <n v="198.74110802590579"/>
    <n v="150.68341190389535"/>
    <n v="0"/>
    <n v="8752.0802399999993"/>
    <n v="6194.2395600000009"/>
    <n v="0"/>
    <n v="8134.8710337163766"/>
    <n v="6167.773416050245"/>
  </r>
  <r>
    <s v="Sistema de Compensação"/>
    <x v="1"/>
    <x v="2"/>
    <x v="3"/>
    <x v="4"/>
    <x v="0"/>
    <x v="0"/>
    <x v="2"/>
    <x v="0"/>
    <n v="0"/>
    <n v="0"/>
    <n v="0.20200000000000001"/>
    <n v="-0.68679999999999997"/>
    <n v="0.20200000000000001"/>
    <n v="-0.68679999999999997"/>
    <n v="1"/>
    <x v="0"/>
    <n v="0"/>
    <n v="0"/>
    <n v="55"/>
    <n v="50"/>
    <n v="0"/>
    <n v="213.82"/>
    <n v="151.33000000000001"/>
    <m/>
    <n v="198.74110802590579"/>
    <n v="150.68341190389535"/>
    <n v="0"/>
    <n v="-146.85157599999999"/>
    <n v="-103.93344400000001"/>
    <n v="0"/>
    <n v="-136.49539299219208"/>
    <n v="-103.48936729559531"/>
  </r>
  <r>
    <s v="Regular"/>
    <x v="1"/>
    <x v="2"/>
    <x v="3"/>
    <x v="5"/>
    <x v="0"/>
    <x v="0"/>
    <x v="2"/>
    <x v="5"/>
    <n v="0"/>
    <n v="0"/>
    <n v="8.3789999999999996"/>
    <n v="8.3789999999999996"/>
    <n v="8.3789999999999996"/>
    <n v="8.3789999999999996"/>
    <n v="106"/>
    <x v="0"/>
    <n v="0"/>
    <n v="0"/>
    <n v="8"/>
    <n v="46"/>
    <n v="0"/>
    <n v="320.74"/>
    <n v="227"/>
    <m/>
    <n v="298.1116620388587"/>
    <n v="226.02511785584304"/>
    <n v="0"/>
    <n v="2687.4804599999998"/>
    <n v="1902.0329999999999"/>
    <n v="0"/>
    <n v="2497.8776162235968"/>
    <n v="1893.8644625141087"/>
  </r>
  <r>
    <s v="Regular"/>
    <x v="1"/>
    <x v="2"/>
    <x v="3"/>
    <x v="5"/>
    <x v="0"/>
    <x v="0"/>
    <x v="2"/>
    <x v="6"/>
    <n v="0"/>
    <n v="0"/>
    <n v="9.2449999999999992"/>
    <n v="9.2449999999999992"/>
    <n v="9.2449999999999992"/>
    <n v="9.2449999999999992"/>
    <n v="117"/>
    <x v="0"/>
    <n v="0"/>
    <n v="0"/>
    <n v="8"/>
    <n v="46"/>
    <n v="0"/>
    <n v="320.74"/>
    <n v="227"/>
    <m/>
    <n v="298.1116620388587"/>
    <n v="226.02511785584304"/>
    <n v="0"/>
    <n v="2965.2412999999997"/>
    <n v="2098.6149999999998"/>
    <n v="0"/>
    <n v="2756.0423155492485"/>
    <n v="2089.6022145772686"/>
  </r>
  <r>
    <s v="Regular"/>
    <x v="1"/>
    <x v="2"/>
    <x v="3"/>
    <x v="5"/>
    <x v="0"/>
    <x v="0"/>
    <x v="2"/>
    <x v="7"/>
    <n v="0"/>
    <n v="0"/>
    <n v="10.483000000000001"/>
    <n v="10.483000000000001"/>
    <n v="10.483000000000001"/>
    <n v="10.483000000000001"/>
    <n v="131"/>
    <x v="0"/>
    <n v="0"/>
    <n v="0"/>
    <n v="8"/>
    <n v="46"/>
    <n v="0"/>
    <n v="320.74"/>
    <n v="227"/>
    <m/>
    <n v="298.1116620388587"/>
    <n v="226.02511785584304"/>
    <n v="0"/>
    <n v="3362.3174200000003"/>
    <n v="2379.6410000000001"/>
    <n v="0"/>
    <n v="3125.1045531533559"/>
    <n v="2369.4213104828027"/>
  </r>
  <r>
    <s v="Regular"/>
    <x v="1"/>
    <x v="2"/>
    <x v="3"/>
    <x v="5"/>
    <x v="0"/>
    <x v="0"/>
    <x v="2"/>
    <x v="8"/>
    <n v="0"/>
    <n v="0"/>
    <n v="10.374000000000001"/>
    <n v="10.374000000000001"/>
    <n v="10.374000000000001"/>
    <n v="10.374000000000001"/>
    <n v="130"/>
    <x v="0"/>
    <n v="0"/>
    <n v="0"/>
    <n v="8"/>
    <n v="46"/>
    <n v="0"/>
    <n v="320.74"/>
    <n v="227"/>
    <m/>
    <n v="298.1116620388587"/>
    <n v="226.02511785584304"/>
    <n v="0"/>
    <n v="3327.3567600000001"/>
    <n v="2354.8980000000001"/>
    <n v="0"/>
    <n v="3092.6103819911204"/>
    <n v="2344.7845726365158"/>
  </r>
  <r>
    <s v="Regular"/>
    <x v="1"/>
    <x v="2"/>
    <x v="3"/>
    <x v="5"/>
    <x v="0"/>
    <x v="0"/>
    <x v="2"/>
    <x v="9"/>
    <n v="0"/>
    <n v="0"/>
    <n v="12.676"/>
    <n v="12.676"/>
    <n v="12.676"/>
    <n v="12.676"/>
    <n v="130"/>
    <x v="0"/>
    <n v="0"/>
    <n v="0"/>
    <n v="8"/>
    <n v="46"/>
    <n v="0"/>
    <n v="320.74"/>
    <n v="227"/>
    <m/>
    <n v="298.1116620388587"/>
    <n v="226.02511785584304"/>
    <n v="0"/>
    <n v="4065.7002400000001"/>
    <n v="2877.4520000000002"/>
    <n v="0"/>
    <n v="3778.8634280045731"/>
    <n v="2865.0943939406666"/>
  </r>
  <r>
    <s v="Regular"/>
    <x v="1"/>
    <x v="2"/>
    <x v="3"/>
    <x v="5"/>
    <x v="0"/>
    <x v="0"/>
    <x v="2"/>
    <x v="10"/>
    <n v="0"/>
    <n v="0"/>
    <n v="13.093"/>
    <n v="13.093"/>
    <n v="13.093"/>
    <n v="13.093"/>
    <n v="143"/>
    <x v="0"/>
    <n v="0"/>
    <n v="0"/>
    <n v="8"/>
    <n v="46"/>
    <n v="0"/>
    <n v="320.74"/>
    <n v="227"/>
    <m/>
    <n v="298.1116620388587"/>
    <n v="226.02511785584304"/>
    <n v="0"/>
    <n v="4199.4488200000005"/>
    <n v="2972.1109999999999"/>
    <n v="0"/>
    <n v="3903.1759910747769"/>
    <n v="2959.3468680865531"/>
  </r>
  <r>
    <s v="Sistema de Compensação"/>
    <x v="1"/>
    <x v="2"/>
    <x v="3"/>
    <x v="5"/>
    <x v="0"/>
    <x v="0"/>
    <x v="2"/>
    <x v="10"/>
    <n v="0"/>
    <n v="0"/>
    <n v="0.13"/>
    <n v="9.0999999999999998E-2"/>
    <n v="0.13"/>
    <n v="9.0999999999999998E-2"/>
    <n v="1"/>
    <x v="0"/>
    <n v="0"/>
    <n v="0"/>
    <n v="8"/>
    <n v="46"/>
    <n v="0"/>
    <n v="320.74"/>
    <n v="227"/>
    <m/>
    <n v="298.1116620388587"/>
    <n v="226.02511785584304"/>
    <n v="0"/>
    <n v="29.187339999999999"/>
    <n v="20.657"/>
    <n v="0"/>
    <n v="27.128161245536141"/>
    <n v="20.568285724881715"/>
  </r>
  <r>
    <s v="Regular"/>
    <x v="1"/>
    <x v="2"/>
    <x v="3"/>
    <x v="5"/>
    <x v="0"/>
    <x v="0"/>
    <x v="2"/>
    <x v="11"/>
    <n v="0"/>
    <n v="0"/>
    <n v="16.968"/>
    <n v="16.968"/>
    <n v="16.968"/>
    <n v="16.968"/>
    <n v="144"/>
    <x v="0"/>
    <n v="0"/>
    <n v="0"/>
    <n v="8"/>
    <n v="46"/>
    <n v="0"/>
    <n v="320.74"/>
    <n v="227"/>
    <m/>
    <n v="298.1116620388587"/>
    <n v="226.02511785584304"/>
    <n v="0"/>
    <n v="5442.3163199999999"/>
    <n v="3851.7359999999999"/>
    <n v="0"/>
    <n v="5058.3586814753544"/>
    <n v="3835.1941997779445"/>
  </r>
  <r>
    <s v="Sistema de Compensação"/>
    <x v="1"/>
    <x v="2"/>
    <x v="3"/>
    <x v="5"/>
    <x v="0"/>
    <x v="0"/>
    <x v="2"/>
    <x v="11"/>
    <n v="0"/>
    <n v="0"/>
    <n v="0.18"/>
    <n v="0.126"/>
    <n v="0.18"/>
    <n v="0.126"/>
    <n v="0"/>
    <x v="0"/>
    <n v="0"/>
    <n v="0"/>
    <n v="8"/>
    <n v="46"/>
    <n v="0"/>
    <n v="320.74"/>
    <n v="227"/>
    <m/>
    <n v="298.1116620388587"/>
    <n v="226.02511785584304"/>
    <n v="0"/>
    <n v="40.413240000000002"/>
    <n v="28.602"/>
    <n v="0"/>
    <n v="37.562069416896193"/>
    <n v="28.479164849836224"/>
  </r>
  <r>
    <s v="Regular"/>
    <x v="1"/>
    <x v="2"/>
    <x v="3"/>
    <x v="5"/>
    <x v="0"/>
    <x v="0"/>
    <x v="2"/>
    <x v="1"/>
    <n v="0"/>
    <n v="0"/>
    <n v="18.715"/>
    <n v="18.715"/>
    <n v="18.715"/>
    <n v="18.715"/>
    <n v="138"/>
    <x v="0"/>
    <n v="0"/>
    <n v="0"/>
    <n v="8"/>
    <n v="46"/>
    <n v="0"/>
    <n v="320.74"/>
    <n v="227"/>
    <m/>
    <n v="298.1116620388587"/>
    <n v="226.02511785584304"/>
    <n v="0"/>
    <n v="6002.6491000000005"/>
    <n v="4248.3050000000003"/>
    <n v="0"/>
    <n v="5579.1597550572405"/>
    <n v="4230.0600806721022"/>
  </r>
  <r>
    <s v="Sistema de Compensação"/>
    <x v="1"/>
    <x v="2"/>
    <x v="3"/>
    <x v="5"/>
    <x v="0"/>
    <x v="0"/>
    <x v="2"/>
    <x v="1"/>
    <n v="0"/>
    <n v="0"/>
    <n v="0.24"/>
    <n v="0.16800000000000001"/>
    <n v="0.24"/>
    <n v="0.16800000000000001"/>
    <n v="0"/>
    <x v="0"/>
    <n v="0"/>
    <n v="0"/>
    <n v="8"/>
    <n v="46"/>
    <n v="0"/>
    <n v="320.74"/>
    <n v="227"/>
    <m/>
    <n v="298.1116620388587"/>
    <n v="226.02511785584304"/>
    <n v="0"/>
    <n v="53.884320000000002"/>
    <n v="38.136000000000003"/>
    <n v="0"/>
    <n v="50.082759222528267"/>
    <n v="37.972219799781634"/>
  </r>
  <r>
    <s v="Regular"/>
    <x v="1"/>
    <x v="2"/>
    <x v="3"/>
    <x v="5"/>
    <x v="0"/>
    <x v="0"/>
    <x v="2"/>
    <x v="2"/>
    <n v="0"/>
    <n v="0"/>
    <n v="18.001999999999999"/>
    <n v="18.001999999999999"/>
    <n v="18.001999999999999"/>
    <n v="18.001999999999999"/>
    <n v="157"/>
    <x v="0"/>
    <n v="0"/>
    <n v="0"/>
    <n v="8"/>
    <n v="46"/>
    <n v="0"/>
    <n v="320.74"/>
    <n v="227"/>
    <m/>
    <n v="298.1116620388587"/>
    <n v="226.02511785584304"/>
    <n v="0"/>
    <n v="5773.9614799999999"/>
    <n v="4086.4539999999997"/>
    <n v="0"/>
    <n v="5366.606140023534"/>
    <n v="4068.904171640886"/>
  </r>
  <r>
    <s v="Sistema de Compensação"/>
    <x v="1"/>
    <x v="2"/>
    <x v="3"/>
    <x v="5"/>
    <x v="0"/>
    <x v="0"/>
    <x v="2"/>
    <x v="2"/>
    <n v="0"/>
    <n v="0"/>
    <n v="0.22800000000000001"/>
    <n v="0.1368"/>
    <n v="0.22800000000000001"/>
    <n v="0.1368"/>
    <n v="0"/>
    <x v="0"/>
    <n v="0"/>
    <n v="0"/>
    <n v="8"/>
    <n v="46"/>
    <n v="0"/>
    <n v="320.74"/>
    <n v="227"/>
    <m/>
    <n v="298.1116620388587"/>
    <n v="226.02511785584304"/>
    <n v="0"/>
    <n v="43.877231999999999"/>
    <n v="31.053599999999999"/>
    <n v="0"/>
    <n v="40.78167536691587"/>
    <n v="30.920236122679327"/>
  </r>
  <r>
    <s v="Regular"/>
    <x v="1"/>
    <x v="2"/>
    <x v="3"/>
    <x v="5"/>
    <x v="0"/>
    <x v="0"/>
    <x v="2"/>
    <x v="3"/>
    <n v="0"/>
    <n v="0"/>
    <n v="28.111999999999998"/>
    <n v="28.111999999999998"/>
    <n v="28.111999999999998"/>
    <n v="28.111999999999998"/>
    <n v="353"/>
    <x v="0"/>
    <n v="0"/>
    <n v="0"/>
    <n v="8"/>
    <n v="46"/>
    <n v="0"/>
    <n v="320.74"/>
    <n v="227"/>
    <m/>
    <n v="298.1116620388587"/>
    <n v="226.02511785584304"/>
    <n v="0"/>
    <n v="9016.6428799999994"/>
    <n v="6381.424"/>
    <n v="0"/>
    <n v="8380.5150432363953"/>
    <n v="6354.018113163459"/>
  </r>
  <r>
    <s v="Regular"/>
    <x v="1"/>
    <x v="2"/>
    <x v="3"/>
    <x v="5"/>
    <x v="0"/>
    <x v="0"/>
    <x v="2"/>
    <x v="4"/>
    <n v="0"/>
    <n v="0"/>
    <n v="25.114999999999998"/>
    <n v="25.114999999999998"/>
    <n v="25.114999999999998"/>
    <n v="25.114999999999998"/>
    <n v="363"/>
    <x v="0"/>
    <n v="0"/>
    <n v="0"/>
    <n v="8"/>
    <n v="46"/>
    <n v="0"/>
    <n v="320.74"/>
    <n v="227"/>
    <m/>
    <n v="298.1116620388587"/>
    <n v="226.02511785584304"/>
    <n v="0"/>
    <n v="8055.3850999999995"/>
    <n v="5701.1049999999996"/>
    <n v="0"/>
    <n v="7487.0743921059357"/>
    <n v="5676.6208349494973"/>
  </r>
  <r>
    <s v="Refaturamento - Regular"/>
    <x v="1"/>
    <x v="2"/>
    <x v="3"/>
    <x v="5"/>
    <x v="0"/>
    <x v="0"/>
    <x v="2"/>
    <x v="4"/>
    <n v="0"/>
    <n v="0"/>
    <n v="-0.12"/>
    <n v="-0.12"/>
    <n v="-0.12"/>
    <n v="-0.12"/>
    <n v="0"/>
    <x v="0"/>
    <n v="0"/>
    <n v="0"/>
    <n v="8"/>
    <n v="46"/>
    <n v="0"/>
    <n v="320.74"/>
    <n v="227"/>
    <m/>
    <n v="298.1116620388587"/>
    <n v="226.02511785584304"/>
    <n v="0"/>
    <n v="-38.488799999999998"/>
    <n v="-27.24"/>
    <n v="0"/>
    <n v="-35.773399444663042"/>
    <n v="-27.123014142701162"/>
  </r>
  <r>
    <s v="Sistema de Compensação"/>
    <x v="1"/>
    <x v="2"/>
    <x v="3"/>
    <x v="5"/>
    <x v="0"/>
    <x v="0"/>
    <x v="2"/>
    <x v="4"/>
    <n v="0"/>
    <n v="0"/>
    <n v="8.9999999999999993E-3"/>
    <n v="8.9999999999999998E-4"/>
    <n v="8.9999999999999993E-3"/>
    <n v="8.9999999999999998E-4"/>
    <n v="6"/>
    <x v="0"/>
    <n v="0"/>
    <n v="0"/>
    <n v="8"/>
    <n v="46"/>
    <n v="0"/>
    <n v="320.74"/>
    <n v="227"/>
    <m/>
    <n v="298.1116620388587"/>
    <n v="226.02511785584304"/>
    <n v="0"/>
    <n v="0.28866599999999998"/>
    <n v="0.20429999999999998"/>
    <n v="0"/>
    <n v="0.26830049583497284"/>
    <n v="0.20342260607025872"/>
  </r>
  <r>
    <s v="Regular"/>
    <x v="1"/>
    <x v="2"/>
    <x v="3"/>
    <x v="5"/>
    <x v="0"/>
    <x v="0"/>
    <x v="2"/>
    <x v="0"/>
    <n v="0"/>
    <n v="0"/>
    <n v="23.856999999999999"/>
    <n v="23.856999999999999"/>
    <n v="23.856999999999999"/>
    <n v="23.856999999999999"/>
    <n v="344"/>
    <x v="0"/>
    <n v="0"/>
    <n v="0"/>
    <n v="8"/>
    <n v="46"/>
    <n v="0"/>
    <n v="320.74"/>
    <n v="227"/>
    <m/>
    <n v="298.1116620388587"/>
    <n v="226.02511785584304"/>
    <n v="0"/>
    <n v="7651.8941800000002"/>
    <n v="5415.5389999999998"/>
    <n v="0"/>
    <n v="7112.0499212610521"/>
    <n v="5392.2812366868475"/>
  </r>
  <r>
    <s v="Sistema de Compensação"/>
    <x v="1"/>
    <x v="2"/>
    <x v="3"/>
    <x v="5"/>
    <x v="0"/>
    <x v="0"/>
    <x v="2"/>
    <x v="0"/>
    <n v="0"/>
    <n v="0"/>
    <n v="3.5999999999999997E-2"/>
    <n v="0"/>
    <n v="3.5999999999999997E-2"/>
    <n v="0"/>
    <n v="6"/>
    <x v="0"/>
    <n v="0"/>
    <n v="0"/>
    <n v="8"/>
    <n v="46"/>
    <n v="0"/>
    <n v="320.74"/>
    <n v="227"/>
    <m/>
    <n v="298.1116620388587"/>
    <n v="226.02511785584304"/>
    <n v="0"/>
    <n v="0"/>
    <n v="0"/>
    <n v="0"/>
    <n v="0"/>
    <n v="0"/>
  </r>
  <r>
    <s v="Regular"/>
    <x v="1"/>
    <x v="2"/>
    <x v="3"/>
    <x v="6"/>
    <x v="0"/>
    <x v="0"/>
    <x v="2"/>
    <x v="5"/>
    <n v="0"/>
    <n v="0"/>
    <n v="1.22"/>
    <n v="1.22"/>
    <n v="1.22"/>
    <n v="1.22"/>
    <n v="24"/>
    <x v="0"/>
    <n v="0"/>
    <n v="0"/>
    <n v="14"/>
    <n v="86"/>
    <n v="0"/>
    <n v="356.37"/>
    <n v="252.22"/>
    <m/>
    <n v="331.23518004317634"/>
    <n v="251.13901983982558"/>
    <n v="0"/>
    <n v="434.77139999999997"/>
    <n v="307.70839999999998"/>
    <n v="0"/>
    <n v="404.10691965267512"/>
    <n v="306.38960420458722"/>
  </r>
  <r>
    <s v="Regular"/>
    <x v="1"/>
    <x v="2"/>
    <x v="3"/>
    <x v="6"/>
    <x v="0"/>
    <x v="0"/>
    <x v="2"/>
    <x v="6"/>
    <n v="0"/>
    <n v="0"/>
    <n v="1.6419999999999999"/>
    <n v="1.6419999999999999"/>
    <n v="1.6419999999999999"/>
    <n v="1.6419999999999999"/>
    <n v="29"/>
    <x v="0"/>
    <n v="0"/>
    <n v="0"/>
    <n v="14"/>
    <n v="86"/>
    <n v="0"/>
    <n v="356.37"/>
    <n v="252.22"/>
    <m/>
    <n v="331.23518004317634"/>
    <n v="251.13901983982558"/>
    <n v="0"/>
    <n v="585.15953999999999"/>
    <n v="414.14524"/>
    <n v="0"/>
    <n v="543.88816563089551"/>
    <n v="412.37027057699356"/>
  </r>
  <r>
    <s v="Regular"/>
    <x v="1"/>
    <x v="2"/>
    <x v="3"/>
    <x v="6"/>
    <x v="0"/>
    <x v="0"/>
    <x v="2"/>
    <x v="7"/>
    <n v="0"/>
    <n v="0"/>
    <n v="2.2559999999999998"/>
    <n v="2.2559999999999998"/>
    <n v="2.2559999999999998"/>
    <n v="2.2559999999999998"/>
    <n v="27"/>
    <x v="0"/>
    <n v="0"/>
    <n v="0"/>
    <n v="14"/>
    <n v="86"/>
    <n v="0"/>
    <n v="356.37"/>
    <n v="252.22"/>
    <m/>
    <n v="331.23518004317634"/>
    <n v="251.13901983982558"/>
    <n v="0"/>
    <n v="803.97071999999991"/>
    <n v="569.00831999999991"/>
    <n v="0"/>
    <n v="747.26656617740571"/>
    <n v="566.56962875864645"/>
  </r>
  <r>
    <s v="Regular"/>
    <x v="1"/>
    <x v="2"/>
    <x v="3"/>
    <x v="6"/>
    <x v="0"/>
    <x v="0"/>
    <x v="2"/>
    <x v="8"/>
    <n v="0"/>
    <n v="0"/>
    <n v="1.8440000000000001"/>
    <n v="1.8440000000000001"/>
    <n v="1.8440000000000001"/>
    <n v="1.8440000000000001"/>
    <n v="30"/>
    <x v="0"/>
    <n v="0"/>
    <n v="0"/>
    <n v="14"/>
    <n v="86"/>
    <n v="0"/>
    <n v="356.37"/>
    <n v="252.22"/>
    <m/>
    <n v="331.23518004317634"/>
    <n v="251.13901983982558"/>
    <n v="0"/>
    <n v="657.14628000000005"/>
    <n v="465.09368000000001"/>
    <n v="0"/>
    <n v="610.79767199961725"/>
    <n v="463.10035258463842"/>
  </r>
  <r>
    <s v="Regular"/>
    <x v="1"/>
    <x v="2"/>
    <x v="3"/>
    <x v="6"/>
    <x v="0"/>
    <x v="0"/>
    <x v="2"/>
    <x v="9"/>
    <n v="0"/>
    <n v="0"/>
    <n v="3.5609999999999999"/>
    <n v="3.5609999999999999"/>
    <n v="3.5609999999999999"/>
    <n v="3.5609999999999999"/>
    <n v="50"/>
    <x v="0"/>
    <n v="0"/>
    <n v="0"/>
    <n v="14"/>
    <n v="86"/>
    <n v="0"/>
    <n v="356.37"/>
    <n v="252.22"/>
    <m/>
    <n v="331.23518004317634"/>
    <n v="251.13901983982558"/>
    <n v="0"/>
    <n v="1269.0335700000001"/>
    <n v="898.15541999999994"/>
    <n v="0"/>
    <n v="1179.5284761337509"/>
    <n v="894.3060496496189"/>
  </r>
  <r>
    <s v="Regular"/>
    <x v="1"/>
    <x v="2"/>
    <x v="3"/>
    <x v="6"/>
    <x v="0"/>
    <x v="0"/>
    <x v="2"/>
    <x v="10"/>
    <n v="0"/>
    <n v="0"/>
    <n v="4.069"/>
    <n v="4.069"/>
    <n v="4.069"/>
    <n v="4.069"/>
    <n v="46"/>
    <x v="0"/>
    <n v="0"/>
    <n v="0"/>
    <n v="14"/>
    <n v="86"/>
    <n v="0"/>
    <n v="356.37"/>
    <n v="252.22"/>
    <m/>
    <n v="331.23518004317634"/>
    <n v="251.13901983982558"/>
    <n v="0"/>
    <n v="1450.06953"/>
    <n v="1026.2831799999999"/>
    <n v="0"/>
    <n v="1347.7959475956845"/>
    <n v="1021.8846717282503"/>
  </r>
  <r>
    <s v="Regular"/>
    <x v="1"/>
    <x v="2"/>
    <x v="3"/>
    <x v="6"/>
    <x v="0"/>
    <x v="0"/>
    <x v="2"/>
    <x v="11"/>
    <n v="0"/>
    <n v="0"/>
    <n v="8.1270000000000007"/>
    <n v="8.1270000000000007"/>
    <n v="8.1270000000000007"/>
    <n v="8.1270000000000007"/>
    <n v="74"/>
    <x v="0"/>
    <n v="0"/>
    <n v="0"/>
    <n v="14"/>
    <n v="86"/>
    <n v="0"/>
    <n v="356.37"/>
    <n v="252.22"/>
    <m/>
    <n v="331.23518004317634"/>
    <n v="251.13901983982558"/>
    <n v="0"/>
    <n v="2896.2189900000003"/>
    <n v="2049.7919400000001"/>
    <n v="0"/>
    <n v="2691.9483082108945"/>
    <n v="2041.0068142382627"/>
  </r>
  <r>
    <s v="Sistema de Compensação"/>
    <x v="1"/>
    <x v="2"/>
    <x v="3"/>
    <x v="6"/>
    <x v="0"/>
    <x v="0"/>
    <x v="2"/>
    <x v="11"/>
    <n v="0"/>
    <n v="0"/>
    <n v="0.27900000000000003"/>
    <n v="0.27900000000000003"/>
    <n v="0.27900000000000003"/>
    <n v="0.27900000000000003"/>
    <n v="3"/>
    <x v="0"/>
    <n v="0"/>
    <n v="0"/>
    <n v="14"/>
    <n v="86"/>
    <n v="0"/>
    <n v="356.37"/>
    <n v="252.22"/>
    <m/>
    <n v="331.23518004317634"/>
    <n v="251.13901983982558"/>
    <n v="0"/>
    <n v="99.427230000000009"/>
    <n v="70.369380000000007"/>
    <n v="0"/>
    <n v="92.414615232046202"/>
    <n v="70.067786535311342"/>
  </r>
  <r>
    <s v="Regular"/>
    <x v="1"/>
    <x v="2"/>
    <x v="3"/>
    <x v="6"/>
    <x v="0"/>
    <x v="0"/>
    <x v="2"/>
    <x v="1"/>
    <n v="0"/>
    <n v="0"/>
    <n v="8.9809999999999999"/>
    <n v="8.9809999999999999"/>
    <n v="8.9809999999999999"/>
    <n v="8.9809999999999999"/>
    <n v="95"/>
    <x v="0"/>
    <n v="0"/>
    <n v="0"/>
    <n v="14"/>
    <n v="86"/>
    <n v="0"/>
    <n v="356.37"/>
    <n v="252.22"/>
    <m/>
    <n v="331.23518004317634"/>
    <n v="251.13901983982558"/>
    <n v="0"/>
    <n v="3200.55897"/>
    <n v="2265.1878200000001"/>
    <n v="0"/>
    <n v="2974.8231519677665"/>
    <n v="2255.4795371814735"/>
  </r>
  <r>
    <s v="Sistema de Compensação"/>
    <x v="1"/>
    <x v="2"/>
    <x v="3"/>
    <x v="6"/>
    <x v="0"/>
    <x v="0"/>
    <x v="2"/>
    <x v="1"/>
    <n v="0"/>
    <n v="0"/>
    <n v="7.6999999999999999E-2"/>
    <n v="7.6999999999999999E-2"/>
    <n v="7.6999999999999999E-2"/>
    <n v="7.6999999999999999E-2"/>
    <n v="3"/>
    <x v="0"/>
    <n v="0"/>
    <n v="0"/>
    <n v="14"/>
    <n v="86"/>
    <n v="0"/>
    <n v="356.37"/>
    <n v="252.22"/>
    <m/>
    <n v="331.23518004317634"/>
    <n v="251.13901983982558"/>
    <n v="0"/>
    <n v="27.44049"/>
    <n v="19.420939999999998"/>
    <n v="0"/>
    <n v="25.50510886332458"/>
    <n v="19.33770452766657"/>
  </r>
  <r>
    <s v="Regular"/>
    <x v="1"/>
    <x v="2"/>
    <x v="3"/>
    <x v="6"/>
    <x v="0"/>
    <x v="0"/>
    <x v="2"/>
    <x v="2"/>
    <n v="0"/>
    <n v="0"/>
    <n v="5.7720000000000002"/>
    <n v="5.7720000000000002"/>
    <n v="5.7720000000000002"/>
    <n v="5.7720000000000002"/>
    <n v="77"/>
    <x v="0"/>
    <n v="0"/>
    <n v="0"/>
    <n v="14"/>
    <n v="86"/>
    <n v="0"/>
    <n v="356.37"/>
    <n v="252.22"/>
    <m/>
    <n v="331.23518004317634"/>
    <n v="251.13901983982558"/>
    <n v="0"/>
    <n v="2056.9676400000003"/>
    <n v="1455.81384"/>
    <n v="0"/>
    <n v="1911.889459209214"/>
    <n v="1449.5744225154733"/>
  </r>
  <r>
    <s v="Regular"/>
    <x v="1"/>
    <x v="2"/>
    <x v="3"/>
    <x v="6"/>
    <x v="0"/>
    <x v="0"/>
    <x v="2"/>
    <x v="3"/>
    <n v="0"/>
    <n v="0"/>
    <n v="7.0389999999999997"/>
    <n v="7.0389999999999997"/>
    <n v="7.0389999999999997"/>
    <n v="7.0389999999999997"/>
    <n v="85"/>
    <x v="0"/>
    <n v="0"/>
    <n v="0"/>
    <n v="14"/>
    <n v="86"/>
    <n v="0"/>
    <n v="356.37"/>
    <n v="252.22"/>
    <m/>
    <n v="331.23518004317634"/>
    <n v="251.13901983982558"/>
    <n v="0"/>
    <n v="2508.4884299999999"/>
    <n v="1775.3765799999999"/>
    <n v="0"/>
    <n v="2331.564432323918"/>
    <n v="1767.7675606525322"/>
  </r>
  <r>
    <s v="Regular"/>
    <x v="1"/>
    <x v="2"/>
    <x v="3"/>
    <x v="6"/>
    <x v="0"/>
    <x v="0"/>
    <x v="2"/>
    <x v="4"/>
    <n v="0"/>
    <n v="0"/>
    <n v="6.0679999999999996"/>
    <n v="6.0679999999999996"/>
    <n v="6.0679999999999996"/>
    <n v="6.0679999999999996"/>
    <n v="66"/>
    <x v="0"/>
    <n v="0"/>
    <n v="0"/>
    <n v="14"/>
    <n v="86"/>
    <n v="0"/>
    <n v="356.37"/>
    <n v="252.22"/>
    <m/>
    <n v="331.23518004317634"/>
    <n v="251.13901983982558"/>
    <n v="0"/>
    <n v="2162.45316"/>
    <n v="1530.4709599999999"/>
    <n v="0"/>
    <n v="2009.935072501994"/>
    <n v="1523.9115723880616"/>
  </r>
  <r>
    <s v="Refaturamento - Regular"/>
    <x v="1"/>
    <x v="2"/>
    <x v="3"/>
    <x v="6"/>
    <x v="0"/>
    <x v="0"/>
    <x v="2"/>
    <x v="4"/>
    <n v="0"/>
    <n v="0"/>
    <n v="-0.46600000000000003"/>
    <n v="-0.46600000000000003"/>
    <n v="-0.46600000000000003"/>
    <n v="-0.46600000000000003"/>
    <n v="0"/>
    <x v="0"/>
    <n v="0"/>
    <n v="0"/>
    <n v="14"/>
    <n v="86"/>
    <n v="0"/>
    <n v="356.37"/>
    <n v="252.22"/>
    <m/>
    <n v="331.23518004317634"/>
    <n v="251.13901983982558"/>
    <n v="0"/>
    <n v="-166.06842"/>
    <n v="-117.53452"/>
    <n v="0"/>
    <n v="-154.3555939001202"/>
    <n v="-117.03078324535872"/>
  </r>
  <r>
    <s v="Regular"/>
    <x v="1"/>
    <x v="2"/>
    <x v="3"/>
    <x v="6"/>
    <x v="0"/>
    <x v="0"/>
    <x v="2"/>
    <x v="0"/>
    <n v="0"/>
    <n v="0"/>
    <n v="5.8520000000000003"/>
    <n v="5.8520000000000003"/>
    <n v="5.8520000000000003"/>
    <n v="5.8520000000000003"/>
    <n v="69"/>
    <x v="0"/>
    <n v="0"/>
    <n v="0"/>
    <n v="14"/>
    <n v="86"/>
    <n v="0"/>
    <n v="356.37"/>
    <n v="252.22"/>
    <m/>
    <n v="331.23518004317634"/>
    <n v="251.13901983982558"/>
    <n v="0"/>
    <n v="2085.4772400000002"/>
    <n v="1475.99144"/>
    <n v="0"/>
    <n v="1938.3882736126679"/>
    <n v="1469.6655441026594"/>
  </r>
  <r>
    <s v="Regular"/>
    <x v="2"/>
    <x v="2"/>
    <x v="1"/>
    <x v="1"/>
    <x v="3"/>
    <x v="0"/>
    <x v="2"/>
    <x v="5"/>
    <n v="0"/>
    <n v="0"/>
    <n v="4.234"/>
    <n v="4.234"/>
    <n v="4.234"/>
    <n v="4.234"/>
    <n v="0"/>
    <x v="0"/>
    <n v="0"/>
    <n v="0"/>
    <n v="61"/>
    <n v="72"/>
    <n v="0"/>
    <n v="374.66"/>
    <n v="221.96"/>
    <m/>
    <n v="406.66540696605466"/>
    <n v="236.07067864943602"/>
    <n v="0"/>
    <n v="1586.3104400000002"/>
    <n v="939.77864"/>
    <n v="0"/>
    <n v="1721.8213330942754"/>
    <n v="999.52325340171205"/>
  </r>
  <r>
    <s v="Sistema de Compensação"/>
    <x v="2"/>
    <x v="2"/>
    <x v="1"/>
    <x v="1"/>
    <x v="3"/>
    <x v="0"/>
    <x v="2"/>
    <x v="5"/>
    <n v="0"/>
    <n v="0"/>
    <n v="0.04"/>
    <n v="0.04"/>
    <n v="0.04"/>
    <n v="0.04"/>
    <n v="0"/>
    <x v="0"/>
    <n v="0"/>
    <n v="0"/>
    <n v="61"/>
    <n v="72"/>
    <n v="0"/>
    <n v="374.66"/>
    <n v="221.96"/>
    <m/>
    <n v="406.66540696605466"/>
    <n v="236.07067864943602"/>
    <n v="0"/>
    <n v="14.986400000000001"/>
    <n v="8.878400000000001"/>
    <n v="0"/>
    <n v="16.266616278642186"/>
    <n v="9.4428271459774411"/>
  </r>
  <r>
    <s v="Regular"/>
    <x v="2"/>
    <x v="2"/>
    <x v="1"/>
    <x v="1"/>
    <x v="3"/>
    <x v="0"/>
    <x v="2"/>
    <x v="6"/>
    <n v="0"/>
    <n v="0"/>
    <n v="2.2959999999999998"/>
    <n v="2.2959999999999998"/>
    <n v="2.2959999999999998"/>
    <n v="2.2959999999999998"/>
    <n v="0"/>
    <x v="0"/>
    <n v="0"/>
    <n v="0"/>
    <n v="61"/>
    <n v="72"/>
    <n v="0"/>
    <n v="374.66"/>
    <n v="221.96"/>
    <m/>
    <n v="406.66540696605466"/>
    <n v="236.07067864943602"/>
    <n v="0"/>
    <n v="860.21935999999994"/>
    <n v="509.62016"/>
    <n v="0"/>
    <n v="933.70377439406138"/>
    <n v="542.0182781791051"/>
  </r>
  <r>
    <s v="Sistema de Compensação"/>
    <x v="2"/>
    <x v="2"/>
    <x v="1"/>
    <x v="1"/>
    <x v="3"/>
    <x v="0"/>
    <x v="2"/>
    <x v="6"/>
    <n v="0"/>
    <n v="0"/>
    <n v="0.36599999999999999"/>
    <n v="0.36599999999999999"/>
    <n v="0.36599999999999999"/>
    <n v="0.36599999999999999"/>
    <n v="0"/>
    <x v="0"/>
    <n v="0"/>
    <n v="0"/>
    <n v="61"/>
    <n v="72"/>
    <n v="0"/>
    <n v="374.66"/>
    <n v="221.96"/>
    <m/>
    <n v="406.66540696605466"/>
    <n v="236.07067864943602"/>
    <n v="0"/>
    <n v="137.12556000000001"/>
    <n v="81.237359999999995"/>
    <n v="0"/>
    <n v="148.839538949576"/>
    <n v="86.401868385693575"/>
  </r>
  <r>
    <s v="Regular"/>
    <x v="2"/>
    <x v="2"/>
    <x v="1"/>
    <x v="1"/>
    <x v="3"/>
    <x v="0"/>
    <x v="2"/>
    <x v="7"/>
    <n v="0"/>
    <n v="0"/>
    <n v="6.0069999999999997"/>
    <n v="6.0069999999999997"/>
    <n v="6.0069999999999997"/>
    <n v="6.0069999999999997"/>
    <n v="0"/>
    <x v="0"/>
    <n v="0"/>
    <n v="0"/>
    <n v="61"/>
    <n v="72"/>
    <n v="0"/>
    <n v="374.66"/>
    <n v="221.96"/>
    <m/>
    <n v="406.66540696605466"/>
    <n v="236.07067864943602"/>
    <n v="0"/>
    <n v="2250.5826200000001"/>
    <n v="1333.3137199999999"/>
    <n v="0"/>
    <n v="2442.8390996450903"/>
    <n v="1418.0765666471621"/>
  </r>
  <r>
    <s v="Sistema de Compensação"/>
    <x v="2"/>
    <x v="2"/>
    <x v="1"/>
    <x v="1"/>
    <x v="3"/>
    <x v="0"/>
    <x v="2"/>
    <x v="7"/>
    <n v="0"/>
    <n v="0"/>
    <n v="1.2909999999999999"/>
    <n v="1.2909999999999999"/>
    <n v="1.2909999999999999"/>
    <n v="1.2909999999999999"/>
    <n v="0"/>
    <x v="0"/>
    <n v="0"/>
    <n v="0"/>
    <n v="61"/>
    <n v="72"/>
    <n v="0"/>
    <n v="374.66"/>
    <n v="221.96"/>
    <m/>
    <n v="406.66540696605466"/>
    <n v="236.07067864943602"/>
    <n v="0"/>
    <n v="483.68606"/>
    <n v="286.55036000000001"/>
    <n v="0"/>
    <n v="525.0050403931765"/>
    <n v="304.76724613642187"/>
  </r>
  <r>
    <s v="Regular"/>
    <x v="2"/>
    <x v="2"/>
    <x v="1"/>
    <x v="1"/>
    <x v="3"/>
    <x v="0"/>
    <x v="2"/>
    <x v="8"/>
    <n v="0"/>
    <n v="0"/>
    <n v="11.356999999999999"/>
    <n v="11.356999999999999"/>
    <n v="11.356999999999999"/>
    <n v="11.356999999999999"/>
    <n v="0"/>
    <x v="0"/>
    <n v="0"/>
    <n v="0"/>
    <n v="61"/>
    <n v="72"/>
    <n v="0"/>
    <n v="374.66"/>
    <n v="221.96"/>
    <m/>
    <n v="406.66540696605466"/>
    <n v="236.07067864943602"/>
    <n v="0"/>
    <n v="4255.0136199999997"/>
    <n v="2520.79972"/>
    <n v="0"/>
    <n v="4618.4990269134823"/>
    <n v="2681.0546974216445"/>
  </r>
  <r>
    <s v="Sistema de Compensação"/>
    <x v="2"/>
    <x v="2"/>
    <x v="1"/>
    <x v="1"/>
    <x v="3"/>
    <x v="0"/>
    <x v="2"/>
    <x v="8"/>
    <n v="0"/>
    <n v="0"/>
    <n v="0.19"/>
    <n v="0.19"/>
    <n v="0.19"/>
    <n v="0.19"/>
    <n v="0"/>
    <x v="0"/>
    <n v="0"/>
    <n v="0"/>
    <n v="61"/>
    <n v="72"/>
    <n v="0"/>
    <n v="374.66"/>
    <n v="221.96"/>
    <m/>
    <n v="406.66540696605466"/>
    <n v="236.07067864943602"/>
    <n v="0"/>
    <n v="71.185400000000001"/>
    <n v="42.172400000000003"/>
    <n v="0"/>
    <n v="77.266427323550388"/>
    <n v="44.853428943392842"/>
  </r>
  <r>
    <s v="Regular"/>
    <x v="2"/>
    <x v="2"/>
    <x v="1"/>
    <x v="1"/>
    <x v="3"/>
    <x v="0"/>
    <x v="2"/>
    <x v="9"/>
    <n v="0"/>
    <n v="0"/>
    <n v="83.301000000000002"/>
    <n v="83.301000000000002"/>
    <n v="83.301000000000002"/>
    <n v="83.301000000000002"/>
    <n v="0"/>
    <x v="0"/>
    <n v="0"/>
    <n v="0"/>
    <n v="61"/>
    <n v="72"/>
    <n v="0"/>
    <n v="374.66"/>
    <n v="221.96"/>
    <m/>
    <n v="406.66540696605466"/>
    <n v="236.07067864943602"/>
    <n v="0"/>
    <n v="31209.552660000001"/>
    <n v="18489.489960000003"/>
    <n v="0"/>
    <n v="33875.635065679322"/>
    <n v="19664.92360217667"/>
  </r>
  <r>
    <s v="Refaturamento - Regular"/>
    <x v="2"/>
    <x v="2"/>
    <x v="1"/>
    <x v="1"/>
    <x v="3"/>
    <x v="0"/>
    <x v="2"/>
    <x v="9"/>
    <n v="0"/>
    <n v="0"/>
    <n v="0.2"/>
    <n v="0.2"/>
    <n v="0.2"/>
    <n v="0.2"/>
    <n v="0"/>
    <x v="0"/>
    <n v="0"/>
    <n v="0"/>
    <n v="61"/>
    <n v="72"/>
    <n v="0"/>
    <n v="374.66"/>
    <n v="221.96"/>
    <m/>
    <n v="406.66540696605466"/>
    <n v="236.07067864943602"/>
    <n v="0"/>
    <n v="74.932000000000002"/>
    <n v="44.392000000000003"/>
    <n v="0"/>
    <n v="81.333081393210932"/>
    <n v="47.214135729887204"/>
  </r>
  <r>
    <s v="Sistema de Compensação"/>
    <x v="2"/>
    <x v="2"/>
    <x v="1"/>
    <x v="1"/>
    <x v="3"/>
    <x v="0"/>
    <x v="2"/>
    <x v="9"/>
    <n v="0"/>
    <n v="0"/>
    <n v="1.4670000000000001"/>
    <n v="1.4670000000000001"/>
    <n v="1.4670000000000001"/>
    <n v="1.4670000000000001"/>
    <n v="0"/>
    <x v="0"/>
    <n v="0"/>
    <n v="0"/>
    <n v="61"/>
    <n v="72"/>
    <n v="0"/>
    <n v="374.66"/>
    <n v="221.96"/>
    <m/>
    <n v="406.66540696605466"/>
    <n v="236.07067864943602"/>
    <n v="0"/>
    <n v="549.6262200000001"/>
    <n v="325.61532000000005"/>
    <n v="0"/>
    <n v="596.57815201920221"/>
    <n v="346.31568557872265"/>
  </r>
  <r>
    <s v="Regular"/>
    <x v="2"/>
    <x v="2"/>
    <x v="1"/>
    <x v="1"/>
    <x v="3"/>
    <x v="0"/>
    <x v="2"/>
    <x v="10"/>
    <n v="0"/>
    <n v="0"/>
    <n v="209.755"/>
    <n v="209.755"/>
    <n v="209.755"/>
    <n v="209.755"/>
    <n v="0"/>
    <x v="0"/>
    <n v="0"/>
    <n v="0"/>
    <n v="61"/>
    <n v="72"/>
    <n v="0"/>
    <n v="374.66"/>
    <n v="221.96"/>
    <m/>
    <n v="406.66540696605466"/>
    <n v="236.07067864943602"/>
    <n v="0"/>
    <n v="78586.808300000004"/>
    <n v="46557.219799999999"/>
    <n v="0"/>
    <n v="85300.102438164788"/>
    <n v="49517.00520011245"/>
  </r>
  <r>
    <s v="Sistema de Compensação"/>
    <x v="2"/>
    <x v="2"/>
    <x v="1"/>
    <x v="1"/>
    <x v="3"/>
    <x v="0"/>
    <x v="2"/>
    <x v="10"/>
    <n v="0"/>
    <n v="0"/>
    <n v="0.89200000000000002"/>
    <n v="0.89200000000000002"/>
    <n v="0.89200000000000002"/>
    <n v="0.89200000000000002"/>
    <n v="0"/>
    <x v="0"/>
    <n v="0"/>
    <n v="0"/>
    <n v="61"/>
    <n v="72"/>
    <n v="0"/>
    <n v="374.66"/>
    <n v="221.96"/>
    <m/>
    <n v="406.66540696605466"/>
    <n v="236.07067864943602"/>
    <n v="0"/>
    <n v="334.19672000000003"/>
    <n v="197.98832000000002"/>
    <n v="0"/>
    <n v="362.74554301372075"/>
    <n v="210.57504535529694"/>
  </r>
  <r>
    <s v="Regular"/>
    <x v="2"/>
    <x v="2"/>
    <x v="1"/>
    <x v="1"/>
    <x v="3"/>
    <x v="0"/>
    <x v="2"/>
    <x v="11"/>
    <n v="0"/>
    <n v="0"/>
    <n v="243.178"/>
    <n v="243.178"/>
    <n v="243.178"/>
    <n v="243.178"/>
    <n v="0"/>
    <x v="0"/>
    <n v="0"/>
    <n v="0"/>
    <n v="61"/>
    <n v="72"/>
    <n v="0"/>
    <n v="374.66"/>
    <n v="221.96"/>
    <m/>
    <n v="406.66540696605466"/>
    <n v="236.07067864943602"/>
    <n v="0"/>
    <n v="91109.069480000006"/>
    <n v="53975.78888"/>
    <n v="0"/>
    <n v="98892.080335191233"/>
    <n v="57407.195492612555"/>
  </r>
  <r>
    <s v="Sistema de Compensação"/>
    <x v="2"/>
    <x v="2"/>
    <x v="1"/>
    <x v="1"/>
    <x v="3"/>
    <x v="0"/>
    <x v="2"/>
    <x v="11"/>
    <n v="0"/>
    <n v="0"/>
    <n v="3.8889999999999998"/>
    <n v="3.8889999999999998"/>
    <n v="3.8889999999999998"/>
    <n v="3.8889999999999998"/>
    <n v="0"/>
    <x v="0"/>
    <n v="0"/>
    <n v="0"/>
    <n v="61"/>
    <n v="72"/>
    <n v="0"/>
    <n v="374.66"/>
    <n v="221.96"/>
    <m/>
    <n v="406.66540696605466"/>
    <n v="236.07067864943602"/>
    <n v="0"/>
    <n v="1457.0527400000001"/>
    <n v="863.20244000000002"/>
    <n v="0"/>
    <n v="1581.5217676909865"/>
    <n v="918.07886926765661"/>
  </r>
  <r>
    <s v="Regular"/>
    <x v="2"/>
    <x v="2"/>
    <x v="1"/>
    <x v="1"/>
    <x v="3"/>
    <x v="0"/>
    <x v="2"/>
    <x v="1"/>
    <n v="0"/>
    <n v="0"/>
    <n v="220.43299999999999"/>
    <n v="220.43299999999999"/>
    <n v="220.43299999999999"/>
    <n v="220.43299999999999"/>
    <n v="0"/>
    <x v="0"/>
    <n v="0"/>
    <n v="0"/>
    <n v="61"/>
    <n v="72"/>
    <n v="0"/>
    <n v="374.66"/>
    <n v="221.96"/>
    <m/>
    <n v="406.66540696605466"/>
    <n v="236.07067864943602"/>
    <n v="0"/>
    <n v="82587.427779999998"/>
    <n v="48927.308680000002"/>
    <n v="0"/>
    <n v="89642.475653748319"/>
    <n v="52037.767906731126"/>
  </r>
  <r>
    <s v="Sistema de Compensação"/>
    <x v="2"/>
    <x v="2"/>
    <x v="1"/>
    <x v="1"/>
    <x v="3"/>
    <x v="0"/>
    <x v="2"/>
    <x v="1"/>
    <n v="0"/>
    <n v="0"/>
    <n v="0.1"/>
    <n v="0.1"/>
    <n v="0.1"/>
    <n v="0.1"/>
    <n v="0"/>
    <x v="0"/>
    <n v="0"/>
    <n v="0"/>
    <n v="61"/>
    <n v="72"/>
    <n v="0"/>
    <n v="374.66"/>
    <n v="221.96"/>
    <m/>
    <n v="406.66540696605466"/>
    <n v="236.07067864943602"/>
    <n v="0"/>
    <n v="37.466000000000001"/>
    <n v="22.196000000000002"/>
    <n v="0"/>
    <n v="40.666540696605466"/>
    <n v="23.607067864943602"/>
  </r>
  <r>
    <s v="Regular"/>
    <x v="2"/>
    <x v="2"/>
    <x v="1"/>
    <x v="1"/>
    <x v="3"/>
    <x v="0"/>
    <x v="2"/>
    <x v="2"/>
    <n v="0"/>
    <n v="0"/>
    <n v="139.81899999999999"/>
    <n v="139.81899999999999"/>
    <n v="139.81899999999999"/>
    <n v="139.81899999999999"/>
    <n v="0"/>
    <x v="0"/>
    <n v="0"/>
    <n v="0"/>
    <n v="61"/>
    <n v="72"/>
    <n v="0"/>
    <n v="374.66"/>
    <n v="221.96"/>
    <m/>
    <n v="406.66540696605466"/>
    <n v="236.07067864943602"/>
    <n v="0"/>
    <n v="52384.586539999997"/>
    <n v="31034.22524"/>
    <n v="0"/>
    <n v="56859.550536586794"/>
    <n v="33007.166218085491"/>
  </r>
  <r>
    <s v="Sistema de Compensação"/>
    <x v="2"/>
    <x v="2"/>
    <x v="1"/>
    <x v="1"/>
    <x v="3"/>
    <x v="0"/>
    <x v="2"/>
    <x v="2"/>
    <n v="0"/>
    <n v="0"/>
    <n v="10.055"/>
    <n v="10.055"/>
    <n v="10.055"/>
    <n v="10.055"/>
    <n v="0"/>
    <x v="0"/>
    <n v="0"/>
    <n v="0"/>
    <n v="61"/>
    <n v="72"/>
    <n v="0"/>
    <n v="374.66"/>
    <n v="221.96"/>
    <m/>
    <n v="406.66540696605466"/>
    <n v="236.07067864943602"/>
    <n v="0"/>
    <n v="3767.2063000000003"/>
    <n v="2231.8078"/>
    <n v="0"/>
    <n v="4089.0206670436796"/>
    <n v="2373.6906738200792"/>
  </r>
  <r>
    <s v="Regular"/>
    <x v="2"/>
    <x v="2"/>
    <x v="1"/>
    <x v="1"/>
    <x v="3"/>
    <x v="0"/>
    <x v="2"/>
    <x v="3"/>
    <n v="0"/>
    <n v="0"/>
    <n v="27.771999999999998"/>
    <n v="27.771999999999998"/>
    <n v="27.771999999999998"/>
    <n v="27.771999999999998"/>
    <n v="0"/>
    <x v="0"/>
    <n v="0"/>
    <n v="0"/>
    <n v="61"/>
    <n v="72"/>
    <n v="0"/>
    <n v="374.66"/>
    <n v="221.96"/>
    <m/>
    <n v="406.66540696605466"/>
    <n v="236.07067864943602"/>
    <n v="0"/>
    <n v="10405.05752"/>
    <n v="6164.2731199999998"/>
    <n v="0"/>
    <n v="11293.911682261269"/>
    <n v="6556.1548874521368"/>
  </r>
  <r>
    <s v="Sistema de Compensação"/>
    <x v="2"/>
    <x v="2"/>
    <x v="1"/>
    <x v="1"/>
    <x v="3"/>
    <x v="0"/>
    <x v="2"/>
    <x v="3"/>
    <n v="0"/>
    <n v="0"/>
    <n v="0.2"/>
    <n v="0.2"/>
    <n v="0.2"/>
    <n v="0.2"/>
    <n v="0"/>
    <x v="0"/>
    <n v="0"/>
    <n v="0"/>
    <n v="61"/>
    <n v="72"/>
    <n v="0"/>
    <n v="374.66"/>
    <n v="221.96"/>
    <m/>
    <n v="406.66540696605466"/>
    <n v="236.07067864943602"/>
    <n v="0"/>
    <n v="74.932000000000002"/>
    <n v="44.392000000000003"/>
    <n v="0"/>
    <n v="81.333081393210932"/>
    <n v="47.214135729887204"/>
  </r>
  <r>
    <s v="Regular"/>
    <x v="2"/>
    <x v="2"/>
    <x v="1"/>
    <x v="1"/>
    <x v="3"/>
    <x v="0"/>
    <x v="2"/>
    <x v="4"/>
    <n v="0"/>
    <n v="0"/>
    <n v="5.6420000000000003"/>
    <n v="5.6420000000000003"/>
    <n v="5.6420000000000003"/>
    <n v="5.6420000000000003"/>
    <n v="0"/>
    <x v="0"/>
    <n v="0"/>
    <n v="0"/>
    <n v="61"/>
    <n v="72"/>
    <n v="0"/>
    <n v="374.66"/>
    <n v="221.96"/>
    <m/>
    <n v="406.66540696605466"/>
    <n v="236.07067864943602"/>
    <n v="0"/>
    <n v="2113.8317200000001"/>
    <n v="1252.2983200000001"/>
    <n v="0"/>
    <n v="2294.4062261024806"/>
    <n v="1331.910768940118"/>
  </r>
  <r>
    <s v="Refaturamento - Regular"/>
    <x v="2"/>
    <x v="2"/>
    <x v="1"/>
    <x v="1"/>
    <x v="3"/>
    <x v="0"/>
    <x v="2"/>
    <x v="4"/>
    <n v="0"/>
    <n v="0"/>
    <n v="3.2040000000000002"/>
    <n v="3.2040000000000002"/>
    <n v="3.2040000000000002"/>
    <n v="3.2040000000000002"/>
    <n v="0"/>
    <x v="0"/>
    <n v="0"/>
    <n v="0"/>
    <n v="61"/>
    <n v="72"/>
    <n v="0"/>
    <n v="374.66"/>
    <n v="221.96"/>
    <m/>
    <n v="406.66540696605466"/>
    <n v="236.07067864943602"/>
    <n v="0"/>
    <n v="1200.4106400000001"/>
    <n v="711.15984000000003"/>
    <n v="0"/>
    <n v="1302.9559639192391"/>
    <n v="756.37045439279302"/>
  </r>
  <r>
    <s v="Sistema de Compensação"/>
    <x v="2"/>
    <x v="2"/>
    <x v="1"/>
    <x v="1"/>
    <x v="3"/>
    <x v="0"/>
    <x v="2"/>
    <x v="4"/>
    <n v="0"/>
    <n v="0"/>
    <n v="0.16"/>
    <n v="0.16"/>
    <n v="0.16"/>
    <n v="0.16"/>
    <n v="0"/>
    <x v="0"/>
    <n v="0"/>
    <n v="0"/>
    <n v="61"/>
    <n v="72"/>
    <n v="0"/>
    <n v="374.66"/>
    <n v="221.96"/>
    <m/>
    <n v="406.66540696605466"/>
    <n v="236.07067864943602"/>
    <n v="0"/>
    <n v="59.945600000000006"/>
    <n v="35.513600000000004"/>
    <n v="0"/>
    <n v="65.066465114568743"/>
    <n v="37.771308583909764"/>
  </r>
  <r>
    <s v="Regular"/>
    <x v="2"/>
    <x v="2"/>
    <x v="1"/>
    <x v="1"/>
    <x v="3"/>
    <x v="0"/>
    <x v="2"/>
    <x v="0"/>
    <n v="0"/>
    <n v="0"/>
    <n v="3.7"/>
    <n v="3.7"/>
    <n v="3.7"/>
    <n v="3.7"/>
    <n v="0"/>
    <x v="0"/>
    <n v="0"/>
    <n v="0"/>
    <n v="61"/>
    <n v="72"/>
    <n v="0"/>
    <n v="374.66"/>
    <n v="221.96"/>
    <m/>
    <n v="406.66540696605466"/>
    <n v="236.07067864943602"/>
    <n v="0"/>
    <n v="1386.2420000000002"/>
    <n v="821.25200000000007"/>
    <n v="0"/>
    <n v="1504.6620057744024"/>
    <n v="873.46151100291331"/>
  </r>
  <r>
    <s v="Sistema de Compensação"/>
    <x v="2"/>
    <x v="2"/>
    <x v="1"/>
    <x v="1"/>
    <x v="3"/>
    <x v="0"/>
    <x v="2"/>
    <x v="0"/>
    <n v="0"/>
    <n v="0"/>
    <n v="0.16"/>
    <n v="0.16"/>
    <n v="0.16"/>
    <n v="0.16"/>
    <n v="0"/>
    <x v="0"/>
    <n v="0"/>
    <n v="0"/>
    <n v="61"/>
    <n v="72"/>
    <n v="0"/>
    <n v="374.66"/>
    <n v="221.96"/>
    <m/>
    <n v="406.66540696605466"/>
    <n v="236.07067864943602"/>
    <n v="0"/>
    <n v="59.945600000000006"/>
    <n v="35.513600000000004"/>
    <n v="0"/>
    <n v="65.066465114568743"/>
    <n v="37.771308583909764"/>
  </r>
  <r>
    <s v="Regular"/>
    <x v="2"/>
    <x v="2"/>
    <x v="1"/>
    <x v="1"/>
    <x v="2"/>
    <x v="0"/>
    <x v="2"/>
    <x v="5"/>
    <n v="0"/>
    <n v="0"/>
    <n v="0.55600000000000005"/>
    <n v="0.22239999999999999"/>
    <n v="0.55600000000000005"/>
    <n v="0.22239999999999999"/>
    <n v="0"/>
    <x v="0"/>
    <n v="0"/>
    <n v="0"/>
    <n v="33"/>
    <n v="72"/>
    <n v="0"/>
    <n v="374.66"/>
    <n v="221.96"/>
    <m/>
    <n v="406.66540696605466"/>
    <n v="236.07067864943602"/>
    <n v="0"/>
    <n v="83.324383999999995"/>
    <n v="49.363903999999998"/>
    <n v="0"/>
    <n v="90.442386509250554"/>
    <n v="52.50211893163457"/>
  </r>
  <r>
    <s v="Sistema de Compensação"/>
    <x v="2"/>
    <x v="2"/>
    <x v="1"/>
    <x v="1"/>
    <x v="2"/>
    <x v="0"/>
    <x v="2"/>
    <x v="5"/>
    <n v="0"/>
    <n v="0"/>
    <n v="0.247"/>
    <n v="0.247"/>
    <n v="0.247"/>
    <n v="0.247"/>
    <n v="0"/>
    <x v="0"/>
    <n v="0"/>
    <n v="0"/>
    <n v="33"/>
    <n v="72"/>
    <n v="0"/>
    <n v="374.66"/>
    <n v="221.96"/>
    <m/>
    <n v="406.66540696605466"/>
    <n v="236.07067864943602"/>
    <n v="0"/>
    <n v="92.541020000000003"/>
    <n v="54.824120000000001"/>
    <n v="0"/>
    <n v="100.4463555206155"/>
    <n v="58.309457626410698"/>
  </r>
  <r>
    <s v="Regular"/>
    <x v="2"/>
    <x v="2"/>
    <x v="1"/>
    <x v="1"/>
    <x v="2"/>
    <x v="0"/>
    <x v="2"/>
    <x v="6"/>
    <n v="0"/>
    <n v="0"/>
    <n v="1.163"/>
    <n v="0.4652"/>
    <n v="1.163"/>
    <n v="0.4652"/>
    <n v="0"/>
    <x v="0"/>
    <n v="0"/>
    <n v="0"/>
    <n v="33"/>
    <n v="72"/>
    <n v="0"/>
    <n v="374.66"/>
    <n v="221.96"/>
    <m/>
    <n v="406.66540696605466"/>
    <n v="236.07067864943602"/>
    <n v="0"/>
    <n v="174.291832"/>
    <n v="103.255792"/>
    <n v="0"/>
    <n v="189.18074732060862"/>
    <n v="109.82007970771764"/>
  </r>
  <r>
    <s v="Sistema de Compensação"/>
    <x v="2"/>
    <x v="2"/>
    <x v="1"/>
    <x v="1"/>
    <x v="2"/>
    <x v="0"/>
    <x v="2"/>
    <x v="6"/>
    <n v="0"/>
    <n v="0"/>
    <n v="0.317"/>
    <n v="0.317"/>
    <n v="0.317"/>
    <n v="0.317"/>
    <n v="0"/>
    <x v="0"/>
    <n v="0"/>
    <n v="0"/>
    <n v="33"/>
    <n v="72"/>
    <n v="0"/>
    <n v="374.66"/>
    <n v="221.96"/>
    <m/>
    <n v="406.66540696605466"/>
    <n v="236.07067864943602"/>
    <n v="0"/>
    <n v="118.76722000000001"/>
    <n v="70.361320000000006"/>
    <n v="0"/>
    <n v="128.91293400823932"/>
    <n v="74.834405131871222"/>
  </r>
  <r>
    <s v="Regular"/>
    <x v="2"/>
    <x v="2"/>
    <x v="1"/>
    <x v="1"/>
    <x v="2"/>
    <x v="0"/>
    <x v="2"/>
    <x v="7"/>
    <n v="0"/>
    <n v="0"/>
    <n v="5.7380000000000004"/>
    <n v="2.2951999999999999"/>
    <n v="5.7380000000000004"/>
    <n v="2.2951999999999999"/>
    <n v="0"/>
    <x v="0"/>
    <n v="0"/>
    <n v="0"/>
    <n v="33"/>
    <n v="72"/>
    <n v="0"/>
    <n v="374.66"/>
    <n v="221.96"/>
    <m/>
    <n v="406.66540696605466"/>
    <n v="236.07067864943602"/>
    <n v="0"/>
    <n v="859.91963199999998"/>
    <n v="509.44259199999999"/>
    <n v="0"/>
    <n v="933.37844206848865"/>
    <n v="541.82942163618554"/>
  </r>
  <r>
    <s v="Sistema de Compensação"/>
    <x v="2"/>
    <x v="2"/>
    <x v="1"/>
    <x v="1"/>
    <x v="2"/>
    <x v="0"/>
    <x v="2"/>
    <x v="7"/>
    <n v="0"/>
    <n v="0"/>
    <n v="1.1499999999999999"/>
    <n v="1.1499999999999999"/>
    <n v="1.1499999999999999"/>
    <n v="1.1499999999999999"/>
    <n v="0"/>
    <x v="0"/>
    <n v="0"/>
    <n v="0"/>
    <n v="33"/>
    <n v="72"/>
    <n v="0"/>
    <n v="374.66"/>
    <n v="221.96"/>
    <m/>
    <n v="406.66540696605466"/>
    <n v="236.07067864943602"/>
    <n v="0"/>
    <n v="430.85899999999998"/>
    <n v="255.25399999999999"/>
    <n v="0"/>
    <n v="467.6652180109628"/>
    <n v="271.48128044685143"/>
  </r>
  <r>
    <s v="Regular"/>
    <x v="2"/>
    <x v="2"/>
    <x v="1"/>
    <x v="1"/>
    <x v="2"/>
    <x v="0"/>
    <x v="2"/>
    <x v="8"/>
    <n v="0"/>
    <n v="0"/>
    <n v="19.593"/>
    <n v="7.8372000000000002"/>
    <n v="19.593"/>
    <n v="7.8372000000000002"/>
    <n v="0"/>
    <x v="0"/>
    <n v="0"/>
    <n v="0"/>
    <n v="33"/>
    <n v="72"/>
    <n v="0"/>
    <n v="374.66"/>
    <n v="221.96"/>
    <m/>
    <n v="406.66540696605466"/>
    <n v="236.07067864943602"/>
    <n v="0"/>
    <n v="2936.2853520000003"/>
    <n v="1739.5449120000001"/>
    <n v="0"/>
    <n v="3187.1181274743635"/>
    <n v="1850.1331227113601"/>
  </r>
  <r>
    <s v="Sistema de Compensação"/>
    <x v="2"/>
    <x v="2"/>
    <x v="1"/>
    <x v="1"/>
    <x v="2"/>
    <x v="0"/>
    <x v="2"/>
    <x v="8"/>
    <n v="0"/>
    <n v="0"/>
    <n v="0.01"/>
    <n v="0.01"/>
    <n v="0.01"/>
    <n v="0.01"/>
    <n v="0"/>
    <x v="0"/>
    <n v="0"/>
    <n v="0"/>
    <n v="33"/>
    <n v="72"/>
    <n v="0"/>
    <n v="374.66"/>
    <n v="221.96"/>
    <m/>
    <n v="406.66540696605466"/>
    <n v="236.07067864943602"/>
    <n v="0"/>
    <n v="3.7466000000000004"/>
    <n v="2.2196000000000002"/>
    <n v="0"/>
    <n v="4.0666540696605464"/>
    <n v="2.3607067864943603"/>
  </r>
  <r>
    <s v="Regular"/>
    <x v="2"/>
    <x v="2"/>
    <x v="1"/>
    <x v="1"/>
    <x v="2"/>
    <x v="0"/>
    <x v="2"/>
    <x v="9"/>
    <n v="0"/>
    <n v="0"/>
    <n v="103.77800000000001"/>
    <n v="41.511200000000002"/>
    <n v="103.77800000000001"/>
    <n v="41.511200000000002"/>
    <n v="0"/>
    <x v="0"/>
    <n v="0"/>
    <n v="0"/>
    <n v="33"/>
    <n v="72"/>
    <n v="0"/>
    <n v="374.66"/>
    <n v="221.96"/>
    <m/>
    <n v="406.66540696605466"/>
    <n v="236.07067864943602"/>
    <n v="0"/>
    <n v="15552.586192000002"/>
    <n v="9213.8259520000011"/>
    <n v="0"/>
    <n v="16881.169041649289"/>
    <n v="9799.5771555524698"/>
  </r>
  <r>
    <s v="Refaturamento - Regular"/>
    <x v="2"/>
    <x v="2"/>
    <x v="1"/>
    <x v="1"/>
    <x v="2"/>
    <x v="0"/>
    <x v="2"/>
    <x v="9"/>
    <n v="0"/>
    <n v="0"/>
    <n v="-12.36"/>
    <n v="-4.944"/>
    <n v="-12.36"/>
    <n v="-4.944"/>
    <n v="0"/>
    <x v="0"/>
    <n v="0"/>
    <n v="0"/>
    <n v="33"/>
    <n v="72"/>
    <n v="0"/>
    <n v="374.66"/>
    <n v="221.96"/>
    <m/>
    <n v="406.66540696605466"/>
    <n v="236.07067864943602"/>
    <n v="0"/>
    <n v="-1852.3190400000001"/>
    <n v="-1097.37024"/>
    <n v="0"/>
    <n v="-2010.5537720401742"/>
    <n v="-1167.1334352428116"/>
  </r>
  <r>
    <s v="Sistema de Compensação"/>
    <x v="2"/>
    <x v="2"/>
    <x v="1"/>
    <x v="1"/>
    <x v="2"/>
    <x v="0"/>
    <x v="2"/>
    <x v="9"/>
    <n v="0"/>
    <n v="0"/>
    <n v="8.2799999999999994"/>
    <n v="8.2799999999999994"/>
    <n v="8.2799999999999994"/>
    <n v="8.2799999999999994"/>
    <n v="0"/>
    <x v="0"/>
    <n v="0"/>
    <n v="0"/>
    <n v="33"/>
    <n v="72"/>
    <n v="0"/>
    <n v="374.66"/>
    <n v="221.96"/>
    <m/>
    <n v="406.66540696605466"/>
    <n v="236.07067864943602"/>
    <n v="0"/>
    <n v="3102.1848"/>
    <n v="1837.8288"/>
    <n v="0"/>
    <n v="3367.1895696789325"/>
    <n v="1954.6652192173301"/>
  </r>
  <r>
    <s v="Regular"/>
    <x v="2"/>
    <x v="2"/>
    <x v="1"/>
    <x v="1"/>
    <x v="2"/>
    <x v="0"/>
    <x v="2"/>
    <x v="10"/>
    <n v="0"/>
    <n v="0"/>
    <n v="262.84800000000001"/>
    <n v="105.1392"/>
    <n v="262.84800000000001"/>
    <n v="105.1392"/>
    <n v="0"/>
    <x v="0"/>
    <n v="0"/>
    <n v="0"/>
    <n v="33"/>
    <n v="72"/>
    <n v="0"/>
    <n v="374.66"/>
    <n v="221.96"/>
    <m/>
    <n v="406.66540696605466"/>
    <n v="236.07067864943602"/>
    <n v="0"/>
    <n v="39391.452672000007"/>
    <n v="23336.696832000001"/>
    <n v="0"/>
    <n v="42756.475556085417"/>
    <n v="24820.282296658785"/>
  </r>
  <r>
    <s v="Sistema de Compensação"/>
    <x v="2"/>
    <x v="2"/>
    <x v="1"/>
    <x v="1"/>
    <x v="2"/>
    <x v="0"/>
    <x v="2"/>
    <x v="10"/>
    <n v="0"/>
    <n v="0"/>
    <n v="17.352"/>
    <n v="17.352"/>
    <n v="17.352"/>
    <n v="17.352"/>
    <n v="0"/>
    <x v="0"/>
    <n v="0"/>
    <n v="0"/>
    <n v="33"/>
    <n v="72"/>
    <n v="0"/>
    <n v="374.66"/>
    <n v="221.96"/>
    <m/>
    <n v="406.66540696605466"/>
    <n v="236.07067864943602"/>
    <n v="0"/>
    <n v="6501.1003200000005"/>
    <n v="3851.44992"/>
    <n v="0"/>
    <n v="7056.4581416749807"/>
    <n v="4096.2984159250136"/>
  </r>
  <r>
    <s v="Regular"/>
    <x v="2"/>
    <x v="2"/>
    <x v="1"/>
    <x v="1"/>
    <x v="2"/>
    <x v="0"/>
    <x v="2"/>
    <x v="11"/>
    <n v="0"/>
    <n v="0"/>
    <n v="273.72500000000002"/>
    <n v="109.49"/>
    <n v="273.72500000000002"/>
    <n v="109.49"/>
    <n v="0"/>
    <x v="0"/>
    <n v="0"/>
    <n v="0"/>
    <n v="33"/>
    <n v="72"/>
    <n v="0"/>
    <n v="374.66"/>
    <n v="221.96"/>
    <m/>
    <n v="406.66540696605466"/>
    <n v="236.07067864943602"/>
    <n v="0"/>
    <n v="41021.523399999998"/>
    <n v="24302.400399999999"/>
    <n v="0"/>
    <n v="44525.795408713326"/>
    <n v="25847.378605326747"/>
  </r>
  <r>
    <s v="Sistema de Compensação"/>
    <x v="2"/>
    <x v="2"/>
    <x v="1"/>
    <x v="1"/>
    <x v="2"/>
    <x v="0"/>
    <x v="2"/>
    <x v="11"/>
    <n v="0"/>
    <n v="0"/>
    <n v="26.376999999999999"/>
    <n v="26.376999999999999"/>
    <n v="26.376999999999999"/>
    <n v="26.376999999999999"/>
    <n v="0"/>
    <x v="0"/>
    <n v="0"/>
    <n v="0"/>
    <n v="33"/>
    <n v="72"/>
    <n v="0"/>
    <n v="374.66"/>
    <n v="221.96"/>
    <m/>
    <n v="406.66540696605466"/>
    <n v="236.07067864943602"/>
    <n v="0"/>
    <n v="9882.4068200000002"/>
    <n v="5854.6389200000003"/>
    <n v="0"/>
    <n v="10726.613439543624"/>
    <n v="6226.8362907361734"/>
  </r>
  <r>
    <s v="Regular"/>
    <x v="2"/>
    <x v="2"/>
    <x v="1"/>
    <x v="1"/>
    <x v="2"/>
    <x v="0"/>
    <x v="2"/>
    <x v="1"/>
    <n v="0"/>
    <n v="0"/>
    <n v="101.414"/>
    <n v="40.565600000000003"/>
    <n v="101.414"/>
    <n v="40.565600000000003"/>
    <n v="0"/>
    <x v="0"/>
    <n v="0"/>
    <n v="0"/>
    <n v="33"/>
    <n v="72"/>
    <n v="0"/>
    <n v="374.66"/>
    <n v="221.96"/>
    <m/>
    <n v="406.66540696605466"/>
    <n v="236.07067864943602"/>
    <n v="0"/>
    <n v="15198.307696000002"/>
    <n v="9003.9405760000009"/>
    <n v="0"/>
    <n v="16496.626232822189"/>
    <n v="9576.3487218215632"/>
  </r>
  <r>
    <s v="Regular"/>
    <x v="2"/>
    <x v="2"/>
    <x v="1"/>
    <x v="1"/>
    <x v="2"/>
    <x v="0"/>
    <x v="2"/>
    <x v="2"/>
    <n v="0"/>
    <n v="0"/>
    <n v="67.37"/>
    <n v="26.948"/>
    <n v="67.37"/>
    <n v="26.948"/>
    <n v="0"/>
    <x v="0"/>
    <n v="0"/>
    <n v="0"/>
    <n v="33"/>
    <n v="72"/>
    <n v="0"/>
    <n v="374.66"/>
    <n v="221.96"/>
    <m/>
    <n v="406.66540696605466"/>
    <n v="236.07067864943602"/>
    <n v="0"/>
    <n v="10096.337680000001"/>
    <n v="5981.3780800000004"/>
    <n v="0"/>
    <n v="10958.819386921241"/>
    <n v="6361.6326482450022"/>
  </r>
  <r>
    <s v="Sistema de Compensação"/>
    <x v="2"/>
    <x v="2"/>
    <x v="1"/>
    <x v="1"/>
    <x v="2"/>
    <x v="0"/>
    <x v="2"/>
    <x v="2"/>
    <n v="0"/>
    <n v="0"/>
    <n v="6.4210000000000003"/>
    <n v="6.4210000000000003"/>
    <n v="6.4210000000000003"/>
    <n v="6.4210000000000003"/>
    <n v="0"/>
    <x v="0"/>
    <n v="0"/>
    <n v="0"/>
    <n v="33"/>
    <n v="72"/>
    <n v="0"/>
    <n v="374.66"/>
    <n v="221.96"/>
    <m/>
    <n v="406.66540696605466"/>
    <n v="236.07067864943602"/>
    <n v="0"/>
    <n v="2405.6918600000004"/>
    <n v="1425.2051600000002"/>
    <n v="0"/>
    <n v="2611.1985781290373"/>
    <n v="1515.8098276080286"/>
  </r>
  <r>
    <s v="Regular"/>
    <x v="2"/>
    <x v="2"/>
    <x v="1"/>
    <x v="1"/>
    <x v="2"/>
    <x v="0"/>
    <x v="2"/>
    <x v="3"/>
    <n v="0"/>
    <n v="0"/>
    <n v="26.43"/>
    <n v="10.571999999999999"/>
    <n v="26.43"/>
    <n v="10.571999999999999"/>
    <n v="0"/>
    <x v="0"/>
    <n v="0"/>
    <n v="0"/>
    <n v="33"/>
    <n v="72"/>
    <n v="0"/>
    <n v="374.66"/>
    <n v="221.96"/>
    <m/>
    <n v="406.66540696605466"/>
    <n v="236.07067864943602"/>
    <n v="0"/>
    <n v="3960.9055199999998"/>
    <n v="2346.5611199999998"/>
    <n v="0"/>
    <n v="4299.2666824451298"/>
    <n v="2495.7392146818374"/>
  </r>
  <r>
    <s v="Sistema de Compensação"/>
    <x v="2"/>
    <x v="2"/>
    <x v="1"/>
    <x v="1"/>
    <x v="2"/>
    <x v="0"/>
    <x v="2"/>
    <x v="3"/>
    <n v="0"/>
    <n v="0"/>
    <n v="0.2"/>
    <n v="0.2"/>
    <n v="0.2"/>
    <n v="0.2"/>
    <n v="0"/>
    <x v="0"/>
    <n v="0"/>
    <n v="0"/>
    <n v="33"/>
    <n v="72"/>
    <n v="0"/>
    <n v="374.66"/>
    <n v="221.96"/>
    <m/>
    <n v="406.66540696605466"/>
    <n v="236.07067864943602"/>
    <n v="0"/>
    <n v="74.932000000000002"/>
    <n v="44.392000000000003"/>
    <n v="0"/>
    <n v="81.333081393210932"/>
    <n v="47.214135729887204"/>
  </r>
  <r>
    <s v="Regular"/>
    <x v="2"/>
    <x v="2"/>
    <x v="1"/>
    <x v="1"/>
    <x v="2"/>
    <x v="0"/>
    <x v="2"/>
    <x v="4"/>
    <n v="0"/>
    <n v="0"/>
    <n v="2.2999999999999998"/>
    <n v="0.92"/>
    <n v="2.2999999999999998"/>
    <n v="0.92"/>
    <n v="0"/>
    <x v="0"/>
    <n v="0"/>
    <n v="0"/>
    <n v="33"/>
    <n v="72"/>
    <n v="0"/>
    <n v="374.66"/>
    <n v="221.96"/>
    <m/>
    <n v="406.66540696605466"/>
    <n v="236.07067864943602"/>
    <n v="0"/>
    <n v="344.68720000000002"/>
    <n v="204.20320000000001"/>
    <n v="0"/>
    <n v="374.13217440877031"/>
    <n v="217.18502435748115"/>
  </r>
  <r>
    <s v="Refaturamento - Regular"/>
    <x v="2"/>
    <x v="2"/>
    <x v="1"/>
    <x v="1"/>
    <x v="2"/>
    <x v="0"/>
    <x v="2"/>
    <x v="4"/>
    <n v="0"/>
    <n v="0"/>
    <n v="-3.1019999999999999"/>
    <n v="-1.2407999999999999"/>
    <n v="-3.1019999999999999"/>
    <n v="-1.2407999999999999"/>
    <n v="0"/>
    <x v="0"/>
    <n v="0"/>
    <n v="0"/>
    <n v="33"/>
    <n v="72"/>
    <n v="0"/>
    <n v="374.66"/>
    <n v="221.96"/>
    <m/>
    <n v="406.66540696605466"/>
    <n v="236.07067864943602"/>
    <n v="0"/>
    <n v="-464.878128"/>
    <n v="-275.40796799999998"/>
    <n v="0"/>
    <n v="-504.59043696348056"/>
    <n v="-292.91649806822016"/>
  </r>
  <r>
    <s v="Sistema de Compensação"/>
    <x v="2"/>
    <x v="2"/>
    <x v="1"/>
    <x v="1"/>
    <x v="2"/>
    <x v="0"/>
    <x v="2"/>
    <x v="4"/>
    <n v="0"/>
    <n v="0"/>
    <n v="0.04"/>
    <n v="0.04"/>
    <n v="0.04"/>
    <n v="0.04"/>
    <n v="0"/>
    <x v="0"/>
    <n v="0"/>
    <n v="0"/>
    <n v="33"/>
    <n v="72"/>
    <n v="0"/>
    <n v="374.66"/>
    <n v="221.96"/>
    <m/>
    <n v="406.66540696605466"/>
    <n v="236.07067864943602"/>
    <n v="0"/>
    <n v="14.986400000000001"/>
    <n v="8.878400000000001"/>
    <n v="0"/>
    <n v="16.266616278642186"/>
    <n v="9.4428271459774411"/>
  </r>
  <r>
    <s v="Regular"/>
    <x v="2"/>
    <x v="2"/>
    <x v="1"/>
    <x v="1"/>
    <x v="2"/>
    <x v="0"/>
    <x v="2"/>
    <x v="0"/>
    <n v="0"/>
    <n v="0"/>
    <n v="0.42"/>
    <n v="0.16800000000000001"/>
    <n v="0.42"/>
    <n v="0.16800000000000001"/>
    <n v="0"/>
    <x v="0"/>
    <n v="0"/>
    <n v="0"/>
    <n v="33"/>
    <n v="72"/>
    <n v="0"/>
    <n v="374.66"/>
    <n v="221.96"/>
    <m/>
    <n v="406.66540696605466"/>
    <n v="236.07067864943602"/>
    <n v="0"/>
    <n v="62.942880000000009"/>
    <n v="37.289280000000005"/>
    <n v="0"/>
    <n v="68.319788370297189"/>
    <n v="39.659874013105252"/>
  </r>
  <r>
    <s v="Sistema de Compensação"/>
    <x v="2"/>
    <x v="2"/>
    <x v="1"/>
    <x v="1"/>
    <x v="2"/>
    <x v="0"/>
    <x v="2"/>
    <x v="0"/>
    <n v="0"/>
    <n v="0"/>
    <n v="0.04"/>
    <n v="1.6E-2"/>
    <n v="0.04"/>
    <n v="1.6E-2"/>
    <n v="0"/>
    <x v="0"/>
    <n v="0"/>
    <n v="0"/>
    <n v="33"/>
    <n v="72"/>
    <n v="0"/>
    <n v="374.66"/>
    <n v="221.96"/>
    <m/>
    <n v="406.66540696605466"/>
    <n v="236.07067864943602"/>
    <n v="0"/>
    <n v="5.9945600000000008"/>
    <n v="3.5513600000000003"/>
    <n v="0"/>
    <n v="6.506646511456875"/>
    <n v="3.7771308583909762"/>
  </r>
  <r>
    <s v="Regular"/>
    <x v="2"/>
    <x v="2"/>
    <x v="1"/>
    <x v="0"/>
    <x v="0"/>
    <x v="0"/>
    <x v="2"/>
    <x v="5"/>
    <n v="0"/>
    <n v="0"/>
    <n v="2436.2240000000002"/>
    <n v="2436.2240000000002"/>
    <n v="2436.2240000000002"/>
    <n v="2436.2240000000002"/>
    <n v="12117"/>
    <x v="0"/>
    <n v="0"/>
    <n v="0"/>
    <n v="61"/>
    <n v="72"/>
    <n v="0"/>
    <n v="374.66"/>
    <n v="221.96"/>
    <m/>
    <n v="406.66540696605466"/>
    <n v="236.07067864943602"/>
    <n v="0"/>
    <n v="912755.68384000007"/>
    <n v="540744.27904000005"/>
    <n v="0"/>
    <n v="990728.02442046965"/>
    <n v="575121.05302204366"/>
  </r>
  <r>
    <s v="Refaturamento - Regular"/>
    <x v="2"/>
    <x v="2"/>
    <x v="1"/>
    <x v="0"/>
    <x v="0"/>
    <x v="0"/>
    <x v="2"/>
    <x v="5"/>
    <n v="0"/>
    <n v="0"/>
    <n v="-8.2919999999999998"/>
    <n v="-8.2919999999999998"/>
    <n v="-8.2919999999999998"/>
    <n v="-8.2919999999999998"/>
    <n v="0"/>
    <x v="0"/>
    <n v="0"/>
    <n v="0"/>
    <n v="61"/>
    <n v="72"/>
    <n v="0"/>
    <n v="374.66"/>
    <n v="221.96"/>
    <m/>
    <n v="406.66540696605466"/>
    <n v="236.07067864943602"/>
    <n v="0"/>
    <n v="-3106.6807200000003"/>
    <n v="-1840.4923200000001"/>
    <n v="0"/>
    <n v="-3372.0695545625254"/>
    <n v="-1957.4980673611235"/>
  </r>
  <r>
    <s v="Sistema de Compensação"/>
    <x v="2"/>
    <x v="2"/>
    <x v="1"/>
    <x v="0"/>
    <x v="0"/>
    <x v="0"/>
    <x v="2"/>
    <x v="5"/>
    <n v="0"/>
    <n v="0"/>
    <n v="119.592"/>
    <n v="119.592"/>
    <n v="119.592"/>
    <n v="119.592"/>
    <n v="747"/>
    <x v="0"/>
    <n v="0"/>
    <n v="0"/>
    <n v="61"/>
    <n v="72"/>
    <n v="0"/>
    <n v="374.66"/>
    <n v="221.96"/>
    <m/>
    <n v="406.66540696605466"/>
    <n v="236.07067864943602"/>
    <n v="0"/>
    <n v="44806.33872"/>
    <n v="26544.640320000002"/>
    <n v="0"/>
    <n v="48633.929349884405"/>
    <n v="28232.164601043351"/>
  </r>
  <r>
    <s v="Regular"/>
    <x v="2"/>
    <x v="2"/>
    <x v="1"/>
    <x v="0"/>
    <x v="0"/>
    <x v="0"/>
    <x v="2"/>
    <x v="6"/>
    <n v="0"/>
    <n v="0"/>
    <n v="2560.5230000000001"/>
    <n v="2560.5230000000001"/>
    <n v="2560.5230000000001"/>
    <n v="2560.5230000000001"/>
    <n v="12097"/>
    <x v="0"/>
    <n v="0"/>
    <n v="0"/>
    <n v="61"/>
    <n v="72"/>
    <n v="0"/>
    <n v="374.66"/>
    <n v="221.96"/>
    <m/>
    <n v="406.66540696605466"/>
    <n v="236.07067864943602"/>
    <n v="0"/>
    <n v="959325.54718000011"/>
    <n v="568333.68508000008"/>
    <n v="0"/>
    <n v="1041276.1278409433"/>
    <n v="604464.40230748989"/>
  </r>
  <r>
    <s v="Refaturamento - Regular"/>
    <x v="2"/>
    <x v="2"/>
    <x v="1"/>
    <x v="0"/>
    <x v="0"/>
    <x v="0"/>
    <x v="2"/>
    <x v="6"/>
    <n v="0"/>
    <n v="0"/>
    <n v="-2.149"/>
    <n v="-2.149"/>
    <n v="-2.149"/>
    <n v="-2.149"/>
    <n v="0"/>
    <x v="0"/>
    <n v="0"/>
    <n v="0"/>
    <n v="61"/>
    <n v="72"/>
    <n v="0"/>
    <n v="374.66"/>
    <n v="221.96"/>
    <m/>
    <n v="406.66540696605466"/>
    <n v="236.07067864943602"/>
    <n v="0"/>
    <n v="-805.14434000000006"/>
    <n v="-476.99204000000003"/>
    <n v="0"/>
    <n v="-873.92395957005147"/>
    <n v="-507.31588841763801"/>
  </r>
  <r>
    <s v="Sistema de Compensação"/>
    <x v="2"/>
    <x v="2"/>
    <x v="1"/>
    <x v="0"/>
    <x v="0"/>
    <x v="0"/>
    <x v="2"/>
    <x v="6"/>
    <n v="0"/>
    <n v="0"/>
    <n v="102.249"/>
    <n v="102.249"/>
    <n v="102.249"/>
    <n v="102.249"/>
    <n v="775"/>
    <x v="0"/>
    <n v="0"/>
    <n v="0"/>
    <n v="61"/>
    <n v="72"/>
    <n v="0"/>
    <n v="374.66"/>
    <n v="221.96"/>
    <m/>
    <n v="406.66540696605466"/>
    <n v="236.07067864943602"/>
    <n v="0"/>
    <n v="38308.610339999999"/>
    <n v="22695.188040000001"/>
    <n v="0"/>
    <n v="41581.13119687212"/>
    <n v="24137.990821226183"/>
  </r>
  <r>
    <s v="Sistema de Compensação"/>
    <x v="2"/>
    <x v="2"/>
    <x v="1"/>
    <x v="0"/>
    <x v="0"/>
    <x v="0"/>
    <x v="2"/>
    <x v="6"/>
    <n v="0"/>
    <n v="0"/>
    <n v="-0.85499999999999998"/>
    <n v="-0.85499999999999998"/>
    <n v="-0.85499999999999998"/>
    <n v="-0.85499999999999998"/>
    <n v="2"/>
    <x v="0"/>
    <n v="0"/>
    <n v="0"/>
    <n v="61"/>
    <n v="72"/>
    <n v="0"/>
    <n v="374.66"/>
    <n v="221.96"/>
    <m/>
    <n v="406.66540696605466"/>
    <n v="236.07067864943602"/>
    <n v="0"/>
    <n v="-320.33430000000004"/>
    <n v="-189.7758"/>
    <n v="0"/>
    <n v="-347.69892295597674"/>
    <n v="-201.84043024526778"/>
  </r>
  <r>
    <s v="Regular"/>
    <x v="2"/>
    <x v="2"/>
    <x v="1"/>
    <x v="0"/>
    <x v="0"/>
    <x v="0"/>
    <x v="2"/>
    <x v="7"/>
    <n v="0"/>
    <n v="0"/>
    <n v="2550.3969999999999"/>
    <n v="2550.3969999999999"/>
    <n v="2550.3969999999999"/>
    <n v="2550.3969999999999"/>
    <n v="12093"/>
    <x v="0"/>
    <n v="0"/>
    <n v="0"/>
    <n v="61"/>
    <n v="72"/>
    <n v="0"/>
    <n v="374.66"/>
    <n v="221.96"/>
    <m/>
    <n v="406.66540696605466"/>
    <n v="236.07067864943602"/>
    <n v="0"/>
    <n v="955531.74002000003"/>
    <n v="566086.11812"/>
    <n v="0"/>
    <n v="1037158.2339300049"/>
    <n v="602073.95061548566"/>
  </r>
  <r>
    <s v="Refaturamento - Regular"/>
    <x v="2"/>
    <x v="2"/>
    <x v="1"/>
    <x v="0"/>
    <x v="0"/>
    <x v="0"/>
    <x v="2"/>
    <x v="7"/>
    <n v="0"/>
    <n v="0"/>
    <n v="-0.878"/>
    <n v="-0.878"/>
    <n v="-0.878"/>
    <n v="-0.878"/>
    <n v="0"/>
    <x v="0"/>
    <n v="0"/>
    <n v="0"/>
    <n v="61"/>
    <n v="72"/>
    <n v="0"/>
    <n v="374.66"/>
    <n v="221.96"/>
    <m/>
    <n v="406.66540696605466"/>
    <n v="236.07067864943602"/>
    <n v="0"/>
    <n v="-328.95148"/>
    <n v="-194.88088000000002"/>
    <n v="0"/>
    <n v="-357.05222731619597"/>
    <n v="-207.27005585420483"/>
  </r>
  <r>
    <s v="Sistema de Compensação"/>
    <x v="2"/>
    <x v="2"/>
    <x v="1"/>
    <x v="0"/>
    <x v="0"/>
    <x v="0"/>
    <x v="2"/>
    <x v="7"/>
    <n v="0"/>
    <n v="0"/>
    <n v="96.396000000000001"/>
    <n v="96.396000000000001"/>
    <n v="96.396000000000001"/>
    <n v="96.396000000000001"/>
    <n v="816"/>
    <x v="0"/>
    <n v="0"/>
    <n v="0"/>
    <n v="61"/>
    <n v="72"/>
    <n v="0"/>
    <n v="374.66"/>
    <n v="221.96"/>
    <m/>
    <n v="406.66540696605466"/>
    <n v="236.07067864943602"/>
    <n v="0"/>
    <n v="36115.725360000004"/>
    <n v="21396.05616"/>
    <n v="0"/>
    <n v="39200.918569899804"/>
    <n v="22756.269139091033"/>
  </r>
  <r>
    <s v="Sistema de Compensação"/>
    <x v="2"/>
    <x v="2"/>
    <x v="1"/>
    <x v="0"/>
    <x v="0"/>
    <x v="0"/>
    <x v="2"/>
    <x v="7"/>
    <n v="0"/>
    <n v="0"/>
    <n v="-0.71099999999999997"/>
    <n v="-0.71099999999999997"/>
    <n v="-0.71099999999999997"/>
    <n v="-0.71099999999999997"/>
    <n v="4"/>
    <x v="0"/>
    <n v="0"/>
    <n v="0"/>
    <n v="61"/>
    <n v="72"/>
    <n v="0"/>
    <n v="374.66"/>
    <n v="221.96"/>
    <m/>
    <n v="406.66540696605466"/>
    <n v="236.07067864943602"/>
    <n v="0"/>
    <n v="-266.38326000000001"/>
    <n v="-157.81356"/>
    <n v="0"/>
    <n v="-289.13910435286488"/>
    <n v="-167.84625251974902"/>
  </r>
  <r>
    <s v="Regular"/>
    <x v="2"/>
    <x v="2"/>
    <x v="1"/>
    <x v="0"/>
    <x v="0"/>
    <x v="0"/>
    <x v="2"/>
    <x v="8"/>
    <n v="0"/>
    <n v="0"/>
    <n v="2682.5039999999999"/>
    <n v="2682.5039999999999"/>
    <n v="2682.5039999999999"/>
    <n v="2682.5039999999999"/>
    <n v="12094"/>
    <x v="0"/>
    <n v="0"/>
    <n v="0"/>
    <n v="61"/>
    <n v="72"/>
    <n v="0"/>
    <n v="374.66"/>
    <n v="221.96"/>
    <m/>
    <n v="406.66540696605466"/>
    <n v="236.07067864943602"/>
    <n v="0"/>
    <n v="1005026.9486400001"/>
    <n v="595408.58784000005"/>
    <n v="0"/>
    <n v="1090881.5808480694"/>
    <n v="633260.53975982673"/>
  </r>
  <r>
    <s v="Refaturamento - Regular"/>
    <x v="2"/>
    <x v="2"/>
    <x v="1"/>
    <x v="0"/>
    <x v="0"/>
    <x v="0"/>
    <x v="2"/>
    <x v="8"/>
    <n v="0"/>
    <n v="0"/>
    <n v="-3.08"/>
    <n v="-3.08"/>
    <n v="-3.08"/>
    <n v="-3.08"/>
    <n v="0"/>
    <x v="0"/>
    <n v="0"/>
    <n v="0"/>
    <n v="61"/>
    <n v="72"/>
    <n v="0"/>
    <n v="374.66"/>
    <n v="221.96"/>
    <m/>
    <n v="406.66540696605466"/>
    <n v="236.07067864943602"/>
    <n v="0"/>
    <n v="-1153.9528"/>
    <n v="-683.63679999999999"/>
    <n v="0"/>
    <n v="-1252.5294534554484"/>
    <n v="-727.09769024026298"/>
  </r>
  <r>
    <s v="Sistema de Compensação"/>
    <x v="2"/>
    <x v="2"/>
    <x v="1"/>
    <x v="0"/>
    <x v="0"/>
    <x v="0"/>
    <x v="2"/>
    <x v="8"/>
    <n v="0"/>
    <n v="0"/>
    <n v="83.722999999999999"/>
    <n v="83.722999999999999"/>
    <n v="83.722999999999999"/>
    <n v="83.722999999999999"/>
    <n v="843"/>
    <x v="0"/>
    <n v="0"/>
    <n v="0"/>
    <n v="61"/>
    <n v="72"/>
    <n v="0"/>
    <n v="374.66"/>
    <n v="221.96"/>
    <m/>
    <n v="406.66540696605466"/>
    <n v="236.07067864943602"/>
    <n v="0"/>
    <n v="31367.659180000002"/>
    <n v="18583.157080000001"/>
    <n v="0"/>
    <n v="34047.247867418992"/>
    <n v="19764.545428566733"/>
  </r>
  <r>
    <s v="Regular"/>
    <x v="2"/>
    <x v="2"/>
    <x v="1"/>
    <x v="0"/>
    <x v="0"/>
    <x v="0"/>
    <x v="2"/>
    <x v="9"/>
    <n v="0"/>
    <n v="0"/>
    <n v="3795.2049999999999"/>
    <n v="3795.2049999999999"/>
    <n v="3795.2049999999999"/>
    <n v="3795.2049999999999"/>
    <n v="12103"/>
    <x v="0"/>
    <n v="0"/>
    <n v="0"/>
    <n v="61"/>
    <n v="72"/>
    <n v="0"/>
    <n v="374.66"/>
    <n v="221.96"/>
    <m/>
    <n v="406.66540696605466"/>
    <n v="236.07067864943602"/>
    <n v="0"/>
    <n v="1421911.5053000001"/>
    <n v="842383.70180000004"/>
    <n v="0"/>
    <n v="1543378.5858446055"/>
    <n v="895936.61996373278"/>
  </r>
  <r>
    <s v="Refaturamento - Regular"/>
    <x v="2"/>
    <x v="2"/>
    <x v="1"/>
    <x v="0"/>
    <x v="0"/>
    <x v="0"/>
    <x v="2"/>
    <x v="9"/>
    <n v="0"/>
    <n v="0"/>
    <n v="-8.1120000000000001"/>
    <n v="-8.1120000000000001"/>
    <n v="-8.1120000000000001"/>
    <n v="-8.1120000000000001"/>
    <n v="0"/>
    <x v="0"/>
    <n v="0"/>
    <n v="0"/>
    <n v="61"/>
    <n v="72"/>
    <n v="0"/>
    <n v="374.66"/>
    <n v="221.96"/>
    <m/>
    <n v="406.66540696605466"/>
    <n v="236.07067864943602"/>
    <n v="0"/>
    <n v="-3039.2419200000004"/>
    <n v="-1800.53952"/>
    <n v="0"/>
    <n v="-3298.8697813086355"/>
    <n v="-1915.005345204225"/>
  </r>
  <r>
    <s v="Sistema de Compensação"/>
    <x v="2"/>
    <x v="2"/>
    <x v="1"/>
    <x v="0"/>
    <x v="0"/>
    <x v="0"/>
    <x v="2"/>
    <x v="9"/>
    <n v="0"/>
    <n v="0"/>
    <n v="108.008"/>
    <n v="108.008"/>
    <n v="108.008"/>
    <n v="108.008"/>
    <n v="878"/>
    <x v="0"/>
    <n v="0"/>
    <n v="0"/>
    <n v="61"/>
    <n v="72"/>
    <n v="0"/>
    <n v="374.66"/>
    <n v="221.96"/>
    <m/>
    <n v="406.66540696605466"/>
    <n v="236.07067864943602"/>
    <n v="0"/>
    <n v="40466.277280000002"/>
    <n v="23973.455679999999"/>
    <n v="0"/>
    <n v="43923.117275589633"/>
    <n v="25497.521859568285"/>
  </r>
  <r>
    <s v="Regular"/>
    <x v="2"/>
    <x v="2"/>
    <x v="1"/>
    <x v="0"/>
    <x v="0"/>
    <x v="0"/>
    <x v="2"/>
    <x v="10"/>
    <n v="0"/>
    <n v="0"/>
    <n v="4691.0370000000003"/>
    <n v="4691.0370000000003"/>
    <n v="4691.0370000000003"/>
    <n v="4691.0370000000003"/>
    <n v="12147"/>
    <x v="0"/>
    <n v="0"/>
    <n v="0"/>
    <n v="61"/>
    <n v="72"/>
    <n v="0"/>
    <n v="374.66"/>
    <n v="221.96"/>
    <m/>
    <n v="406.66540696605466"/>
    <n v="236.07067864943602"/>
    <n v="0"/>
    <n v="1757543.9224200002"/>
    <n v="1041222.57252"/>
    <n v="0"/>
    <n v="1907682.4706978202"/>
    <n v="1107416.2881596144"/>
  </r>
  <r>
    <s v="Refaturamento - Regular"/>
    <x v="2"/>
    <x v="2"/>
    <x v="1"/>
    <x v="0"/>
    <x v="0"/>
    <x v="0"/>
    <x v="2"/>
    <x v="10"/>
    <n v="0"/>
    <n v="0"/>
    <n v="-2.028"/>
    <n v="-2.028"/>
    <n v="-2.028"/>
    <n v="-2.028"/>
    <n v="0"/>
    <x v="0"/>
    <n v="0"/>
    <n v="0"/>
    <n v="61"/>
    <n v="72"/>
    <n v="0"/>
    <n v="374.66"/>
    <n v="221.96"/>
    <m/>
    <n v="406.66540696605466"/>
    <n v="236.07067864943602"/>
    <n v="0"/>
    <n v="-759.8104800000001"/>
    <n v="-450.13488000000001"/>
    <n v="0"/>
    <n v="-824.71744532715888"/>
    <n v="-478.75133630105626"/>
  </r>
  <r>
    <s v="Sistema de Compensação"/>
    <x v="2"/>
    <x v="2"/>
    <x v="1"/>
    <x v="0"/>
    <x v="0"/>
    <x v="0"/>
    <x v="2"/>
    <x v="10"/>
    <n v="0"/>
    <n v="0"/>
    <n v="162.435"/>
    <n v="162.435"/>
    <n v="162.435"/>
    <n v="162.435"/>
    <n v="895"/>
    <x v="0"/>
    <n v="0"/>
    <n v="0"/>
    <n v="61"/>
    <n v="72"/>
    <n v="0"/>
    <n v="374.66"/>
    <n v="221.96"/>
    <m/>
    <n v="406.66540696605466"/>
    <n v="236.07067864943602"/>
    <n v="0"/>
    <n v="60857.897100000002"/>
    <n v="36054.0726"/>
    <n v="0"/>
    <n v="66056.695380531091"/>
    <n v="38346.140686421139"/>
  </r>
  <r>
    <s v="Regular"/>
    <x v="2"/>
    <x v="2"/>
    <x v="1"/>
    <x v="0"/>
    <x v="0"/>
    <x v="0"/>
    <x v="2"/>
    <x v="11"/>
    <n v="0"/>
    <n v="0"/>
    <n v="6116.61"/>
    <n v="6116.61"/>
    <n v="6116.61"/>
    <n v="6116.61"/>
    <n v="12138"/>
    <x v="0"/>
    <n v="0"/>
    <n v="0"/>
    <n v="61"/>
    <n v="72"/>
    <n v="0"/>
    <n v="374.66"/>
    <n v="221.96"/>
    <m/>
    <n v="406.66540696605466"/>
    <n v="236.07067864943602"/>
    <n v="0"/>
    <n v="2291649.1025999999"/>
    <n v="1357642.7556"/>
    <n v="0"/>
    <n v="2487413.6949026394"/>
    <n v="1443952.2737339267"/>
  </r>
  <r>
    <s v="Refaturamento - Regular"/>
    <x v="2"/>
    <x v="2"/>
    <x v="1"/>
    <x v="0"/>
    <x v="0"/>
    <x v="0"/>
    <x v="2"/>
    <x v="11"/>
    <n v="0"/>
    <n v="0"/>
    <n v="-0.21199999999999999"/>
    <n v="-0.21199999999999999"/>
    <n v="-0.21199999999999999"/>
    <n v="-0.21199999999999999"/>
    <n v="0"/>
    <x v="0"/>
    <n v="0"/>
    <n v="0"/>
    <n v="61"/>
    <n v="72"/>
    <n v="0"/>
    <n v="374.66"/>
    <n v="221.96"/>
    <m/>
    <n v="406.66540696605466"/>
    <n v="236.07067864943602"/>
    <n v="0"/>
    <n v="-79.42792"/>
    <n v="-47.055520000000001"/>
    <n v="0"/>
    <n v="-86.213066276803588"/>
    <n v="-50.046983873680432"/>
  </r>
  <r>
    <s v="Sistema de Compensação"/>
    <x v="2"/>
    <x v="2"/>
    <x v="1"/>
    <x v="0"/>
    <x v="0"/>
    <x v="0"/>
    <x v="2"/>
    <x v="11"/>
    <n v="0"/>
    <n v="0"/>
    <n v="227.94"/>
    <n v="227.94"/>
    <n v="227.94"/>
    <n v="227.94"/>
    <n v="925"/>
    <x v="0"/>
    <n v="0"/>
    <n v="0"/>
    <n v="61"/>
    <n v="72"/>
    <n v="0"/>
    <n v="374.66"/>
    <n v="221.96"/>
    <m/>
    <n v="406.66540696605466"/>
    <n v="236.07067864943602"/>
    <n v="0"/>
    <n v="85400.000400000004"/>
    <n v="50593.562400000003"/>
    <n v="0"/>
    <n v="92695.312863842497"/>
    <n v="53809.950491352443"/>
  </r>
  <r>
    <s v="Regular"/>
    <x v="2"/>
    <x v="2"/>
    <x v="1"/>
    <x v="0"/>
    <x v="0"/>
    <x v="0"/>
    <x v="2"/>
    <x v="1"/>
    <n v="0"/>
    <n v="0"/>
    <n v="5582.9470000000001"/>
    <n v="5582.9470000000001"/>
    <n v="5582.9470000000001"/>
    <n v="5582.9470000000001"/>
    <n v="12170"/>
    <x v="0"/>
    <n v="0"/>
    <n v="0"/>
    <n v="61"/>
    <n v="72"/>
    <n v="0"/>
    <n v="374.66"/>
    <n v="221.96"/>
    <m/>
    <n v="406.66540696605466"/>
    <n v="236.07067864943602"/>
    <n v="0"/>
    <n v="2091706.9230200001"/>
    <n v="1239190.9161200002"/>
    <n v="0"/>
    <n v="2270391.413824914"/>
    <n v="1317970.0871538329"/>
  </r>
  <r>
    <s v="Sistema de Compensação"/>
    <x v="2"/>
    <x v="2"/>
    <x v="1"/>
    <x v="0"/>
    <x v="0"/>
    <x v="0"/>
    <x v="2"/>
    <x v="1"/>
    <n v="0"/>
    <n v="0"/>
    <n v="167.898"/>
    <n v="167.898"/>
    <n v="167.898"/>
    <n v="167.898"/>
    <n v="889"/>
    <x v="0"/>
    <n v="0"/>
    <n v="0"/>
    <n v="61"/>
    <n v="72"/>
    <n v="0"/>
    <n v="374.66"/>
    <n v="221.96"/>
    <m/>
    <n v="406.66540696605466"/>
    <n v="236.07067864943602"/>
    <n v="0"/>
    <n v="62904.664680000002"/>
    <n v="37266.640079999997"/>
    <n v="0"/>
    <n v="68278.308498786646"/>
    <n v="39635.794803883007"/>
  </r>
  <r>
    <s v="Regular"/>
    <x v="2"/>
    <x v="2"/>
    <x v="1"/>
    <x v="0"/>
    <x v="0"/>
    <x v="0"/>
    <x v="2"/>
    <x v="2"/>
    <n v="0"/>
    <n v="0"/>
    <n v="4474.9430000000002"/>
    <n v="4474.9430000000002"/>
    <n v="4474.9430000000002"/>
    <n v="4474.9430000000002"/>
    <n v="12092"/>
    <x v="0"/>
    <n v="0"/>
    <n v="0"/>
    <n v="61"/>
    <n v="72"/>
    <n v="0"/>
    <n v="374.66"/>
    <n v="221.96"/>
    <m/>
    <n v="406.66540696605466"/>
    <n v="236.07067864943602"/>
    <n v="0"/>
    <n v="1676582.1443800002"/>
    <n v="993258.34828000003"/>
    <n v="0"/>
    <n v="1819804.5162448976"/>
    <n v="1056402.8309275431"/>
  </r>
  <r>
    <s v="Refaturamento - Regular"/>
    <x v="2"/>
    <x v="2"/>
    <x v="1"/>
    <x v="0"/>
    <x v="0"/>
    <x v="0"/>
    <x v="2"/>
    <x v="2"/>
    <n v="0"/>
    <n v="0"/>
    <n v="15.605"/>
    <n v="15.605"/>
    <n v="15.605"/>
    <n v="15.605"/>
    <n v="0"/>
    <x v="0"/>
    <n v="0"/>
    <n v="0"/>
    <n v="61"/>
    <n v="72"/>
    <n v="0"/>
    <n v="374.66"/>
    <n v="221.96"/>
    <m/>
    <n v="406.66540696605466"/>
    <n v="236.07067864943602"/>
    <n v="0"/>
    <n v="5846.5693000000001"/>
    <n v="3463.6858000000002"/>
    <n v="0"/>
    <n v="6346.0136757052833"/>
    <n v="3683.882940324449"/>
  </r>
  <r>
    <s v="Sistema de Compensação"/>
    <x v="2"/>
    <x v="2"/>
    <x v="1"/>
    <x v="0"/>
    <x v="0"/>
    <x v="0"/>
    <x v="2"/>
    <x v="2"/>
    <n v="0"/>
    <n v="0"/>
    <n v="194.76499999999999"/>
    <n v="194.76499999999999"/>
    <n v="194.76499999999999"/>
    <n v="194.76499999999999"/>
    <n v="968"/>
    <x v="0"/>
    <n v="0"/>
    <n v="0"/>
    <n v="61"/>
    <n v="72"/>
    <n v="0"/>
    <n v="374.66"/>
    <n v="221.96"/>
    <m/>
    <n v="406.66540696605466"/>
    <n v="236.07067864943602"/>
    <n v="0"/>
    <n v="72970.654899999994"/>
    <n v="43230.039400000001"/>
    <n v="0"/>
    <n v="79204.187987743629"/>
    <n v="45978.3057271574"/>
  </r>
  <r>
    <s v="Sistema de Compensação"/>
    <x v="2"/>
    <x v="2"/>
    <x v="1"/>
    <x v="0"/>
    <x v="0"/>
    <x v="0"/>
    <x v="2"/>
    <x v="2"/>
    <n v="0"/>
    <n v="0"/>
    <n v="86.06"/>
    <n v="86.06"/>
    <n v="86.06"/>
    <n v="86.06"/>
    <n v="2"/>
    <x v="0"/>
    <n v="0"/>
    <n v="0"/>
    <n v="61"/>
    <n v="72"/>
    <n v="0"/>
    <n v="374.66"/>
    <n v="221.96"/>
    <m/>
    <n v="406.66540696605466"/>
    <n v="236.07067864943602"/>
    <n v="0"/>
    <n v="32243.239600000004"/>
    <n v="19101.8776"/>
    <n v="0"/>
    <n v="34997.624923498668"/>
    <n v="20316.242604570463"/>
  </r>
  <r>
    <s v="Regular"/>
    <x v="2"/>
    <x v="2"/>
    <x v="1"/>
    <x v="0"/>
    <x v="0"/>
    <x v="0"/>
    <x v="2"/>
    <x v="3"/>
    <n v="0"/>
    <n v="0"/>
    <n v="3507.4749999999999"/>
    <n v="3507.4749999999999"/>
    <n v="3507.4749999999999"/>
    <n v="3507.4749999999999"/>
    <n v="12048"/>
    <x v="0"/>
    <n v="0"/>
    <n v="0"/>
    <n v="61"/>
    <n v="72"/>
    <n v="0"/>
    <n v="374.66"/>
    <n v="221.96"/>
    <m/>
    <n v="406.66540696605466"/>
    <n v="236.07067864943602"/>
    <n v="0"/>
    <n v="1314110.5834999999"/>
    <n v="778519.15099999995"/>
    <n v="0"/>
    <n v="1426368.7482982625"/>
    <n v="828012.00359593052"/>
  </r>
  <r>
    <s v="Refaturamento - Regular"/>
    <x v="2"/>
    <x v="2"/>
    <x v="1"/>
    <x v="0"/>
    <x v="0"/>
    <x v="0"/>
    <x v="2"/>
    <x v="3"/>
    <n v="0"/>
    <n v="0"/>
    <n v="-5.1719999999999997"/>
    <n v="-5.1719999999999997"/>
    <n v="-5.1719999999999997"/>
    <n v="-5.1719999999999997"/>
    <n v="0"/>
    <x v="0"/>
    <n v="0"/>
    <n v="0"/>
    <n v="61"/>
    <n v="72"/>
    <n v="0"/>
    <n v="374.66"/>
    <n v="221.96"/>
    <m/>
    <n v="406.66540696605466"/>
    <n v="236.07067864943602"/>
    <n v="0"/>
    <n v="-1937.74152"/>
    <n v="-1147.97712"/>
    <n v="0"/>
    <n v="-2103.2734848284344"/>
    <n v="-1220.957549974883"/>
  </r>
  <r>
    <s v="Sistema de Compensação"/>
    <x v="2"/>
    <x v="2"/>
    <x v="1"/>
    <x v="0"/>
    <x v="0"/>
    <x v="0"/>
    <x v="2"/>
    <x v="3"/>
    <n v="0"/>
    <n v="0"/>
    <n v="178.11600000000001"/>
    <n v="178.11600000000001"/>
    <n v="178.11600000000001"/>
    <n v="178.11600000000001"/>
    <n v="957"/>
    <x v="0"/>
    <n v="0"/>
    <n v="0"/>
    <n v="61"/>
    <n v="72"/>
    <n v="0"/>
    <n v="374.66"/>
    <n v="221.96"/>
    <m/>
    <n v="406.66540696605466"/>
    <n v="236.07067864943602"/>
    <n v="0"/>
    <n v="66732.940560000003"/>
    <n v="39534.627360000006"/>
    <n v="0"/>
    <n v="72433.615627165796"/>
    <n v="42047.964998322946"/>
  </r>
  <r>
    <s v="Sistema de Compensação"/>
    <x v="2"/>
    <x v="2"/>
    <x v="1"/>
    <x v="0"/>
    <x v="0"/>
    <x v="0"/>
    <x v="2"/>
    <x v="3"/>
    <n v="0"/>
    <n v="0"/>
    <n v="-0.439"/>
    <n v="-0.439"/>
    <n v="-0.439"/>
    <n v="-0.439"/>
    <n v="2"/>
    <x v="0"/>
    <n v="0"/>
    <n v="0"/>
    <n v="61"/>
    <n v="72"/>
    <n v="0"/>
    <n v="374.66"/>
    <n v="221.96"/>
    <m/>
    <n v="406.66540696605466"/>
    <n v="236.07067864943602"/>
    <n v="0"/>
    <n v="-164.47574"/>
    <n v="-97.440440000000009"/>
    <n v="0"/>
    <n v="-178.52611365809798"/>
    <n v="-103.63502792710241"/>
  </r>
  <r>
    <s v="Regular"/>
    <x v="2"/>
    <x v="2"/>
    <x v="1"/>
    <x v="0"/>
    <x v="0"/>
    <x v="0"/>
    <x v="2"/>
    <x v="4"/>
    <n v="0"/>
    <n v="0"/>
    <n v="2998.78"/>
    <n v="2998.78"/>
    <n v="2998.78"/>
    <n v="2998.78"/>
    <n v="12028"/>
    <x v="0"/>
    <n v="0"/>
    <n v="0"/>
    <n v="61"/>
    <n v="72"/>
    <n v="0"/>
    <n v="374.66"/>
    <n v="221.96"/>
    <m/>
    <n v="406.66540696605466"/>
    <n v="236.07067864943602"/>
    <n v="0"/>
    <n v="1123522.9148000001"/>
    <n v="665609.20880000002"/>
    <n v="0"/>
    <n v="1219500.0891016654"/>
    <n v="707924.02972035576"/>
  </r>
  <r>
    <s v="Refaturamento - Regular"/>
    <x v="2"/>
    <x v="2"/>
    <x v="1"/>
    <x v="0"/>
    <x v="0"/>
    <x v="0"/>
    <x v="2"/>
    <x v="4"/>
    <n v="0"/>
    <n v="0"/>
    <n v="-3.1880000000000002"/>
    <n v="-3.1880000000000002"/>
    <n v="-3.1880000000000002"/>
    <n v="-3.1880000000000002"/>
    <n v="0"/>
    <x v="0"/>
    <n v="0"/>
    <n v="0"/>
    <n v="61"/>
    <n v="72"/>
    <n v="0"/>
    <n v="374.66"/>
    <n v="221.96"/>
    <m/>
    <n v="406.66540696605466"/>
    <n v="236.07067864943602"/>
    <n v="0"/>
    <n v="-1194.4160800000002"/>
    <n v="-707.6084800000001"/>
    <n v="0"/>
    <n v="-1296.4493174077822"/>
    <n v="-752.59332353440209"/>
  </r>
  <r>
    <s v="Sistema de Compensação"/>
    <x v="2"/>
    <x v="2"/>
    <x v="1"/>
    <x v="0"/>
    <x v="0"/>
    <x v="0"/>
    <x v="2"/>
    <x v="4"/>
    <n v="0"/>
    <n v="0"/>
    <n v="168.28399999999999"/>
    <n v="168.28399999999999"/>
    <n v="168.28399999999999"/>
    <n v="168.28399999999999"/>
    <n v="954"/>
    <x v="0"/>
    <n v="0"/>
    <n v="0"/>
    <n v="61"/>
    <n v="72"/>
    <n v="0"/>
    <n v="374.66"/>
    <n v="221.96"/>
    <m/>
    <n v="406.66540696605466"/>
    <n v="236.07067864943602"/>
    <n v="0"/>
    <n v="63049.283439999999"/>
    <n v="37352.316639999997"/>
    <n v="0"/>
    <n v="68435.281345875541"/>
    <n v="39726.918085841688"/>
  </r>
  <r>
    <s v="Sistema de Compensação"/>
    <x v="2"/>
    <x v="2"/>
    <x v="1"/>
    <x v="0"/>
    <x v="0"/>
    <x v="0"/>
    <x v="2"/>
    <x v="4"/>
    <n v="0"/>
    <n v="0"/>
    <n v="-0.61499999999999999"/>
    <n v="-0.61499999999999999"/>
    <n v="-0.61499999999999999"/>
    <n v="-0.61499999999999999"/>
    <n v="6"/>
    <x v="0"/>
    <n v="0"/>
    <n v="0"/>
    <n v="61"/>
    <n v="72"/>
    <n v="0"/>
    <n v="374.66"/>
    <n v="221.96"/>
    <m/>
    <n v="406.66540696605466"/>
    <n v="236.07067864943602"/>
    <n v="0"/>
    <n v="-230.41590000000002"/>
    <n v="-136.50540000000001"/>
    <n v="0"/>
    <n v="-250.09922528412361"/>
    <n v="-145.18346736940316"/>
  </r>
  <r>
    <s v="Regular"/>
    <x v="2"/>
    <x v="2"/>
    <x v="1"/>
    <x v="0"/>
    <x v="0"/>
    <x v="0"/>
    <x v="2"/>
    <x v="0"/>
    <n v="0"/>
    <n v="0"/>
    <n v="2641.9630000000002"/>
    <n v="2641.9630000000002"/>
    <n v="2641.9630000000002"/>
    <n v="2641.9630000000002"/>
    <n v="11940"/>
    <x v="0"/>
    <n v="0"/>
    <n v="0"/>
    <n v="61"/>
    <n v="72"/>
    <n v="0"/>
    <n v="374.66"/>
    <n v="221.96"/>
    <m/>
    <n v="406.66540696605466"/>
    <n v="236.07067864943602"/>
    <n v="0"/>
    <n v="989837.85758000019"/>
    <n v="586410.10748000001"/>
    <n v="0"/>
    <n v="1074394.9585842588"/>
    <n v="623689.99837669998"/>
  </r>
  <r>
    <s v="Refaturamento - Regular"/>
    <x v="2"/>
    <x v="2"/>
    <x v="1"/>
    <x v="0"/>
    <x v="0"/>
    <x v="0"/>
    <x v="2"/>
    <x v="0"/>
    <n v="0"/>
    <n v="0"/>
    <n v="-0.71799999999999997"/>
    <n v="-0.71799999999999997"/>
    <n v="-0.71799999999999997"/>
    <n v="-0.71799999999999997"/>
    <n v="0"/>
    <x v="0"/>
    <n v="0"/>
    <n v="0"/>
    <n v="61"/>
    <n v="72"/>
    <n v="0"/>
    <n v="374.66"/>
    <n v="221.96"/>
    <m/>
    <n v="406.66540696605466"/>
    <n v="236.07067864943602"/>
    <n v="0"/>
    <n v="-269.00587999999999"/>
    <n v="-159.36727999999999"/>
    <n v="0"/>
    <n v="-291.98576220162721"/>
    <n v="-169.49874727029504"/>
  </r>
  <r>
    <s v="Sistema de Compensação"/>
    <x v="2"/>
    <x v="2"/>
    <x v="1"/>
    <x v="0"/>
    <x v="0"/>
    <x v="0"/>
    <x v="2"/>
    <x v="0"/>
    <n v="0"/>
    <n v="0"/>
    <n v="189.661"/>
    <n v="189.661"/>
    <n v="189.661"/>
    <n v="189.661"/>
    <n v="1027"/>
    <x v="0"/>
    <n v="0"/>
    <n v="0"/>
    <n v="61"/>
    <n v="72"/>
    <n v="0"/>
    <n v="374.66"/>
    <n v="221.96"/>
    <m/>
    <n v="406.66540696605466"/>
    <n v="236.07067864943602"/>
    <n v="0"/>
    <n v="71058.39026"/>
    <n v="42097.155559999999"/>
    <n v="0"/>
    <n v="77128.567750588889"/>
    <n v="44773.400983330685"/>
  </r>
  <r>
    <s v="Sistema de Compensação"/>
    <x v="2"/>
    <x v="2"/>
    <x v="1"/>
    <x v="0"/>
    <x v="0"/>
    <x v="0"/>
    <x v="2"/>
    <x v="0"/>
    <n v="0"/>
    <n v="0"/>
    <n v="-2.3580000000000001"/>
    <n v="-2.3580000000000001"/>
    <n v="-2.3580000000000001"/>
    <n v="-2.3580000000000001"/>
    <n v="7"/>
    <x v="0"/>
    <n v="0"/>
    <n v="0"/>
    <n v="61"/>
    <n v="72"/>
    <n v="0"/>
    <n v="374.66"/>
    <n v="221.96"/>
    <m/>
    <n v="406.66540696605466"/>
    <n v="236.07067864943602"/>
    <n v="0"/>
    <n v="-883.44828000000007"/>
    <n v="-523.38168000000007"/>
    <n v="0"/>
    <n v="-958.91702962595696"/>
    <n v="-556.65466025537012"/>
  </r>
  <r>
    <s v="Regular"/>
    <x v="3"/>
    <x v="2"/>
    <x v="2"/>
    <x v="0"/>
    <x v="0"/>
    <x v="0"/>
    <x v="2"/>
    <x v="5"/>
    <n v="0"/>
    <n v="0"/>
    <n v="340.55"/>
    <n v="340.55"/>
    <n v="340.55"/>
    <n v="340.55"/>
    <n v="859"/>
    <x v="0"/>
    <n v="0"/>
    <n v="0"/>
    <n v="30"/>
    <n v="79"/>
    <n v="0"/>
    <n v="425.75"/>
    <n v="252.22"/>
    <m/>
    <n v="432.62277336814327"/>
    <n v="251.13901983982558"/>
    <n v="0"/>
    <n v="144989.16250000001"/>
    <n v="85893.521000000008"/>
    <n v="0"/>
    <n v="147329.68547052119"/>
    <n v="85525.393206452602"/>
  </r>
  <r>
    <s v="Sistema de Compensação"/>
    <x v="3"/>
    <x v="2"/>
    <x v="2"/>
    <x v="0"/>
    <x v="0"/>
    <x v="0"/>
    <x v="2"/>
    <x v="5"/>
    <n v="0"/>
    <n v="0"/>
    <n v="62.747"/>
    <n v="62.747"/>
    <n v="62.747"/>
    <n v="62.747"/>
    <n v="108"/>
    <x v="0"/>
    <n v="0"/>
    <n v="0"/>
    <n v="30"/>
    <n v="79"/>
    <n v="0"/>
    <n v="425.75"/>
    <n v="252.22"/>
    <m/>
    <n v="432.62277336814327"/>
    <n v="251.13901983982558"/>
    <n v="0"/>
    <n v="26714.535250000001"/>
    <n v="15826.048339999999"/>
    <n v="0"/>
    <n v="27145.781160530885"/>
    <n v="15758.220077889535"/>
  </r>
  <r>
    <s v="Regular"/>
    <x v="3"/>
    <x v="2"/>
    <x v="2"/>
    <x v="0"/>
    <x v="0"/>
    <x v="0"/>
    <x v="2"/>
    <x v="6"/>
    <n v="0"/>
    <n v="0"/>
    <n v="343.75799999999998"/>
    <n v="343.75799999999998"/>
    <n v="343.75799999999998"/>
    <n v="343.75799999999998"/>
    <n v="847"/>
    <x v="0"/>
    <n v="0"/>
    <n v="0"/>
    <n v="30"/>
    <n v="79"/>
    <n v="0"/>
    <n v="425.75"/>
    <n v="252.22"/>
    <m/>
    <n v="432.62277336814327"/>
    <n v="251.13901983982558"/>
    <n v="0"/>
    <n v="146354.96849999999"/>
    <n v="86702.642759999988"/>
    <n v="0"/>
    <n v="148717.53932748619"/>
    <n v="86331.047182098759"/>
  </r>
  <r>
    <s v="Sistema de Compensação"/>
    <x v="3"/>
    <x v="2"/>
    <x v="2"/>
    <x v="0"/>
    <x v="0"/>
    <x v="0"/>
    <x v="2"/>
    <x v="6"/>
    <n v="0"/>
    <n v="0"/>
    <n v="51.625"/>
    <n v="51.625"/>
    <n v="51.625"/>
    <n v="51.625"/>
    <n v="115"/>
    <x v="0"/>
    <n v="0"/>
    <n v="0"/>
    <n v="30"/>
    <n v="79"/>
    <n v="0"/>
    <n v="425.75"/>
    <n v="252.22"/>
    <m/>
    <n v="432.62277336814327"/>
    <n v="251.13901983982558"/>
    <n v="0"/>
    <n v="21979.34375"/>
    <n v="13020.8575"/>
    <n v="0"/>
    <n v="22334.150675130397"/>
    <n v="12965.051899230995"/>
  </r>
  <r>
    <s v="Regular"/>
    <x v="3"/>
    <x v="2"/>
    <x v="2"/>
    <x v="0"/>
    <x v="0"/>
    <x v="0"/>
    <x v="2"/>
    <x v="7"/>
    <n v="0"/>
    <n v="0"/>
    <n v="360.21"/>
    <n v="360.21"/>
    <n v="360.21"/>
    <n v="360.21"/>
    <n v="841"/>
    <x v="0"/>
    <n v="0"/>
    <n v="0"/>
    <n v="30"/>
    <n v="79"/>
    <n v="0"/>
    <n v="425.75"/>
    <n v="252.22"/>
    <m/>
    <n v="432.62277336814327"/>
    <n v="251.13901983982558"/>
    <n v="0"/>
    <n v="153359.4075"/>
    <n v="90852.166199999992"/>
    <n v="0"/>
    <n v="155835.04919493888"/>
    <n v="90462.786336503574"/>
  </r>
  <r>
    <s v="Sistema de Compensação"/>
    <x v="3"/>
    <x v="2"/>
    <x v="2"/>
    <x v="0"/>
    <x v="0"/>
    <x v="0"/>
    <x v="2"/>
    <x v="7"/>
    <n v="0"/>
    <n v="0"/>
    <n v="59.561"/>
    <n v="59.561"/>
    <n v="59.561"/>
    <n v="59.561"/>
    <n v="112"/>
    <x v="0"/>
    <n v="0"/>
    <n v="0"/>
    <n v="30"/>
    <n v="79"/>
    <n v="0"/>
    <n v="425.75"/>
    <n v="252.22"/>
    <m/>
    <n v="432.62277336814327"/>
    <n v="251.13901983982558"/>
    <n v="0"/>
    <n v="25358.09575"/>
    <n v="15022.475420000001"/>
    <n v="0"/>
    <n v="25767.445004579982"/>
    <n v="14958.091160679851"/>
  </r>
  <r>
    <s v="Regular"/>
    <x v="3"/>
    <x v="2"/>
    <x v="2"/>
    <x v="0"/>
    <x v="0"/>
    <x v="0"/>
    <x v="2"/>
    <x v="8"/>
    <n v="0"/>
    <n v="0"/>
    <n v="355.59399999999999"/>
    <n v="355.59399999999999"/>
    <n v="355.59399999999999"/>
    <n v="355.59399999999999"/>
    <n v="835"/>
    <x v="0"/>
    <n v="0"/>
    <n v="0"/>
    <n v="30"/>
    <n v="79"/>
    <n v="0"/>
    <n v="425.75"/>
    <n v="252.22"/>
    <m/>
    <n v="432.62277336814327"/>
    <n v="251.13901983982558"/>
    <n v="0"/>
    <n v="151394.14549999998"/>
    <n v="89687.918680000002"/>
    <n v="0"/>
    <n v="153838.06247307154"/>
    <n v="89303.528620922938"/>
  </r>
  <r>
    <s v="Sistema de Compensação"/>
    <x v="3"/>
    <x v="2"/>
    <x v="2"/>
    <x v="0"/>
    <x v="0"/>
    <x v="0"/>
    <x v="2"/>
    <x v="8"/>
    <n v="0"/>
    <n v="0"/>
    <n v="46.7"/>
    <n v="46.7"/>
    <n v="46.7"/>
    <n v="46.7"/>
    <n v="117"/>
    <x v="0"/>
    <n v="0"/>
    <n v="0"/>
    <n v="30"/>
    <n v="79"/>
    <n v="0"/>
    <n v="425.75"/>
    <n v="252.22"/>
    <m/>
    <n v="432.62277336814327"/>
    <n v="251.13901983982558"/>
    <n v="0"/>
    <n v="19882.525000000001"/>
    <n v="11778.674000000001"/>
    <n v="0"/>
    <n v="20203.483516292294"/>
    <n v="11728.192226519855"/>
  </r>
  <r>
    <s v="Regular"/>
    <x v="3"/>
    <x v="2"/>
    <x v="2"/>
    <x v="0"/>
    <x v="0"/>
    <x v="0"/>
    <x v="2"/>
    <x v="9"/>
    <n v="0"/>
    <n v="0"/>
    <n v="398.88"/>
    <n v="398.88"/>
    <n v="398.88"/>
    <n v="398.88"/>
    <n v="836"/>
    <x v="0"/>
    <n v="0"/>
    <n v="0"/>
    <n v="30"/>
    <n v="79"/>
    <n v="0"/>
    <n v="425.75"/>
    <n v="252.22"/>
    <m/>
    <n v="432.62277336814327"/>
    <n v="251.13901983982558"/>
    <n v="0"/>
    <n v="169823.16"/>
    <n v="100605.51359999999"/>
    <n v="0"/>
    <n v="172564.57184108498"/>
    <n v="100174.33223370963"/>
  </r>
  <r>
    <s v="Sistema de Compensação"/>
    <x v="3"/>
    <x v="2"/>
    <x v="2"/>
    <x v="0"/>
    <x v="0"/>
    <x v="0"/>
    <x v="2"/>
    <x v="9"/>
    <n v="0"/>
    <n v="0"/>
    <n v="43.261000000000003"/>
    <n v="43.261000000000003"/>
    <n v="43.261000000000003"/>
    <n v="43.261000000000003"/>
    <n v="118"/>
    <x v="0"/>
    <n v="0"/>
    <n v="0"/>
    <n v="30"/>
    <n v="79"/>
    <n v="0"/>
    <n v="425.75"/>
    <n v="252.22"/>
    <m/>
    <n v="432.62277336814327"/>
    <n v="251.13901983982558"/>
    <n v="0"/>
    <n v="18418.370750000002"/>
    <n v="10911.289420000001"/>
    <n v="0"/>
    <n v="18715.693798679247"/>
    <n v="10864.525137290695"/>
  </r>
  <r>
    <s v="Regular"/>
    <x v="3"/>
    <x v="2"/>
    <x v="2"/>
    <x v="0"/>
    <x v="0"/>
    <x v="0"/>
    <x v="2"/>
    <x v="10"/>
    <n v="0"/>
    <n v="0"/>
    <n v="395.46699999999998"/>
    <n v="395.46699999999998"/>
    <n v="395.46699999999998"/>
    <n v="395.46699999999998"/>
    <n v="839"/>
    <x v="0"/>
    <n v="0"/>
    <n v="0"/>
    <n v="30"/>
    <n v="79"/>
    <n v="0"/>
    <n v="425.75"/>
    <n v="252.22"/>
    <m/>
    <n v="432.62277336814327"/>
    <n v="251.13901983982558"/>
    <n v="0"/>
    <n v="168370.07524999999"/>
    <n v="99744.68673999999"/>
    <n v="0"/>
    <n v="171088.0303155795"/>
    <n v="99317.194758996295"/>
  </r>
  <r>
    <s v="Refaturamento - Regular"/>
    <x v="3"/>
    <x v="2"/>
    <x v="2"/>
    <x v="0"/>
    <x v="0"/>
    <x v="0"/>
    <x v="2"/>
    <x v="10"/>
    <n v="0"/>
    <n v="0"/>
    <n v="-0.24299999999999999"/>
    <n v="-0.24299999999999999"/>
    <n v="-0.24299999999999999"/>
    <n v="-0.24299999999999999"/>
    <n v="0"/>
    <x v="0"/>
    <n v="0"/>
    <n v="0"/>
    <n v="30"/>
    <n v="79"/>
    <n v="0"/>
    <n v="425.75"/>
    <n v="252.22"/>
    <m/>
    <n v="432.62277336814327"/>
    <n v="251.13901983982558"/>
    <n v="0"/>
    <n v="-103.45725"/>
    <n v="-61.289459999999998"/>
    <n v="0"/>
    <n v="-105.12733392845881"/>
    <n v="-61.026781821077613"/>
  </r>
  <r>
    <s v="Sistema de Compensação"/>
    <x v="3"/>
    <x v="2"/>
    <x v="2"/>
    <x v="0"/>
    <x v="0"/>
    <x v="0"/>
    <x v="2"/>
    <x v="10"/>
    <n v="0"/>
    <n v="0"/>
    <n v="47.655000000000001"/>
    <n v="47.655000000000001"/>
    <n v="47.655000000000001"/>
    <n v="47.655000000000001"/>
    <n v="119"/>
    <x v="0"/>
    <n v="0"/>
    <n v="0"/>
    <n v="30"/>
    <n v="79"/>
    <n v="0"/>
    <n v="425.75"/>
    <n v="252.22"/>
    <m/>
    <n v="432.62277336814327"/>
    <n v="251.13901983982558"/>
    <n v="0"/>
    <n v="20289.116249999999"/>
    <n v="12019.544100000001"/>
    <n v="0"/>
    <n v="20616.63826485887"/>
    <n v="11968.029990466888"/>
  </r>
  <r>
    <s v="Regular"/>
    <x v="3"/>
    <x v="2"/>
    <x v="2"/>
    <x v="0"/>
    <x v="0"/>
    <x v="0"/>
    <x v="2"/>
    <x v="11"/>
    <n v="0"/>
    <n v="0"/>
    <n v="456.79899999999998"/>
    <n v="456.79899999999998"/>
    <n v="456.79899999999998"/>
    <n v="456.79899999999998"/>
    <n v="837"/>
    <x v="0"/>
    <n v="0"/>
    <n v="0"/>
    <n v="30"/>
    <n v="79"/>
    <n v="0"/>
    <n v="425.75"/>
    <n v="252.22"/>
    <m/>
    <n v="432.62277336814327"/>
    <n v="251.13901983982558"/>
    <n v="0"/>
    <n v="194482.17424999998"/>
    <n v="115213.84378"/>
    <n v="0"/>
    <n v="197621.65025179446"/>
    <n v="114720.05312381248"/>
  </r>
  <r>
    <s v="Refaturamento - Regular"/>
    <x v="3"/>
    <x v="2"/>
    <x v="2"/>
    <x v="0"/>
    <x v="0"/>
    <x v="0"/>
    <x v="2"/>
    <x v="11"/>
    <n v="0"/>
    <n v="0"/>
    <n v="4.3899999999999997"/>
    <n v="4.3899999999999997"/>
    <n v="4.3899999999999997"/>
    <n v="4.3899999999999997"/>
    <n v="0"/>
    <x v="0"/>
    <n v="0"/>
    <n v="0"/>
    <n v="30"/>
    <n v="79"/>
    <n v="0"/>
    <n v="425.75"/>
    <n v="252.22"/>
    <m/>
    <n v="432.62277336814327"/>
    <n v="251.13901983982558"/>
    <n v="0"/>
    <n v="1869.0424999999998"/>
    <n v="1107.2457999999999"/>
    <n v="0"/>
    <n v="1899.2139750861488"/>
    <n v="1102.5002970968342"/>
  </r>
  <r>
    <s v="Sistema de Compensação"/>
    <x v="3"/>
    <x v="2"/>
    <x v="2"/>
    <x v="0"/>
    <x v="0"/>
    <x v="0"/>
    <x v="2"/>
    <x v="11"/>
    <n v="0"/>
    <n v="0"/>
    <n v="58.091999999999999"/>
    <n v="58.091999999999999"/>
    <n v="58.091999999999999"/>
    <n v="58.091999999999999"/>
    <n v="123"/>
    <x v="0"/>
    <n v="0"/>
    <n v="0"/>
    <n v="30"/>
    <n v="79"/>
    <n v="0"/>
    <n v="425.75"/>
    <n v="252.22"/>
    <m/>
    <n v="432.62277336814327"/>
    <n v="251.13901983982558"/>
    <n v="0"/>
    <n v="24732.668999999998"/>
    <n v="14651.964239999999"/>
    <n v="0"/>
    <n v="25131.922150502178"/>
    <n v="14589.167940535148"/>
  </r>
  <r>
    <s v="Regular"/>
    <x v="3"/>
    <x v="2"/>
    <x v="2"/>
    <x v="0"/>
    <x v="0"/>
    <x v="0"/>
    <x v="2"/>
    <x v="1"/>
    <n v="0"/>
    <n v="0"/>
    <n v="452.63900000000001"/>
    <n v="452.63900000000001"/>
    <n v="452.63900000000001"/>
    <n v="452.63900000000001"/>
    <n v="845"/>
    <x v="0"/>
    <n v="0"/>
    <n v="0"/>
    <n v="30"/>
    <n v="79"/>
    <n v="0"/>
    <n v="425.75"/>
    <n v="252.22"/>
    <m/>
    <n v="432.62277336814327"/>
    <n v="251.13901983982558"/>
    <n v="0"/>
    <n v="192711.05425000002"/>
    <n v="114164.60858"/>
    <n v="0"/>
    <n v="195821.93951458301"/>
    <n v="113675.31480127882"/>
  </r>
  <r>
    <s v="Sistema de Compensação"/>
    <x v="3"/>
    <x v="2"/>
    <x v="2"/>
    <x v="0"/>
    <x v="0"/>
    <x v="0"/>
    <x v="2"/>
    <x v="1"/>
    <n v="0"/>
    <n v="0"/>
    <n v="71.272999999999996"/>
    <n v="71.272999999999996"/>
    <n v="71.272999999999996"/>
    <n v="71.272999999999996"/>
    <n v="118"/>
    <x v="0"/>
    <n v="0"/>
    <n v="0"/>
    <n v="30"/>
    <n v="79"/>
    <n v="0"/>
    <n v="425.75"/>
    <n v="252.22"/>
    <m/>
    <n v="432.62277336814327"/>
    <n v="251.13901983982558"/>
    <n v="0"/>
    <n v="30344.479749999999"/>
    <n v="17976.476059999997"/>
    <n v="0"/>
    <n v="30834.322926267672"/>
    <n v="17899.431361043888"/>
  </r>
  <r>
    <s v="Regular"/>
    <x v="3"/>
    <x v="2"/>
    <x v="2"/>
    <x v="0"/>
    <x v="0"/>
    <x v="0"/>
    <x v="2"/>
    <x v="2"/>
    <n v="0"/>
    <n v="0"/>
    <n v="430.28300000000002"/>
    <n v="430.28300000000002"/>
    <n v="430.28300000000002"/>
    <n v="430.28300000000002"/>
    <n v="838"/>
    <x v="0"/>
    <n v="0"/>
    <n v="0"/>
    <n v="30"/>
    <n v="79"/>
    <n v="0"/>
    <n v="425.75"/>
    <n v="252.22"/>
    <m/>
    <n v="432.62277336814327"/>
    <n v="251.13901983982558"/>
    <n v="0"/>
    <n v="183192.98725000001"/>
    <n v="108525.97826"/>
    <n v="0"/>
    <n v="186150.22479316479"/>
    <n v="108060.85087373968"/>
  </r>
  <r>
    <s v="Sistema de Compensação"/>
    <x v="3"/>
    <x v="2"/>
    <x v="2"/>
    <x v="0"/>
    <x v="0"/>
    <x v="0"/>
    <x v="2"/>
    <x v="2"/>
    <n v="0"/>
    <n v="0"/>
    <n v="78.478999999999999"/>
    <n v="78.478999999999999"/>
    <n v="78.478999999999999"/>
    <n v="78.478999999999999"/>
    <n v="120"/>
    <x v="0"/>
    <n v="0"/>
    <n v="0"/>
    <n v="30"/>
    <n v="79"/>
    <n v="0"/>
    <n v="425.75"/>
    <n v="252.22"/>
    <m/>
    <n v="432.62277336814327"/>
    <n v="251.13901983982558"/>
    <n v="0"/>
    <n v="33412.434249999998"/>
    <n v="19793.973379999999"/>
    <n v="0"/>
    <n v="33951.802631158513"/>
    <n v="19709.139138009672"/>
  </r>
  <r>
    <s v="Regular"/>
    <x v="3"/>
    <x v="2"/>
    <x v="2"/>
    <x v="0"/>
    <x v="0"/>
    <x v="0"/>
    <x v="2"/>
    <x v="3"/>
    <n v="0"/>
    <n v="0"/>
    <n v="378.89600000000002"/>
    <n v="378.89600000000002"/>
    <n v="378.89600000000002"/>
    <n v="378.89600000000002"/>
    <n v="834"/>
    <x v="0"/>
    <n v="0"/>
    <n v="0"/>
    <n v="30"/>
    <n v="79"/>
    <n v="0"/>
    <n v="425.75"/>
    <n v="252.22"/>
    <m/>
    <n v="432.62277336814327"/>
    <n v="251.13901983982558"/>
    <n v="0"/>
    <n v="161314.97200000001"/>
    <n v="95565.149120000002"/>
    <n v="0"/>
    <n v="163919.03833809603"/>
    <n v="95155.570061230552"/>
  </r>
  <r>
    <s v="Refaturamento - Regular"/>
    <x v="3"/>
    <x v="2"/>
    <x v="2"/>
    <x v="0"/>
    <x v="0"/>
    <x v="0"/>
    <x v="2"/>
    <x v="3"/>
    <n v="0"/>
    <n v="0"/>
    <n v="-0.93700000000000006"/>
    <n v="-0.93700000000000006"/>
    <n v="-0.93700000000000006"/>
    <n v="-0.93700000000000006"/>
    <n v="0"/>
    <x v="0"/>
    <n v="0"/>
    <n v="0"/>
    <n v="30"/>
    <n v="79"/>
    <n v="0"/>
    <n v="425.75"/>
    <n v="252.22"/>
    <m/>
    <n v="432.62277336814327"/>
    <n v="251.13901983982558"/>
    <n v="0"/>
    <n v="-398.92775"/>
    <n v="-236.33014"/>
    <n v="0"/>
    <n v="-405.36753864595028"/>
    <n v="-235.31726158991657"/>
  </r>
  <r>
    <s v="Sistema de Compensação"/>
    <x v="3"/>
    <x v="2"/>
    <x v="2"/>
    <x v="0"/>
    <x v="0"/>
    <x v="0"/>
    <x v="2"/>
    <x v="3"/>
    <n v="0"/>
    <n v="0"/>
    <n v="73.408000000000001"/>
    <n v="73.408000000000001"/>
    <n v="73.408000000000001"/>
    <n v="73.408000000000001"/>
    <n v="125"/>
    <x v="0"/>
    <n v="0"/>
    <n v="0"/>
    <n v="30"/>
    <n v="79"/>
    <n v="0"/>
    <n v="425.75"/>
    <n v="252.22"/>
    <m/>
    <n v="432.62277336814327"/>
    <n v="251.13901983982558"/>
    <n v="0"/>
    <n v="31253.456000000002"/>
    <n v="18514.965759999999"/>
    <n v="0"/>
    <n v="31757.972547408663"/>
    <n v="18435.613168401916"/>
  </r>
  <r>
    <s v="Sistema de Compensação"/>
    <x v="3"/>
    <x v="2"/>
    <x v="2"/>
    <x v="0"/>
    <x v="0"/>
    <x v="0"/>
    <x v="2"/>
    <x v="3"/>
    <n v="0"/>
    <n v="0"/>
    <n v="-2.1680000000000001"/>
    <n v="-2.1680000000000001"/>
    <n v="-2.1680000000000001"/>
    <n v="-2.1680000000000001"/>
    <n v="2"/>
    <x v="0"/>
    <n v="0"/>
    <n v="0"/>
    <n v="30"/>
    <n v="79"/>
    <n v="0"/>
    <n v="425.75"/>
    <n v="252.22"/>
    <m/>
    <n v="432.62277336814327"/>
    <n v="251.13901983982558"/>
    <n v="0"/>
    <n v="-923.02600000000007"/>
    <n v="-546.81296000000009"/>
    <n v="0"/>
    <n v="-937.92617266213472"/>
    <n v="-544.46939501274187"/>
  </r>
  <r>
    <s v="Regular"/>
    <x v="3"/>
    <x v="2"/>
    <x v="2"/>
    <x v="0"/>
    <x v="0"/>
    <x v="0"/>
    <x v="2"/>
    <x v="4"/>
    <n v="0"/>
    <n v="0"/>
    <n v="400.81599999999997"/>
    <n v="400.81599999999997"/>
    <n v="400.81599999999997"/>
    <n v="400.81599999999997"/>
    <n v="843"/>
    <x v="0"/>
    <n v="0"/>
    <n v="0"/>
    <n v="30"/>
    <n v="79"/>
    <n v="0"/>
    <n v="425.75"/>
    <n v="252.22"/>
    <m/>
    <n v="432.62277336814327"/>
    <n v="251.13901983982558"/>
    <n v="0"/>
    <n v="170647.41199999998"/>
    <n v="101093.81151999999"/>
    <n v="0"/>
    <n v="173402.12953032571"/>
    <n v="100660.53737611952"/>
  </r>
  <r>
    <s v="Sistema de Compensação"/>
    <x v="3"/>
    <x v="2"/>
    <x v="2"/>
    <x v="0"/>
    <x v="0"/>
    <x v="0"/>
    <x v="2"/>
    <x v="4"/>
    <n v="0"/>
    <n v="0"/>
    <n v="85.409000000000006"/>
    <n v="85.409000000000006"/>
    <n v="85.409000000000006"/>
    <n v="85.409000000000006"/>
    <n v="122"/>
    <x v="0"/>
    <n v="0"/>
    <n v="0"/>
    <n v="30"/>
    <n v="79"/>
    <n v="0"/>
    <n v="425.75"/>
    <n v="252.22"/>
    <m/>
    <n v="432.62277336814327"/>
    <n v="251.13901983982558"/>
    <n v="0"/>
    <n v="36362.88175"/>
    <n v="21541.857980000001"/>
    <n v="0"/>
    <n v="36949.878450599754"/>
    <n v="21449.532545499664"/>
  </r>
  <r>
    <s v="Regular"/>
    <x v="3"/>
    <x v="2"/>
    <x v="2"/>
    <x v="0"/>
    <x v="0"/>
    <x v="0"/>
    <x v="2"/>
    <x v="0"/>
    <n v="0"/>
    <n v="0"/>
    <n v="336.827"/>
    <n v="336.827"/>
    <n v="336.827"/>
    <n v="336.827"/>
    <n v="839"/>
    <x v="0"/>
    <n v="0"/>
    <n v="0"/>
    <n v="30"/>
    <n v="79"/>
    <n v="0"/>
    <n v="425.75"/>
    <n v="252.22"/>
    <m/>
    <n v="432.62277336814327"/>
    <n v="251.13901983982558"/>
    <n v="0"/>
    <n v="143404.09525000001"/>
    <n v="84954.505940000003"/>
    <n v="0"/>
    <n v="145719.03088527158"/>
    <n v="84590.402635588936"/>
  </r>
  <r>
    <s v="Refaturamento - Regular"/>
    <x v="3"/>
    <x v="2"/>
    <x v="2"/>
    <x v="0"/>
    <x v="0"/>
    <x v="0"/>
    <x v="2"/>
    <x v="0"/>
    <n v="0"/>
    <n v="0"/>
    <n v="-0.29099999999999998"/>
    <n v="-0.29099999999999998"/>
    <n v="-0.29099999999999998"/>
    <n v="-0.29099999999999998"/>
    <n v="0"/>
    <x v="0"/>
    <n v="0"/>
    <n v="0"/>
    <n v="30"/>
    <n v="79"/>
    <n v="0"/>
    <n v="425.75"/>
    <n v="252.22"/>
    <m/>
    <n v="432.62277336814327"/>
    <n v="251.13901983982558"/>
    <n v="0"/>
    <n v="-123.89324999999999"/>
    <n v="-73.396019999999993"/>
    <n v="0"/>
    <n v="-125.89322705012968"/>
    <n v="-73.08145477338924"/>
  </r>
  <r>
    <s v="Sistema de Compensação"/>
    <x v="3"/>
    <x v="2"/>
    <x v="2"/>
    <x v="0"/>
    <x v="0"/>
    <x v="0"/>
    <x v="2"/>
    <x v="0"/>
    <n v="0"/>
    <n v="0"/>
    <n v="103.16200000000001"/>
    <n v="103.16200000000001"/>
    <n v="103.16200000000001"/>
    <n v="103.16200000000001"/>
    <n v="123"/>
    <x v="0"/>
    <n v="0"/>
    <n v="0"/>
    <n v="30"/>
    <n v="79"/>
    <n v="0"/>
    <n v="425.75"/>
    <n v="252.22"/>
    <m/>
    <n v="432.62277336814327"/>
    <n v="251.13901983982558"/>
    <n v="0"/>
    <n v="43921.2215"/>
    <n v="26019.519640000002"/>
    <n v="0"/>
    <n v="44630.230546204402"/>
    <n v="25908.003564716088"/>
  </r>
  <r>
    <s v="Regular"/>
    <x v="3"/>
    <x v="2"/>
    <x v="4"/>
    <x v="0"/>
    <x v="0"/>
    <x v="0"/>
    <x v="2"/>
    <x v="5"/>
    <n v="0"/>
    <n v="0"/>
    <n v="7.5949999999999998"/>
    <n v="7.5949999999999998"/>
    <n v="7.5949999999999998"/>
    <n v="7.5949999999999998"/>
    <n v="11"/>
    <x v="0"/>
    <n v="0"/>
    <n v="0"/>
    <n v="30"/>
    <n v="79"/>
    <n v="0"/>
    <n v="425.75"/>
    <n v="252.22"/>
    <m/>
    <n v="432.62277336814327"/>
    <n v="251.13901983982558"/>
    <n v="0"/>
    <n v="3233.57125"/>
    <n v="1915.6108999999999"/>
    <n v="0"/>
    <n v="3285.7699637310479"/>
    <n v="1907.4008556834751"/>
  </r>
  <r>
    <s v="Regular"/>
    <x v="3"/>
    <x v="2"/>
    <x v="4"/>
    <x v="0"/>
    <x v="0"/>
    <x v="0"/>
    <x v="2"/>
    <x v="6"/>
    <n v="0"/>
    <n v="0"/>
    <n v="7.2480000000000002"/>
    <n v="7.2480000000000002"/>
    <n v="7.2480000000000002"/>
    <n v="7.2480000000000002"/>
    <n v="11"/>
    <x v="0"/>
    <n v="0"/>
    <n v="0"/>
    <n v="30"/>
    <n v="79"/>
    <n v="0"/>
    <n v="425.75"/>
    <n v="252.22"/>
    <m/>
    <n v="432.62277336814327"/>
    <n v="251.13901983982558"/>
    <n v="0"/>
    <n v="3085.8360000000002"/>
    <n v="1828.0905600000001"/>
    <n v="0"/>
    <n v="3135.6498613723024"/>
    <n v="1820.2556157990559"/>
  </r>
  <r>
    <s v="Regular"/>
    <x v="3"/>
    <x v="2"/>
    <x v="4"/>
    <x v="0"/>
    <x v="0"/>
    <x v="0"/>
    <x v="2"/>
    <x v="7"/>
    <n v="0"/>
    <n v="0"/>
    <n v="6.0609999999999999"/>
    <n v="6.0609999999999999"/>
    <n v="6.0609999999999999"/>
    <n v="6.0609999999999999"/>
    <n v="11"/>
    <x v="0"/>
    <n v="0"/>
    <n v="0"/>
    <n v="30"/>
    <n v="79"/>
    <n v="0"/>
    <n v="425.75"/>
    <n v="252.22"/>
    <m/>
    <n v="432.62277336814327"/>
    <n v="251.13901983982558"/>
    <n v="0"/>
    <n v="2580.47075"/>
    <n v="1528.70542"/>
    <n v="0"/>
    <n v="2622.1266293843164"/>
    <n v="1522.1535992491829"/>
  </r>
  <r>
    <s v="Regular"/>
    <x v="3"/>
    <x v="2"/>
    <x v="4"/>
    <x v="0"/>
    <x v="0"/>
    <x v="0"/>
    <x v="2"/>
    <x v="8"/>
    <n v="0"/>
    <n v="0"/>
    <n v="5.7320000000000002"/>
    <n v="5.7320000000000002"/>
    <n v="5.7320000000000002"/>
    <n v="5.7320000000000002"/>
    <n v="11"/>
    <x v="0"/>
    <n v="0"/>
    <n v="0"/>
    <n v="30"/>
    <n v="79"/>
    <n v="0"/>
    <n v="425.75"/>
    <n v="252.22"/>
    <m/>
    <n v="432.62277336814327"/>
    <n v="251.13901983982558"/>
    <n v="0"/>
    <n v="2440.3989999999999"/>
    <n v="1445.72504"/>
    <n v="0"/>
    <n v="2479.7937369461974"/>
    <n v="1439.5288617218803"/>
  </r>
  <r>
    <s v="Regular"/>
    <x v="3"/>
    <x v="2"/>
    <x v="4"/>
    <x v="0"/>
    <x v="0"/>
    <x v="0"/>
    <x v="2"/>
    <x v="9"/>
    <n v="0"/>
    <n v="0"/>
    <n v="7.1449999999999996"/>
    <n v="7.1449999999999996"/>
    <n v="7.1449999999999996"/>
    <n v="7.1449999999999996"/>
    <n v="11"/>
    <x v="0"/>
    <n v="0"/>
    <n v="0"/>
    <n v="30"/>
    <n v="79"/>
    <n v="0"/>
    <n v="425.75"/>
    <n v="252.22"/>
    <m/>
    <n v="432.62277336814327"/>
    <n v="251.13901983982558"/>
    <n v="0"/>
    <n v="3041.9837499999999"/>
    <n v="1802.1118999999999"/>
    <n v="0"/>
    <n v="3091.0897157153836"/>
    <n v="1794.3882967555537"/>
  </r>
  <r>
    <s v="Regular"/>
    <x v="3"/>
    <x v="2"/>
    <x v="4"/>
    <x v="0"/>
    <x v="0"/>
    <x v="0"/>
    <x v="2"/>
    <x v="10"/>
    <n v="0"/>
    <n v="0"/>
    <n v="7.46"/>
    <n v="7.46"/>
    <n v="7.46"/>
    <n v="7.46"/>
    <n v="11"/>
    <x v="0"/>
    <n v="0"/>
    <n v="0"/>
    <n v="30"/>
    <n v="79"/>
    <n v="0"/>
    <n v="425.75"/>
    <n v="252.22"/>
    <m/>
    <n v="432.62277336814327"/>
    <n v="251.13901983982558"/>
    <n v="0"/>
    <n v="3176.0949999999998"/>
    <n v="1881.5611999999999"/>
    <n v="0"/>
    <n v="3227.3658893263487"/>
    <n v="1873.4970880050987"/>
  </r>
  <r>
    <s v="Regular"/>
    <x v="3"/>
    <x v="2"/>
    <x v="4"/>
    <x v="0"/>
    <x v="0"/>
    <x v="0"/>
    <x v="2"/>
    <x v="11"/>
    <n v="0"/>
    <n v="0"/>
    <n v="10.823"/>
    <n v="10.823"/>
    <n v="10.823"/>
    <n v="10.823"/>
    <n v="11"/>
    <x v="0"/>
    <n v="0"/>
    <n v="0"/>
    <n v="30"/>
    <n v="79"/>
    <n v="0"/>
    <n v="425.75"/>
    <n v="252.22"/>
    <m/>
    <n v="432.62277336814327"/>
    <n v="251.13901983982558"/>
    <n v="0"/>
    <n v="4607.8922499999999"/>
    <n v="2729.7770599999999"/>
    <n v="0"/>
    <n v="4682.2762761634149"/>
    <n v="2718.0776117264322"/>
  </r>
  <r>
    <s v="Regular"/>
    <x v="3"/>
    <x v="2"/>
    <x v="4"/>
    <x v="0"/>
    <x v="0"/>
    <x v="0"/>
    <x v="2"/>
    <x v="1"/>
    <n v="0"/>
    <n v="0"/>
    <n v="9.9870000000000001"/>
    <n v="9.9870000000000001"/>
    <n v="9.9870000000000001"/>
    <n v="9.9870000000000001"/>
    <n v="11"/>
    <x v="0"/>
    <n v="0"/>
    <n v="0"/>
    <n v="30"/>
    <n v="79"/>
    <n v="0"/>
    <n v="425.75"/>
    <n v="252.22"/>
    <m/>
    <n v="432.62277336814327"/>
    <n v="251.13901983982558"/>
    <n v="0"/>
    <n v="4251.9652500000002"/>
    <n v="2518.9211399999999"/>
    <n v="0"/>
    <n v="4320.603637627647"/>
    <n v="2508.1253911403383"/>
  </r>
  <r>
    <s v="Regular"/>
    <x v="3"/>
    <x v="2"/>
    <x v="4"/>
    <x v="0"/>
    <x v="0"/>
    <x v="0"/>
    <x v="2"/>
    <x v="2"/>
    <n v="0"/>
    <n v="0"/>
    <n v="9.032"/>
    <n v="9.032"/>
    <n v="9.032"/>
    <n v="9.032"/>
    <n v="11"/>
    <x v="0"/>
    <n v="0"/>
    <n v="0"/>
    <n v="30"/>
    <n v="79"/>
    <n v="0"/>
    <n v="425.75"/>
    <n v="252.22"/>
    <m/>
    <n v="432.62277336814327"/>
    <n v="251.13901983982558"/>
    <n v="0"/>
    <n v="3845.3739999999998"/>
    <n v="2278.0510399999998"/>
    <n v="0"/>
    <n v="3907.4488890610701"/>
    <n v="2268.2876271933046"/>
  </r>
  <r>
    <s v="Regular"/>
    <x v="3"/>
    <x v="2"/>
    <x v="4"/>
    <x v="0"/>
    <x v="0"/>
    <x v="0"/>
    <x v="2"/>
    <x v="3"/>
    <n v="0"/>
    <n v="0"/>
    <n v="6.6120000000000001"/>
    <n v="6.6120000000000001"/>
    <n v="6.6120000000000001"/>
    <n v="6.6120000000000001"/>
    <n v="11"/>
    <x v="0"/>
    <n v="0"/>
    <n v="0"/>
    <n v="30"/>
    <n v="79"/>
    <n v="0"/>
    <n v="425.75"/>
    <n v="252.22"/>
    <m/>
    <n v="432.62277336814327"/>
    <n v="251.13901983982558"/>
    <n v="0"/>
    <n v="2815.0590000000002"/>
    <n v="1667.6786400000001"/>
    <n v="0"/>
    <n v="2860.5017775101633"/>
    <n v="1660.5311991809267"/>
  </r>
  <r>
    <s v="Regular"/>
    <x v="3"/>
    <x v="2"/>
    <x v="4"/>
    <x v="0"/>
    <x v="0"/>
    <x v="0"/>
    <x v="2"/>
    <x v="4"/>
    <n v="0"/>
    <n v="0"/>
    <n v="6.6580000000000004"/>
    <n v="6.6580000000000004"/>
    <n v="6.6580000000000004"/>
    <n v="6.6580000000000004"/>
    <n v="11"/>
    <x v="0"/>
    <n v="0"/>
    <n v="0"/>
    <n v="30"/>
    <n v="79"/>
    <n v="0"/>
    <n v="425.75"/>
    <n v="252.22"/>
    <m/>
    <n v="432.62277336814327"/>
    <n v="251.13901983982558"/>
    <n v="0"/>
    <n v="2834.6435000000001"/>
    <n v="1679.2807600000001"/>
    <n v="0"/>
    <n v="2880.402425085098"/>
    <n v="1672.0835940935588"/>
  </r>
  <r>
    <s v="Regular"/>
    <x v="3"/>
    <x v="2"/>
    <x v="4"/>
    <x v="0"/>
    <x v="0"/>
    <x v="0"/>
    <x v="2"/>
    <x v="0"/>
    <n v="0"/>
    <n v="0"/>
    <n v="7.7320000000000002"/>
    <n v="7.7320000000000002"/>
    <n v="7.7320000000000002"/>
    <n v="7.7320000000000002"/>
    <n v="11"/>
    <x v="0"/>
    <n v="0"/>
    <n v="0"/>
    <n v="30"/>
    <n v="79"/>
    <n v="0"/>
    <n v="425.75"/>
    <n v="252.22"/>
    <m/>
    <n v="432.62277336814327"/>
    <n v="251.13901983982558"/>
    <n v="0"/>
    <n v="3291.8989999999999"/>
    <n v="1950.1650400000001"/>
    <n v="0"/>
    <n v="3345.039283682484"/>
    <n v="1941.8069014015314"/>
  </r>
  <r>
    <s v="Regular"/>
    <x v="3"/>
    <x v="2"/>
    <x v="0"/>
    <x v="0"/>
    <x v="0"/>
    <x v="0"/>
    <x v="2"/>
    <x v="5"/>
    <n v="0"/>
    <n v="0"/>
    <n v="32.374000000000002"/>
    <n v="32.374000000000002"/>
    <n v="32.374000000000002"/>
    <n v="32.374000000000002"/>
    <n v="16"/>
    <x v="0"/>
    <n v="0"/>
    <n v="0"/>
    <n v="30"/>
    <n v="79"/>
    <n v="0"/>
    <n v="425.75"/>
    <n v="252.22"/>
    <m/>
    <n v="432.62277336814327"/>
    <n v="251.13901983982558"/>
    <n v="0"/>
    <n v="13783.230500000001"/>
    <n v="8165.370280000001"/>
    <n v="0"/>
    <n v="14005.729665020272"/>
    <n v="8130.374628294514"/>
  </r>
  <r>
    <s v="Sistema de Compensação"/>
    <x v="3"/>
    <x v="2"/>
    <x v="0"/>
    <x v="0"/>
    <x v="0"/>
    <x v="0"/>
    <x v="2"/>
    <x v="5"/>
    <n v="0"/>
    <n v="0"/>
    <n v="6.8"/>
    <n v="6.8"/>
    <n v="6.8"/>
    <n v="6.8"/>
    <n v="12"/>
    <x v="0"/>
    <n v="0"/>
    <n v="0"/>
    <n v="30"/>
    <n v="79"/>
    <n v="0"/>
    <n v="425.75"/>
    <n v="252.22"/>
    <m/>
    <n v="432.62277336814327"/>
    <n v="251.13901983982558"/>
    <n v="0"/>
    <n v="2895.1"/>
    <n v="1715.096"/>
    <n v="0"/>
    <n v="2941.834858903374"/>
    <n v="1707.7453349108139"/>
  </r>
  <r>
    <s v="Regular"/>
    <x v="3"/>
    <x v="2"/>
    <x v="0"/>
    <x v="0"/>
    <x v="0"/>
    <x v="0"/>
    <x v="2"/>
    <x v="6"/>
    <n v="0"/>
    <n v="0"/>
    <n v="44.094999999999999"/>
    <n v="44.094999999999999"/>
    <n v="44.094999999999999"/>
    <n v="44.094999999999999"/>
    <n v="17"/>
    <x v="0"/>
    <n v="0"/>
    <n v="0"/>
    <n v="30"/>
    <n v="79"/>
    <n v="0"/>
    <n v="425.75"/>
    <n v="252.22"/>
    <m/>
    <n v="432.62277336814327"/>
    <n v="251.13901983982558"/>
    <n v="0"/>
    <n v="18773.446250000001"/>
    <n v="11121.6409"/>
    <n v="0"/>
    <n v="19076.501191668278"/>
    <n v="11073.975079837108"/>
  </r>
  <r>
    <s v="Sistema de Compensação"/>
    <x v="3"/>
    <x v="2"/>
    <x v="0"/>
    <x v="0"/>
    <x v="0"/>
    <x v="0"/>
    <x v="2"/>
    <x v="6"/>
    <n v="0"/>
    <n v="0"/>
    <n v="9.2780000000000005"/>
    <n v="9.2780000000000005"/>
    <n v="9.2780000000000005"/>
    <n v="9.2780000000000005"/>
    <n v="11"/>
    <x v="0"/>
    <n v="0"/>
    <n v="0"/>
    <n v="30"/>
    <n v="79"/>
    <n v="0"/>
    <n v="425.75"/>
    <n v="252.22"/>
    <m/>
    <n v="432.62277336814327"/>
    <n v="251.13901983982558"/>
    <n v="0"/>
    <n v="3950.1085000000003"/>
    <n v="2340.0971600000003"/>
    <n v="0"/>
    <n v="4013.8740913096335"/>
    <n v="2330.0678260739019"/>
  </r>
  <r>
    <s v="Regular"/>
    <x v="3"/>
    <x v="2"/>
    <x v="0"/>
    <x v="0"/>
    <x v="0"/>
    <x v="0"/>
    <x v="2"/>
    <x v="7"/>
    <n v="0"/>
    <n v="0"/>
    <n v="53.484000000000002"/>
    <n v="53.484000000000002"/>
    <n v="53.484000000000002"/>
    <n v="53.484000000000002"/>
    <n v="17"/>
    <x v="0"/>
    <n v="0"/>
    <n v="0"/>
    <n v="30"/>
    <n v="79"/>
    <n v="0"/>
    <n v="425.75"/>
    <n v="252.22"/>
    <m/>
    <n v="432.62277336814327"/>
    <n v="251.13901983982558"/>
    <n v="0"/>
    <n v="22770.813000000002"/>
    <n v="13489.734480000001"/>
    <n v="0"/>
    <n v="23138.396410821777"/>
    <n v="13431.919337113231"/>
  </r>
  <r>
    <s v="Sistema de Compensação"/>
    <x v="3"/>
    <x v="2"/>
    <x v="0"/>
    <x v="0"/>
    <x v="0"/>
    <x v="0"/>
    <x v="2"/>
    <x v="7"/>
    <n v="0"/>
    <n v="0"/>
    <n v="15.333"/>
    <n v="15.333"/>
    <n v="15.333"/>
    <n v="15.333"/>
    <n v="11"/>
    <x v="0"/>
    <n v="0"/>
    <n v="0"/>
    <n v="30"/>
    <n v="79"/>
    <n v="0"/>
    <n v="425.75"/>
    <n v="252.22"/>
    <m/>
    <n v="432.62277336814327"/>
    <n v="251.13901983982558"/>
    <n v="0"/>
    <n v="6528.0247500000005"/>
    <n v="3867.28926"/>
    <n v="0"/>
    <n v="6633.4049840537409"/>
    <n v="3850.7145912040455"/>
  </r>
  <r>
    <s v="Regular"/>
    <x v="3"/>
    <x v="2"/>
    <x v="0"/>
    <x v="0"/>
    <x v="0"/>
    <x v="0"/>
    <x v="2"/>
    <x v="8"/>
    <n v="0"/>
    <n v="0"/>
    <n v="56.197000000000003"/>
    <n v="56.197000000000003"/>
    <n v="56.197000000000003"/>
    <n v="56.197000000000003"/>
    <n v="17"/>
    <x v="0"/>
    <n v="0"/>
    <n v="0"/>
    <n v="30"/>
    <n v="79"/>
    <n v="0"/>
    <n v="425.75"/>
    <n v="252.22"/>
    <m/>
    <n v="432.62277336814327"/>
    <n v="251.13901983982558"/>
    <n v="0"/>
    <n v="23925.872750000002"/>
    <n v="14174.00734"/>
    <n v="0"/>
    <n v="24312.101994969547"/>
    <n v="14113.259497938679"/>
  </r>
  <r>
    <s v="Sistema de Compensação"/>
    <x v="3"/>
    <x v="2"/>
    <x v="0"/>
    <x v="0"/>
    <x v="0"/>
    <x v="0"/>
    <x v="2"/>
    <x v="8"/>
    <n v="0"/>
    <n v="0"/>
    <n v="10.62"/>
    <n v="10.62"/>
    <n v="10.62"/>
    <n v="10.62"/>
    <n v="11"/>
    <x v="0"/>
    <n v="0"/>
    <n v="0"/>
    <n v="30"/>
    <n v="79"/>
    <n v="0"/>
    <n v="425.75"/>
    <n v="252.22"/>
    <m/>
    <n v="432.62277336814327"/>
    <n v="251.13901983982558"/>
    <n v="0"/>
    <n v="4521.4649999999992"/>
    <n v="2678.5763999999999"/>
    <n v="0"/>
    <n v="4594.4538531696808"/>
    <n v="2667.0963906989473"/>
  </r>
  <r>
    <s v="Regular"/>
    <x v="3"/>
    <x v="2"/>
    <x v="0"/>
    <x v="0"/>
    <x v="0"/>
    <x v="0"/>
    <x v="2"/>
    <x v="9"/>
    <n v="0"/>
    <n v="0"/>
    <n v="53.191000000000003"/>
    <n v="53.191000000000003"/>
    <n v="53.191000000000003"/>
    <n v="53.191000000000003"/>
    <n v="16"/>
    <x v="0"/>
    <n v="0"/>
    <n v="0"/>
    <n v="30"/>
    <n v="79"/>
    <n v="0"/>
    <n v="425.75"/>
    <n v="252.22"/>
    <m/>
    <n v="432.62277336814327"/>
    <n v="251.13901983982558"/>
    <n v="0"/>
    <n v="22646.06825"/>
    <n v="13415.83402"/>
    <n v="0"/>
    <n v="23011.637938224911"/>
    <n v="13358.335604300162"/>
  </r>
  <r>
    <s v="Sistema de Compensação"/>
    <x v="3"/>
    <x v="2"/>
    <x v="0"/>
    <x v="0"/>
    <x v="0"/>
    <x v="0"/>
    <x v="2"/>
    <x v="9"/>
    <n v="0"/>
    <n v="0"/>
    <n v="15.13"/>
    <n v="15.13"/>
    <n v="15.13"/>
    <n v="15.13"/>
    <n v="12"/>
    <x v="0"/>
    <n v="0"/>
    <n v="0"/>
    <n v="30"/>
    <n v="79"/>
    <n v="0"/>
    <n v="425.75"/>
    <n v="252.22"/>
    <m/>
    <n v="432.62277336814327"/>
    <n v="251.13901983982558"/>
    <n v="0"/>
    <n v="6441.5975000000008"/>
    <n v="3816.0886"/>
    <n v="0"/>
    <n v="6545.5825610600077"/>
    <n v="3799.733370176561"/>
  </r>
  <r>
    <s v="Regular"/>
    <x v="3"/>
    <x v="2"/>
    <x v="0"/>
    <x v="0"/>
    <x v="0"/>
    <x v="0"/>
    <x v="2"/>
    <x v="10"/>
    <n v="0"/>
    <n v="0"/>
    <n v="54.026000000000003"/>
    <n v="54.026000000000003"/>
    <n v="54.026000000000003"/>
    <n v="54.026000000000003"/>
    <n v="18"/>
    <x v="0"/>
    <n v="0"/>
    <n v="0"/>
    <n v="30"/>
    <n v="79"/>
    <n v="0"/>
    <n v="425.75"/>
    <n v="252.22"/>
    <m/>
    <n v="432.62277336814327"/>
    <n v="251.13901983982558"/>
    <n v="0"/>
    <n v="23001.569500000001"/>
    <n v="13626.43772"/>
    <n v="0"/>
    <n v="23372.87795398731"/>
    <n v="13568.036685866418"/>
  </r>
  <r>
    <s v="Sistema de Compensação"/>
    <x v="3"/>
    <x v="2"/>
    <x v="0"/>
    <x v="0"/>
    <x v="0"/>
    <x v="0"/>
    <x v="2"/>
    <x v="10"/>
    <n v="0"/>
    <n v="0"/>
    <n v="11.590999999999999"/>
    <n v="11.590999999999999"/>
    <n v="11.590999999999999"/>
    <n v="11.590999999999999"/>
    <n v="12"/>
    <x v="0"/>
    <n v="0"/>
    <n v="0"/>
    <n v="30"/>
    <n v="79"/>
    <n v="0"/>
    <n v="425.75"/>
    <n v="252.22"/>
    <m/>
    <n v="432.62277336814327"/>
    <n v="251.13901983982558"/>
    <n v="0"/>
    <n v="4934.8682499999995"/>
    <n v="2923.4820199999999"/>
    <n v="0"/>
    <n v="5014.5305661101484"/>
    <n v="2910.9523789634181"/>
  </r>
  <r>
    <s v="Regular"/>
    <x v="3"/>
    <x v="2"/>
    <x v="0"/>
    <x v="0"/>
    <x v="0"/>
    <x v="0"/>
    <x v="2"/>
    <x v="11"/>
    <n v="0"/>
    <n v="0"/>
    <n v="51.26"/>
    <n v="51.26"/>
    <n v="51.26"/>
    <n v="51.26"/>
    <n v="18"/>
    <x v="0"/>
    <n v="0"/>
    <n v="0"/>
    <n v="30"/>
    <n v="79"/>
    <n v="0"/>
    <n v="425.75"/>
    <n v="252.22"/>
    <m/>
    <n v="432.62277336814327"/>
    <n v="251.13901983982558"/>
    <n v="0"/>
    <n v="21823.945"/>
    <n v="12928.797199999999"/>
    <n v="0"/>
    <n v="22176.243362851023"/>
    <n v="12873.386156989458"/>
  </r>
  <r>
    <s v="Sistema de Compensação"/>
    <x v="3"/>
    <x v="2"/>
    <x v="0"/>
    <x v="0"/>
    <x v="0"/>
    <x v="0"/>
    <x v="2"/>
    <x v="11"/>
    <n v="0"/>
    <n v="0"/>
    <n v="11.93"/>
    <n v="11.93"/>
    <n v="11.93"/>
    <n v="11.93"/>
    <n v="12"/>
    <x v="0"/>
    <n v="0"/>
    <n v="0"/>
    <n v="30"/>
    <n v="79"/>
    <n v="0"/>
    <n v="425.75"/>
    <n v="252.22"/>
    <m/>
    <n v="432.62277336814327"/>
    <n v="251.13901983982558"/>
    <n v="0"/>
    <n v="5079.1975000000002"/>
    <n v="3008.9845999999998"/>
    <n v="0"/>
    <n v="5161.1896862819494"/>
    <n v="2996.0885066891192"/>
  </r>
  <r>
    <s v="Regular"/>
    <x v="3"/>
    <x v="2"/>
    <x v="0"/>
    <x v="0"/>
    <x v="0"/>
    <x v="0"/>
    <x v="2"/>
    <x v="1"/>
    <n v="0"/>
    <n v="0"/>
    <n v="55.802999999999997"/>
    <n v="55.802999999999997"/>
    <n v="55.802999999999997"/>
    <n v="55.802999999999997"/>
    <n v="17"/>
    <x v="0"/>
    <n v="0"/>
    <n v="0"/>
    <n v="30"/>
    <n v="79"/>
    <n v="0"/>
    <n v="425.75"/>
    <n v="252.22"/>
    <m/>
    <n v="432.62277336814327"/>
    <n v="251.13901983982558"/>
    <n v="0"/>
    <n v="23758.127249999998"/>
    <n v="14074.632659999999"/>
    <n v="0"/>
    <n v="24141.648622262499"/>
    <n v="14014.310724121786"/>
  </r>
  <r>
    <s v="Sistema de Compensação"/>
    <x v="3"/>
    <x v="2"/>
    <x v="0"/>
    <x v="0"/>
    <x v="0"/>
    <x v="0"/>
    <x v="2"/>
    <x v="1"/>
    <n v="0"/>
    <n v="0"/>
    <n v="14.053000000000001"/>
    <n v="14.053000000000001"/>
    <n v="14.053000000000001"/>
    <n v="14.053000000000001"/>
    <n v="13"/>
    <x v="0"/>
    <n v="0"/>
    <n v="0"/>
    <n v="30"/>
    <n v="79"/>
    <n v="0"/>
    <n v="425.75"/>
    <n v="252.22"/>
    <m/>
    <n v="432.62277336814327"/>
    <n v="251.13901983982558"/>
    <n v="0"/>
    <n v="5983.0647500000005"/>
    <n v="3544.4476600000003"/>
    <n v="0"/>
    <n v="6079.6478341425181"/>
    <n v="3529.2566458090691"/>
  </r>
  <r>
    <s v="Regular"/>
    <x v="3"/>
    <x v="2"/>
    <x v="0"/>
    <x v="0"/>
    <x v="0"/>
    <x v="0"/>
    <x v="2"/>
    <x v="2"/>
    <n v="0"/>
    <n v="0"/>
    <n v="41.457999999999998"/>
    <n v="41.457999999999998"/>
    <n v="41.457999999999998"/>
    <n v="41.457999999999998"/>
    <n v="16"/>
    <x v="0"/>
    <n v="0"/>
    <n v="0"/>
    <n v="30"/>
    <n v="79"/>
    <n v="0"/>
    <n v="425.75"/>
    <n v="252.22"/>
    <m/>
    <n v="432.62277336814327"/>
    <n v="251.13901983982558"/>
    <n v="0"/>
    <n v="17650.7435"/>
    <n v="10456.536759999999"/>
    <n v="0"/>
    <n v="17935.674938296484"/>
    <n v="10411.721484519489"/>
  </r>
  <r>
    <s v="Sistema de Compensação"/>
    <x v="3"/>
    <x v="2"/>
    <x v="0"/>
    <x v="0"/>
    <x v="0"/>
    <x v="0"/>
    <x v="2"/>
    <x v="2"/>
    <n v="0"/>
    <n v="0"/>
    <n v="11.82"/>
    <n v="11.82"/>
    <n v="11.82"/>
    <n v="11.82"/>
    <n v="13"/>
    <x v="0"/>
    <n v="0"/>
    <n v="0"/>
    <n v="30"/>
    <n v="79"/>
    <n v="0"/>
    <n v="425.75"/>
    <n v="252.22"/>
    <m/>
    <n v="432.62277336814327"/>
    <n v="251.13901983982558"/>
    <n v="0"/>
    <n v="5032.3649999999998"/>
    <n v="2981.2404000000001"/>
    <n v="0"/>
    <n v="5113.6011812114539"/>
    <n v="2968.4632145067385"/>
  </r>
  <r>
    <s v="Regular"/>
    <x v="3"/>
    <x v="2"/>
    <x v="0"/>
    <x v="0"/>
    <x v="0"/>
    <x v="0"/>
    <x v="2"/>
    <x v="3"/>
    <n v="0"/>
    <n v="0"/>
    <n v="26.477"/>
    <n v="26.477"/>
    <n v="26.477"/>
    <n v="26.477"/>
    <n v="15"/>
    <x v="0"/>
    <n v="0"/>
    <n v="0"/>
    <n v="30"/>
    <n v="79"/>
    <n v="0"/>
    <n v="425.75"/>
    <n v="252.22"/>
    <m/>
    <n v="432.62277336814327"/>
    <n v="251.13901983982558"/>
    <n v="0"/>
    <n v="11272.58275"/>
    <n v="6678.0289400000001"/>
    <n v="0"/>
    <n v="11454.553170468329"/>
    <n v="6649.4078282990622"/>
  </r>
  <r>
    <s v="Sistema de Compensação"/>
    <x v="3"/>
    <x v="2"/>
    <x v="0"/>
    <x v="0"/>
    <x v="0"/>
    <x v="0"/>
    <x v="2"/>
    <x v="3"/>
    <n v="0"/>
    <n v="0"/>
    <n v="3.87"/>
    <n v="3.87"/>
    <n v="3.87"/>
    <n v="3.87"/>
    <n v="12"/>
    <x v="0"/>
    <n v="0"/>
    <n v="0"/>
    <n v="30"/>
    <n v="79"/>
    <n v="0"/>
    <n v="425.75"/>
    <n v="252.22"/>
    <m/>
    <n v="432.62277336814327"/>
    <n v="251.13901983982558"/>
    <n v="0"/>
    <n v="1647.6525000000001"/>
    <n v="976.09140000000002"/>
    <n v="0"/>
    <n v="1674.2501329347144"/>
    <n v="971.90800678012499"/>
  </r>
  <r>
    <s v="Regular"/>
    <x v="3"/>
    <x v="2"/>
    <x v="0"/>
    <x v="0"/>
    <x v="0"/>
    <x v="0"/>
    <x v="2"/>
    <x v="4"/>
    <n v="0"/>
    <n v="0"/>
    <n v="21.818999999999999"/>
    <n v="21.818999999999999"/>
    <n v="21.818999999999999"/>
    <n v="21.818999999999999"/>
    <n v="14"/>
    <x v="0"/>
    <n v="0"/>
    <n v="0"/>
    <n v="30"/>
    <n v="79"/>
    <n v="0"/>
    <n v="425.75"/>
    <n v="252.22"/>
    <m/>
    <n v="432.62277336814327"/>
    <n v="251.13901983982558"/>
    <n v="0"/>
    <n v="9289.4392499999994"/>
    <n v="5503.1881800000001"/>
    <n v="0"/>
    <n v="9439.396292119518"/>
    <n v="5479.6022738851543"/>
  </r>
  <r>
    <s v="Refaturamento - Regular"/>
    <x v="3"/>
    <x v="2"/>
    <x v="0"/>
    <x v="0"/>
    <x v="0"/>
    <x v="0"/>
    <x v="2"/>
    <x v="4"/>
    <n v="0"/>
    <n v="0"/>
    <n v="-3.6619999999999999"/>
    <n v="-3.6619999999999999"/>
    <n v="-3.6619999999999999"/>
    <n v="-3.6619999999999999"/>
    <n v="0"/>
    <x v="0"/>
    <n v="0"/>
    <n v="0"/>
    <n v="30"/>
    <n v="79"/>
    <n v="0"/>
    <n v="425.75"/>
    <n v="252.22"/>
    <m/>
    <n v="432.62277336814327"/>
    <n v="251.13901983982558"/>
    <n v="0"/>
    <n v="-1559.0964999999999"/>
    <n v="-923.62963999999999"/>
    <n v="0"/>
    <n v="-1584.2645960741406"/>
    <n v="-919.6710906534413"/>
  </r>
  <r>
    <s v="Sistema de Compensação"/>
    <x v="3"/>
    <x v="2"/>
    <x v="0"/>
    <x v="0"/>
    <x v="0"/>
    <x v="0"/>
    <x v="2"/>
    <x v="4"/>
    <n v="0"/>
    <n v="0"/>
    <n v="5.0339999999999998"/>
    <n v="5.0339999999999998"/>
    <n v="5.0339999999999998"/>
    <n v="5.0339999999999998"/>
    <n v="11"/>
    <x v="0"/>
    <n v="0"/>
    <n v="0"/>
    <n v="30"/>
    <n v="79"/>
    <n v="0"/>
    <n v="425.75"/>
    <n v="252.22"/>
    <m/>
    <n v="432.62277336814327"/>
    <n v="251.13901983982558"/>
    <n v="0"/>
    <n v="2143.2255"/>
    <n v="1269.6754799999999"/>
    <n v="0"/>
    <n v="2177.8230411352333"/>
    <n v="1264.233825873682"/>
  </r>
  <r>
    <s v="Regular"/>
    <x v="3"/>
    <x v="2"/>
    <x v="0"/>
    <x v="0"/>
    <x v="0"/>
    <x v="0"/>
    <x v="2"/>
    <x v="0"/>
    <n v="0"/>
    <n v="0"/>
    <n v="19.295000000000002"/>
    <n v="19.295000000000002"/>
    <n v="19.295000000000002"/>
    <n v="19.295000000000002"/>
    <n v="14"/>
    <x v="0"/>
    <n v="0"/>
    <n v="0"/>
    <n v="30"/>
    <n v="79"/>
    <n v="0"/>
    <n v="425.75"/>
    <n v="252.22"/>
    <m/>
    <n v="432.62277336814327"/>
    <n v="251.13901983982558"/>
    <n v="0"/>
    <n v="8214.8462500000005"/>
    <n v="4866.5849000000007"/>
    <n v="0"/>
    <n v="8347.4564121383246"/>
    <n v="4845.7273878094347"/>
  </r>
  <r>
    <s v="Sistema de Compensação"/>
    <x v="3"/>
    <x v="2"/>
    <x v="0"/>
    <x v="0"/>
    <x v="0"/>
    <x v="0"/>
    <x v="2"/>
    <x v="0"/>
    <n v="0"/>
    <n v="0"/>
    <n v="7.5369999999999999"/>
    <n v="7.5369999999999999"/>
    <n v="7.5369999999999999"/>
    <n v="7.5369999999999999"/>
    <n v="11"/>
    <x v="0"/>
    <n v="0"/>
    <n v="0"/>
    <n v="30"/>
    <n v="79"/>
    <n v="0"/>
    <n v="425.75"/>
    <n v="252.22"/>
    <m/>
    <n v="432.62277336814327"/>
    <n v="251.13901983982558"/>
    <n v="0"/>
    <n v="3208.8777500000001"/>
    <n v="1900.9821400000001"/>
    <n v="0"/>
    <n v="3260.6778428756957"/>
    <n v="1892.8347925327653"/>
  </r>
  <r>
    <s v="Regular"/>
    <x v="3"/>
    <x v="2"/>
    <x v="5"/>
    <x v="0"/>
    <x v="0"/>
    <x v="0"/>
    <x v="2"/>
    <x v="5"/>
    <n v="0"/>
    <n v="0"/>
    <n v="195.035"/>
    <n v="195.035"/>
    <n v="195.035"/>
    <n v="195.035"/>
    <n v="366"/>
    <x v="0"/>
    <n v="0"/>
    <n v="0"/>
    <n v="30"/>
    <n v="79"/>
    <n v="0"/>
    <n v="425.75"/>
    <n v="252.22"/>
    <m/>
    <n v="432.62277336814327"/>
    <n v="251.13901983982558"/>
    <n v="0"/>
    <n v="83036.151249999995"/>
    <n v="49191.727699999996"/>
    <n v="0"/>
    <n v="84376.582603855815"/>
    <n v="48980.898734460381"/>
  </r>
  <r>
    <s v="Sistema de Compensação"/>
    <x v="3"/>
    <x v="2"/>
    <x v="5"/>
    <x v="0"/>
    <x v="0"/>
    <x v="0"/>
    <x v="2"/>
    <x v="5"/>
    <n v="0"/>
    <n v="0"/>
    <n v="2.0110000000000001"/>
    <n v="2.0110000000000001"/>
    <n v="2.0110000000000001"/>
    <n v="2.0110000000000001"/>
    <n v="2"/>
    <x v="0"/>
    <n v="0"/>
    <n v="0"/>
    <n v="30"/>
    <n v="79"/>
    <n v="0"/>
    <n v="425.75"/>
    <n v="252.22"/>
    <m/>
    <n v="432.62277336814327"/>
    <n v="251.13901983982558"/>
    <n v="0"/>
    <n v="856.18325000000004"/>
    <n v="507.21442000000002"/>
    <n v="0"/>
    <n v="870.00439724333614"/>
    <n v="505.04056889788927"/>
  </r>
  <r>
    <s v="Regular"/>
    <x v="3"/>
    <x v="2"/>
    <x v="5"/>
    <x v="0"/>
    <x v="0"/>
    <x v="0"/>
    <x v="2"/>
    <x v="6"/>
    <n v="0"/>
    <n v="0"/>
    <n v="187.249"/>
    <n v="187.249"/>
    <n v="187.249"/>
    <n v="187.249"/>
    <n v="366"/>
    <x v="0"/>
    <n v="0"/>
    <n v="0"/>
    <n v="30"/>
    <n v="79"/>
    <n v="0"/>
    <n v="425.75"/>
    <n v="252.22"/>
    <m/>
    <n v="432.62277336814327"/>
    <n v="251.13901983982558"/>
    <n v="0"/>
    <n v="79721.261750000005"/>
    <n v="47227.942779999998"/>
    <n v="0"/>
    <n v="81008.181690411453"/>
    <n v="47025.5303259875"/>
  </r>
  <r>
    <s v="Sistema de Compensação"/>
    <x v="3"/>
    <x v="2"/>
    <x v="5"/>
    <x v="0"/>
    <x v="0"/>
    <x v="0"/>
    <x v="2"/>
    <x v="6"/>
    <n v="0"/>
    <n v="0"/>
    <n v="0.872"/>
    <n v="0.872"/>
    <n v="0.872"/>
    <n v="0.872"/>
    <n v="2"/>
    <x v="0"/>
    <n v="0"/>
    <n v="0"/>
    <n v="30"/>
    <n v="79"/>
    <n v="0"/>
    <n v="425.75"/>
    <n v="252.22"/>
    <m/>
    <n v="432.62277336814327"/>
    <n v="251.13901983982558"/>
    <n v="0"/>
    <n v="371.25400000000002"/>
    <n v="219.93583999999998"/>
    <n v="0"/>
    <n v="377.24705837702095"/>
    <n v="218.99322530032791"/>
  </r>
  <r>
    <s v="Regular"/>
    <x v="3"/>
    <x v="2"/>
    <x v="5"/>
    <x v="0"/>
    <x v="0"/>
    <x v="0"/>
    <x v="2"/>
    <x v="7"/>
    <n v="0"/>
    <n v="0"/>
    <n v="169.28"/>
    <n v="169.28"/>
    <n v="169.28"/>
    <n v="169.28"/>
    <n v="366"/>
    <x v="0"/>
    <n v="0"/>
    <n v="0"/>
    <n v="30"/>
    <n v="79"/>
    <n v="0"/>
    <n v="425.75"/>
    <n v="252.22"/>
    <m/>
    <n v="432.62277336814327"/>
    <n v="251.13901983982558"/>
    <n v="0"/>
    <n v="72070.960000000006"/>
    <n v="42695.801599999999"/>
    <n v="0"/>
    <n v="73234.383075759295"/>
    <n v="42512.813278485672"/>
  </r>
  <r>
    <s v="Sistema de Compensação"/>
    <x v="3"/>
    <x v="2"/>
    <x v="5"/>
    <x v="0"/>
    <x v="0"/>
    <x v="0"/>
    <x v="2"/>
    <x v="7"/>
    <n v="0"/>
    <n v="0"/>
    <n v="0.41899999999999998"/>
    <n v="0.41899999999999998"/>
    <n v="0.41899999999999998"/>
    <n v="0.41899999999999998"/>
    <n v="2"/>
    <x v="0"/>
    <n v="0"/>
    <n v="0"/>
    <n v="30"/>
    <n v="79"/>
    <n v="0"/>
    <n v="425.75"/>
    <n v="252.22"/>
    <m/>
    <n v="432.62277336814327"/>
    <n v="251.13901983982558"/>
    <n v="0"/>
    <n v="178.38925"/>
    <n v="105.68017999999999"/>
    <n v="0"/>
    <n v="181.26894204125202"/>
    <n v="105.22724931288691"/>
  </r>
  <r>
    <s v="Regular"/>
    <x v="3"/>
    <x v="2"/>
    <x v="5"/>
    <x v="0"/>
    <x v="0"/>
    <x v="0"/>
    <x v="2"/>
    <x v="8"/>
    <n v="0"/>
    <n v="0"/>
    <n v="156.93600000000001"/>
    <n v="156.93600000000001"/>
    <n v="156.93600000000001"/>
    <n v="156.93600000000001"/>
    <n v="365"/>
    <x v="0"/>
    <n v="0"/>
    <n v="0"/>
    <n v="30"/>
    <n v="79"/>
    <n v="0"/>
    <n v="425.75"/>
    <n v="252.22"/>
    <m/>
    <n v="432.62277336814327"/>
    <n v="251.13901983982558"/>
    <n v="0"/>
    <n v="66815.502000000008"/>
    <n v="39582.397920000003"/>
    <n v="0"/>
    <n v="67894.087561302935"/>
    <n v="39412.753217582867"/>
  </r>
  <r>
    <s v="Sistema de Compensação"/>
    <x v="3"/>
    <x v="2"/>
    <x v="5"/>
    <x v="0"/>
    <x v="0"/>
    <x v="0"/>
    <x v="2"/>
    <x v="8"/>
    <n v="0"/>
    <n v="0"/>
    <n v="0.39100000000000001"/>
    <n v="0.39100000000000001"/>
    <n v="0.39100000000000001"/>
    <n v="0.39100000000000001"/>
    <n v="2"/>
    <x v="0"/>
    <n v="0"/>
    <n v="0"/>
    <n v="30"/>
    <n v="79"/>
    <n v="0"/>
    <n v="425.75"/>
    <n v="252.22"/>
    <m/>
    <n v="432.62277336814327"/>
    <n v="251.13901983982558"/>
    <n v="0"/>
    <n v="166.46825000000001"/>
    <n v="98.618020000000001"/>
    <n v="0"/>
    <n v="169.15550438694402"/>
    <n v="98.195356757371812"/>
  </r>
  <r>
    <s v="Regular"/>
    <x v="3"/>
    <x v="2"/>
    <x v="5"/>
    <x v="0"/>
    <x v="0"/>
    <x v="0"/>
    <x v="2"/>
    <x v="9"/>
    <n v="0"/>
    <n v="0"/>
    <n v="182.09200000000001"/>
    <n v="182.09200000000001"/>
    <n v="182.09200000000001"/>
    <n v="182.09200000000001"/>
    <n v="368"/>
    <x v="0"/>
    <n v="0"/>
    <n v="0"/>
    <n v="30"/>
    <n v="79"/>
    <n v="0"/>
    <n v="425.75"/>
    <n v="252.22"/>
    <m/>
    <n v="432.62277336814327"/>
    <n v="251.13901983982558"/>
    <n v="0"/>
    <n v="77525.669000000009"/>
    <n v="45927.24424"/>
    <n v="0"/>
    <n v="78777.146048151946"/>
    <n v="45730.406400673521"/>
  </r>
  <r>
    <s v="Sistema de Compensação"/>
    <x v="3"/>
    <x v="2"/>
    <x v="5"/>
    <x v="0"/>
    <x v="0"/>
    <x v="0"/>
    <x v="2"/>
    <x v="9"/>
    <n v="0"/>
    <n v="0"/>
    <n v="0.45200000000000001"/>
    <n v="0.45200000000000001"/>
    <n v="0.45200000000000001"/>
    <n v="0.45200000000000001"/>
    <n v="2"/>
    <x v="0"/>
    <n v="0"/>
    <n v="0"/>
    <n v="30"/>
    <n v="79"/>
    <n v="0"/>
    <n v="425.75"/>
    <n v="252.22"/>
    <m/>
    <n v="432.62277336814327"/>
    <n v="251.13901983982558"/>
    <n v="0"/>
    <n v="192.43899999999999"/>
    <n v="114.00344"/>
    <n v="0"/>
    <n v="195.54549356240076"/>
    <n v="113.51483696760117"/>
  </r>
  <r>
    <s v="Regular"/>
    <x v="3"/>
    <x v="2"/>
    <x v="5"/>
    <x v="0"/>
    <x v="0"/>
    <x v="0"/>
    <x v="2"/>
    <x v="10"/>
    <n v="0"/>
    <n v="0"/>
    <n v="196.46600000000001"/>
    <n v="196.46600000000001"/>
    <n v="196.46600000000001"/>
    <n v="196.46600000000001"/>
    <n v="366"/>
    <x v="0"/>
    <n v="0"/>
    <n v="0"/>
    <n v="30"/>
    <n v="79"/>
    <n v="0"/>
    <n v="425.75"/>
    <n v="252.22"/>
    <m/>
    <n v="432.62277336814327"/>
    <n v="251.13901983982558"/>
    <n v="0"/>
    <n v="83645.3995"/>
    <n v="49552.654520000004"/>
    <n v="0"/>
    <n v="84995.665792545638"/>
    <n v="49340.278671851171"/>
  </r>
  <r>
    <s v="Sistema de Compensação"/>
    <x v="3"/>
    <x v="2"/>
    <x v="5"/>
    <x v="0"/>
    <x v="0"/>
    <x v="0"/>
    <x v="2"/>
    <x v="10"/>
    <n v="0"/>
    <n v="0"/>
    <n v="0.56000000000000005"/>
    <n v="0.56000000000000005"/>
    <n v="0.56000000000000005"/>
    <n v="0.56000000000000005"/>
    <n v="2"/>
    <x v="0"/>
    <n v="0"/>
    <n v="0"/>
    <n v="30"/>
    <n v="79"/>
    <n v="0"/>
    <n v="425.75"/>
    <n v="252.22"/>
    <m/>
    <n v="432.62277336814327"/>
    <n v="251.13901983982558"/>
    <n v="0"/>
    <n v="238.42000000000002"/>
    <n v="141.2432"/>
    <n v="0"/>
    <n v="242.26875308616025"/>
    <n v="140.63785111030234"/>
  </r>
  <r>
    <s v="Regular"/>
    <x v="3"/>
    <x v="2"/>
    <x v="5"/>
    <x v="0"/>
    <x v="0"/>
    <x v="0"/>
    <x v="2"/>
    <x v="11"/>
    <n v="0"/>
    <n v="0"/>
    <n v="208.83699999999999"/>
    <n v="208.83699999999999"/>
    <n v="208.83699999999999"/>
    <n v="208.83699999999999"/>
    <n v="370"/>
    <x v="0"/>
    <n v="0"/>
    <n v="0"/>
    <n v="30"/>
    <n v="79"/>
    <n v="0"/>
    <n v="425.75"/>
    <n v="252.22"/>
    <m/>
    <n v="432.62277336814327"/>
    <n v="251.13901983982558"/>
    <n v="0"/>
    <n v="88912.352749999991"/>
    <n v="52672.868139999999"/>
    <n v="0"/>
    <n v="90347.642121882935"/>
    <n v="52447.119486289652"/>
  </r>
  <r>
    <s v="Sistema de Compensação"/>
    <x v="3"/>
    <x v="2"/>
    <x v="5"/>
    <x v="0"/>
    <x v="0"/>
    <x v="0"/>
    <x v="2"/>
    <x v="11"/>
    <n v="0"/>
    <n v="0"/>
    <n v="0.38700000000000001"/>
    <n v="0.38700000000000001"/>
    <n v="0.38700000000000001"/>
    <n v="0.38700000000000001"/>
    <n v="2"/>
    <x v="0"/>
    <n v="0"/>
    <n v="0"/>
    <n v="30"/>
    <n v="79"/>
    <n v="0"/>
    <n v="425.75"/>
    <n v="252.22"/>
    <m/>
    <n v="432.62277336814327"/>
    <n v="251.13901983982558"/>
    <n v="0"/>
    <n v="164.76525000000001"/>
    <n v="97.609139999999996"/>
    <n v="0"/>
    <n v="167.42501329347144"/>
    <n v="97.190800678012508"/>
  </r>
  <r>
    <s v="Regular"/>
    <x v="3"/>
    <x v="2"/>
    <x v="5"/>
    <x v="0"/>
    <x v="0"/>
    <x v="0"/>
    <x v="2"/>
    <x v="1"/>
    <n v="0"/>
    <n v="0"/>
    <n v="225.506"/>
    <n v="225.506"/>
    <n v="225.506"/>
    <n v="225.506"/>
    <n v="372"/>
    <x v="0"/>
    <n v="0"/>
    <n v="0"/>
    <n v="30"/>
    <n v="79"/>
    <n v="0"/>
    <n v="425.75"/>
    <n v="252.22"/>
    <m/>
    <n v="432.62277336814327"/>
    <n v="251.13901983982558"/>
    <n v="0"/>
    <n v="96009.179499999998"/>
    <n v="56877.123319999999"/>
    <n v="0"/>
    <n v="97559.031131156516"/>
    <n v="56633.355807999709"/>
  </r>
  <r>
    <s v="Sistema de Compensação"/>
    <x v="3"/>
    <x v="2"/>
    <x v="5"/>
    <x v="0"/>
    <x v="0"/>
    <x v="0"/>
    <x v="2"/>
    <x v="1"/>
    <n v="0"/>
    <n v="0"/>
    <n v="0.247"/>
    <n v="0.247"/>
    <n v="0.247"/>
    <n v="0.247"/>
    <n v="2"/>
    <x v="0"/>
    <n v="0"/>
    <n v="0"/>
    <n v="30"/>
    <n v="79"/>
    <n v="0"/>
    <n v="425.75"/>
    <n v="252.22"/>
    <m/>
    <n v="432.62277336814327"/>
    <n v="251.13901983982558"/>
    <n v="0"/>
    <n v="105.16025"/>
    <n v="62.298339999999996"/>
    <n v="0"/>
    <n v="106.85782502193139"/>
    <n v="62.031337900436917"/>
  </r>
  <r>
    <s v="Regular"/>
    <x v="3"/>
    <x v="2"/>
    <x v="5"/>
    <x v="0"/>
    <x v="0"/>
    <x v="0"/>
    <x v="2"/>
    <x v="2"/>
    <n v="0"/>
    <n v="0"/>
    <n v="237.785"/>
    <n v="237.785"/>
    <n v="237.785"/>
    <n v="237.785"/>
    <n v="379"/>
    <x v="0"/>
    <n v="0"/>
    <n v="0"/>
    <n v="30"/>
    <n v="79"/>
    <n v="0"/>
    <n v="425.75"/>
    <n v="252.22"/>
    <m/>
    <n v="432.62277336814327"/>
    <n v="251.13901983982558"/>
    <n v="0"/>
    <n v="101236.96375"/>
    <n v="59974.132700000002"/>
    <n v="0"/>
    <n v="102871.20616534395"/>
    <n v="59717.091832612925"/>
  </r>
  <r>
    <s v="Sistema de Compensação"/>
    <x v="3"/>
    <x v="2"/>
    <x v="5"/>
    <x v="0"/>
    <x v="0"/>
    <x v="0"/>
    <x v="2"/>
    <x v="2"/>
    <n v="0"/>
    <n v="0"/>
    <n v="3.319"/>
    <n v="3.319"/>
    <n v="3.319"/>
    <n v="3.319"/>
    <n v="3"/>
    <x v="0"/>
    <n v="0"/>
    <n v="0"/>
    <n v="30"/>
    <n v="79"/>
    <n v="0"/>
    <n v="425.75"/>
    <n v="252.22"/>
    <m/>
    <n v="432.62277336814327"/>
    <n v="251.13901983982558"/>
    <n v="0"/>
    <n v="1413.0642499999999"/>
    <n v="837.11817999999994"/>
    <n v="0"/>
    <n v="1435.8749848088676"/>
    <n v="833.53040684838106"/>
  </r>
  <r>
    <s v="Regular"/>
    <x v="3"/>
    <x v="2"/>
    <x v="5"/>
    <x v="0"/>
    <x v="0"/>
    <x v="0"/>
    <x v="2"/>
    <x v="3"/>
    <n v="0"/>
    <n v="0"/>
    <n v="196.91"/>
    <n v="196.91"/>
    <n v="196.91"/>
    <n v="196.91"/>
    <n v="379"/>
    <x v="0"/>
    <n v="0"/>
    <n v="0"/>
    <n v="30"/>
    <n v="79"/>
    <n v="0"/>
    <n v="425.75"/>
    <n v="252.22"/>
    <m/>
    <n v="432.62277336814327"/>
    <n v="251.13901983982558"/>
    <n v="0"/>
    <n v="83834.432499999995"/>
    <n v="49664.640200000002"/>
    <n v="0"/>
    <n v="85187.750303921086"/>
    <n v="49451.784396660056"/>
  </r>
  <r>
    <s v="Refaturamento - Regular"/>
    <x v="3"/>
    <x v="2"/>
    <x v="5"/>
    <x v="0"/>
    <x v="0"/>
    <x v="0"/>
    <x v="2"/>
    <x v="3"/>
    <n v="0"/>
    <n v="0"/>
    <n v="-0.03"/>
    <n v="-0.03"/>
    <n v="-0.03"/>
    <n v="-0.03"/>
    <n v="0"/>
    <x v="0"/>
    <n v="0"/>
    <n v="0"/>
    <n v="30"/>
    <n v="79"/>
    <n v="0"/>
    <n v="425.75"/>
    <n v="252.22"/>
    <m/>
    <n v="432.62277336814327"/>
    <n v="251.13901983982558"/>
    <n v="0"/>
    <n v="-12.772499999999999"/>
    <n v="-7.5665999999999993"/>
    <n v="0"/>
    <n v="-12.978683201044298"/>
    <n v="-7.5341705951947668"/>
  </r>
  <r>
    <s v="Sistema de Compensação"/>
    <x v="3"/>
    <x v="2"/>
    <x v="5"/>
    <x v="0"/>
    <x v="0"/>
    <x v="0"/>
    <x v="2"/>
    <x v="3"/>
    <n v="0"/>
    <n v="0"/>
    <n v="2.5739999999999998"/>
    <n v="2.5739999999999998"/>
    <n v="2.5739999999999998"/>
    <n v="2.5739999999999998"/>
    <n v="3"/>
    <x v="0"/>
    <n v="0"/>
    <n v="0"/>
    <n v="30"/>
    <n v="79"/>
    <n v="0"/>
    <n v="425.75"/>
    <n v="252.22"/>
    <m/>
    <n v="432.62277336814327"/>
    <n v="251.13901983982558"/>
    <n v="0"/>
    <n v="1095.8805"/>
    <n v="649.21427999999992"/>
    <n v="0"/>
    <n v="1113.5710186496008"/>
    <n v="646.43183706771106"/>
  </r>
  <r>
    <s v="Regular"/>
    <x v="3"/>
    <x v="2"/>
    <x v="5"/>
    <x v="0"/>
    <x v="0"/>
    <x v="0"/>
    <x v="2"/>
    <x v="4"/>
    <n v="0"/>
    <n v="0"/>
    <n v="200.042"/>
    <n v="200.042"/>
    <n v="200.042"/>
    <n v="200.042"/>
    <n v="376"/>
    <x v="0"/>
    <n v="0"/>
    <n v="0"/>
    <n v="30"/>
    <n v="79"/>
    <n v="0"/>
    <n v="425.75"/>
    <n v="252.22"/>
    <m/>
    <n v="432.62277336814327"/>
    <n v="251.13901983982558"/>
    <n v="0"/>
    <n v="85167.881500000003"/>
    <n v="50454.593240000002"/>
    <n v="0"/>
    <n v="86542.724830110121"/>
    <n v="50238.35180679839"/>
  </r>
  <r>
    <s v="Sistema de Compensação"/>
    <x v="3"/>
    <x v="2"/>
    <x v="5"/>
    <x v="0"/>
    <x v="0"/>
    <x v="0"/>
    <x v="2"/>
    <x v="4"/>
    <n v="0"/>
    <n v="0"/>
    <n v="2.14"/>
    <n v="2.14"/>
    <n v="2.14"/>
    <n v="2.14"/>
    <n v="5"/>
    <x v="0"/>
    <n v="0"/>
    <n v="0"/>
    <n v="30"/>
    <n v="79"/>
    <n v="0"/>
    <n v="425.75"/>
    <n v="252.22"/>
    <m/>
    <n v="432.62277336814327"/>
    <n v="251.13901983982558"/>
    <n v="0"/>
    <n v="911.10500000000002"/>
    <n v="539.75080000000003"/>
    <n v="0"/>
    <n v="925.81273500782663"/>
    <n v="537.43750245722674"/>
  </r>
  <r>
    <s v="Regular"/>
    <x v="3"/>
    <x v="2"/>
    <x v="5"/>
    <x v="0"/>
    <x v="0"/>
    <x v="0"/>
    <x v="2"/>
    <x v="0"/>
    <n v="0"/>
    <n v="0"/>
    <n v="212.386"/>
    <n v="212.386"/>
    <n v="212.386"/>
    <n v="212.386"/>
    <n v="379"/>
    <x v="0"/>
    <n v="0"/>
    <n v="0"/>
    <n v="30"/>
    <n v="79"/>
    <n v="0"/>
    <n v="425.75"/>
    <n v="252.22"/>
    <m/>
    <n v="432.62277336814327"/>
    <n v="251.13901983982558"/>
    <n v="0"/>
    <n v="90423.339500000002"/>
    <n v="53567.996919999998"/>
    <n v="0"/>
    <n v="91883.020344566481"/>
    <n v="53338.411867701194"/>
  </r>
  <r>
    <s v="Sistema de Compensação"/>
    <x v="3"/>
    <x v="2"/>
    <x v="5"/>
    <x v="0"/>
    <x v="0"/>
    <x v="0"/>
    <x v="2"/>
    <x v="0"/>
    <n v="0"/>
    <n v="0"/>
    <n v="3.419"/>
    <n v="3.419"/>
    <n v="3.419"/>
    <n v="3.419"/>
    <n v="5"/>
    <x v="0"/>
    <n v="0"/>
    <n v="0"/>
    <n v="30"/>
    <n v="79"/>
    <n v="0"/>
    <n v="425.75"/>
    <n v="252.22"/>
    <m/>
    <n v="432.62277336814327"/>
    <n v="251.13901983982558"/>
    <n v="0"/>
    <n v="1455.6392499999999"/>
    <n v="862.34018000000003"/>
    <n v="0"/>
    <n v="1479.1372621456819"/>
    <n v="858.64430883236366"/>
  </r>
  <r>
    <s v="Regular"/>
    <x v="3"/>
    <x v="2"/>
    <x v="6"/>
    <x v="7"/>
    <x v="0"/>
    <x v="0"/>
    <x v="2"/>
    <x v="5"/>
    <n v="0"/>
    <n v="0"/>
    <n v="79.802999999999997"/>
    <n v="75.01482"/>
    <n v="79.802999999999997"/>
    <n v="75.01482"/>
    <n v="28"/>
    <x v="0"/>
    <n v="0"/>
    <n v="0"/>
    <n v="30"/>
    <n v="79"/>
    <n v="0"/>
    <n v="425.75"/>
    <n v="252.22"/>
    <m/>
    <n v="432.62277336814327"/>
    <n v="251.13901983982558"/>
    <n v="0"/>
    <n v="31937.559614999998"/>
    <n v="18920.237900399999"/>
    <n v="0"/>
    <n v="32453.119472112063"/>
    <n v="18839.148368260943"/>
  </r>
  <r>
    <s v="Regular"/>
    <x v="3"/>
    <x v="2"/>
    <x v="6"/>
    <x v="7"/>
    <x v="0"/>
    <x v="0"/>
    <x v="2"/>
    <x v="6"/>
    <n v="0"/>
    <n v="0"/>
    <n v="78.555999999999997"/>
    <n v="73.842639999999989"/>
    <n v="78.555999999999997"/>
    <n v="73.842639999999989"/>
    <n v="28"/>
    <x v="0"/>
    <n v="0"/>
    <n v="0"/>
    <n v="30"/>
    <n v="79"/>
    <n v="0"/>
    <n v="425.75"/>
    <n v="252.22"/>
    <m/>
    <n v="432.62277336814327"/>
    <n v="251.13901983982558"/>
    <n v="0"/>
    <n v="31438.503979999994"/>
    <n v="18624.590660799997"/>
    <n v="0"/>
    <n v="31946.007709625384"/>
    <n v="18544.768231985094"/>
  </r>
  <r>
    <s v="Regular"/>
    <x v="3"/>
    <x v="2"/>
    <x v="6"/>
    <x v="7"/>
    <x v="0"/>
    <x v="0"/>
    <x v="2"/>
    <x v="7"/>
    <n v="0"/>
    <n v="0"/>
    <n v="79.253"/>
    <n v="74.497820000000004"/>
    <n v="79.253"/>
    <n v="74.497820000000004"/>
    <n v="28"/>
    <x v="0"/>
    <n v="0"/>
    <n v="0"/>
    <n v="30"/>
    <n v="79"/>
    <n v="0"/>
    <n v="425.75"/>
    <n v="252.22"/>
    <m/>
    <n v="432.62277336814327"/>
    <n v="251.13901983982558"/>
    <n v="0"/>
    <n v="31717.446865000002"/>
    <n v="18789.840160400003"/>
    <n v="0"/>
    <n v="32229.453498280734"/>
    <n v="18709.309495003756"/>
  </r>
  <r>
    <s v="Regular"/>
    <x v="3"/>
    <x v="2"/>
    <x v="6"/>
    <x v="7"/>
    <x v="0"/>
    <x v="0"/>
    <x v="2"/>
    <x v="8"/>
    <n v="0"/>
    <n v="0"/>
    <n v="77.802999999999997"/>
    <n v="73.134820000000005"/>
    <n v="77.802999999999997"/>
    <n v="73.134820000000005"/>
    <n v="28"/>
    <x v="0"/>
    <n v="0"/>
    <n v="0"/>
    <n v="30"/>
    <n v="79"/>
    <n v="0"/>
    <n v="425.75"/>
    <n v="252.22"/>
    <m/>
    <n v="432.62277336814327"/>
    <n v="251.13901983982558"/>
    <n v="0"/>
    <n v="31137.149615000002"/>
    <n v="18446.064300400001"/>
    <n v="0"/>
    <n v="31639.788658179954"/>
    <n v="18367.007010962076"/>
  </r>
  <r>
    <s v="Regular"/>
    <x v="3"/>
    <x v="2"/>
    <x v="6"/>
    <x v="7"/>
    <x v="0"/>
    <x v="0"/>
    <x v="2"/>
    <x v="9"/>
    <n v="0"/>
    <n v="0"/>
    <n v="81.462000000000003"/>
    <n v="76.574280000000002"/>
    <n v="81.462000000000003"/>
    <n v="76.574280000000002"/>
    <n v="28"/>
    <x v="0"/>
    <n v="0"/>
    <n v="0"/>
    <n v="30"/>
    <n v="79"/>
    <n v="0"/>
    <n v="425.75"/>
    <n v="252.22"/>
    <m/>
    <n v="432.62277336814327"/>
    <n v="251.13901983982558"/>
    <n v="0"/>
    <n v="32601.49971"/>
    <n v="19313.564901599999"/>
    <n v="0"/>
    <n v="33127.777382268745"/>
    <n v="19230.789624140358"/>
  </r>
  <r>
    <s v="Regular"/>
    <x v="3"/>
    <x v="2"/>
    <x v="6"/>
    <x v="7"/>
    <x v="0"/>
    <x v="0"/>
    <x v="2"/>
    <x v="10"/>
    <n v="0"/>
    <n v="0"/>
    <n v="85.683000000000007"/>
    <n v="80.542019999999994"/>
    <n v="85.683000000000007"/>
    <n v="80.542019999999994"/>
    <n v="28"/>
    <x v="0"/>
    <n v="0"/>
    <n v="0"/>
    <n v="30"/>
    <n v="79"/>
    <n v="0"/>
    <n v="425.75"/>
    <n v="252.22"/>
    <m/>
    <n v="432.62277336814327"/>
    <n v="251.13901983982558"/>
    <n v="0"/>
    <n v="34290.765014999997"/>
    <n v="20314.308284399998"/>
    <n v="0"/>
    <n v="34844.31206507246"/>
    <n v="20227.243958719628"/>
  </r>
  <r>
    <s v="Regular"/>
    <x v="3"/>
    <x v="2"/>
    <x v="6"/>
    <x v="7"/>
    <x v="0"/>
    <x v="0"/>
    <x v="2"/>
    <x v="11"/>
    <n v="0"/>
    <n v="0"/>
    <n v="89"/>
    <n v="83.66"/>
    <n v="89"/>
    <n v="83.66"/>
    <n v="28"/>
    <x v="0"/>
    <n v="0"/>
    <n v="0"/>
    <n v="30"/>
    <n v="79"/>
    <n v="0"/>
    <n v="425.75"/>
    <n v="252.22"/>
    <m/>
    <n v="432.62277336814327"/>
    <n v="251.13901983982558"/>
    <n v="0"/>
    <n v="35618.244999999995"/>
    <n v="21100.725200000001"/>
    <n v="0"/>
    <n v="36193.221219978863"/>
    <n v="21010.290399799807"/>
  </r>
  <r>
    <s v="Regular"/>
    <x v="3"/>
    <x v="2"/>
    <x v="6"/>
    <x v="7"/>
    <x v="0"/>
    <x v="0"/>
    <x v="2"/>
    <x v="1"/>
    <n v="0"/>
    <n v="0"/>
    <n v="93.42"/>
    <n v="87.814800000000005"/>
    <n v="93.42"/>
    <n v="87.814800000000005"/>
    <n v="28"/>
    <x v="0"/>
    <n v="0"/>
    <n v="0"/>
    <n v="30"/>
    <n v="79"/>
    <n v="0"/>
    <n v="425.75"/>
    <n v="252.22"/>
    <m/>
    <n v="432.62277336814327"/>
    <n v="251.13901983982558"/>
    <n v="0"/>
    <n v="37387.151100000003"/>
    <n v="22148.648856"/>
    <n v="0"/>
    <n v="37990.682318768828"/>
    <n v="22053.722799430318"/>
  </r>
  <r>
    <s v="Regular"/>
    <x v="3"/>
    <x v="2"/>
    <x v="6"/>
    <x v="7"/>
    <x v="0"/>
    <x v="0"/>
    <x v="2"/>
    <x v="2"/>
    <n v="0"/>
    <n v="0"/>
    <n v="84.638000000000005"/>
    <n v="79.559719999999999"/>
    <n v="84.638000000000005"/>
    <n v="79.559719999999999"/>
    <n v="28"/>
    <x v="0"/>
    <n v="0"/>
    <n v="0"/>
    <n v="30"/>
    <n v="79"/>
    <n v="0"/>
    <n v="425.75"/>
    <n v="252.22"/>
    <m/>
    <n v="432.62277336814327"/>
    <n v="251.13901983982558"/>
    <n v="0"/>
    <n v="33872.550790000001"/>
    <n v="20066.552578399998"/>
    <n v="0"/>
    <n v="34419.346714792933"/>
    <n v="19980.550099530967"/>
  </r>
  <r>
    <s v="Regular"/>
    <x v="3"/>
    <x v="2"/>
    <x v="6"/>
    <x v="7"/>
    <x v="0"/>
    <x v="0"/>
    <x v="2"/>
    <x v="3"/>
    <n v="0"/>
    <n v="0"/>
    <n v="90.352999999999994"/>
    <n v="84.931820000000002"/>
    <n v="90.352999999999994"/>
    <n v="84.931820000000002"/>
    <n v="28"/>
    <x v="0"/>
    <n v="0"/>
    <n v="0"/>
    <n v="30"/>
    <n v="79"/>
    <n v="0"/>
    <n v="425.75"/>
    <n v="252.22"/>
    <m/>
    <n v="432.62277336814327"/>
    <n v="251.13901983982558"/>
    <n v="0"/>
    <n v="36159.722365000001"/>
    <n v="21421.503640400002"/>
    <n v="0"/>
    <n v="36743.439515603939"/>
    <n v="21329.694028012495"/>
  </r>
  <r>
    <s v="Regular"/>
    <x v="3"/>
    <x v="2"/>
    <x v="6"/>
    <x v="7"/>
    <x v="0"/>
    <x v="0"/>
    <x v="2"/>
    <x v="4"/>
    <n v="0"/>
    <n v="0"/>
    <n v="86.266000000000005"/>
    <n v="81.090040000000002"/>
    <n v="86.266000000000005"/>
    <n v="81.090040000000002"/>
    <n v="28"/>
    <x v="0"/>
    <n v="0"/>
    <n v="0"/>
    <n v="30"/>
    <n v="79"/>
    <n v="0"/>
    <n v="425.75"/>
    <n v="252.22"/>
    <m/>
    <n v="432.62277336814327"/>
    <n v="251.13901983982558"/>
    <n v="0"/>
    <n v="34524.08453"/>
    <n v="20452.5298888"/>
    <n v="0"/>
    <n v="35081.397997333675"/>
    <n v="20364.873164372249"/>
  </r>
  <r>
    <s v="Regular"/>
    <x v="3"/>
    <x v="2"/>
    <x v="6"/>
    <x v="7"/>
    <x v="0"/>
    <x v="0"/>
    <x v="2"/>
    <x v="0"/>
    <n v="0"/>
    <n v="0"/>
    <n v="86.858999999999995"/>
    <n v="81.647459999999995"/>
    <n v="86.858999999999995"/>
    <n v="81.647459999999995"/>
    <n v="28"/>
    <x v="0"/>
    <n v="0"/>
    <n v="0"/>
    <n v="30"/>
    <n v="79"/>
    <n v="0"/>
    <n v="425.75"/>
    <n v="252.22"/>
    <m/>
    <n v="432.62277336814327"/>
    <n v="251.13901983982558"/>
    <n v="0"/>
    <n v="34761.406094999998"/>
    <n v="20593.122361199999"/>
    <n v="0"/>
    <n v="35322.550583664539"/>
    <n v="20504.863076811365"/>
  </r>
  <r>
    <s v="Regular"/>
    <x v="4"/>
    <x v="2"/>
    <x v="7"/>
    <x v="8"/>
    <x v="0"/>
    <x v="0"/>
    <x v="2"/>
    <x v="5"/>
    <n v="0"/>
    <n v="0"/>
    <n v="416.529"/>
    <n v="416.529"/>
    <n v="416.529"/>
    <n v="416.529"/>
    <n v="66"/>
    <x v="0"/>
    <n v="0"/>
    <n v="0"/>
    <n v="34"/>
    <n v="66"/>
    <n v="0"/>
    <n v="234.16"/>
    <n v="138.72"/>
    <m/>
    <n v="237.94252535247884"/>
    <n v="138.12646091190408"/>
    <n v="0"/>
    <n v="97534.430639999991"/>
    <n v="57780.902880000001"/>
    <n v="0"/>
    <n v="99109.962142542659"/>
    <n v="57533.676637174489"/>
  </r>
  <r>
    <s v="Regular"/>
    <x v="4"/>
    <x v="2"/>
    <x v="7"/>
    <x v="8"/>
    <x v="0"/>
    <x v="0"/>
    <x v="2"/>
    <x v="6"/>
    <n v="0"/>
    <n v="0"/>
    <n v="380.58699999999999"/>
    <n v="380.58699999999999"/>
    <n v="380.58699999999999"/>
    <n v="380.58699999999999"/>
    <n v="66"/>
    <x v="0"/>
    <n v="0"/>
    <n v="0"/>
    <n v="34"/>
    <n v="66"/>
    <n v="0"/>
    <n v="234.16"/>
    <n v="138.72"/>
    <m/>
    <n v="237.94252535247884"/>
    <n v="138.12646091190408"/>
    <n v="0"/>
    <n v="89118.251919999995"/>
    <n v="52795.028639999997"/>
    <n v="0"/>
    <n v="90557.831896323856"/>
    <n v="52569.135379078834"/>
  </r>
  <r>
    <s v="Regular"/>
    <x v="4"/>
    <x v="2"/>
    <x v="7"/>
    <x v="8"/>
    <x v="0"/>
    <x v="0"/>
    <x v="2"/>
    <x v="7"/>
    <n v="0"/>
    <n v="0"/>
    <n v="380.05599999999998"/>
    <n v="380.05599999999998"/>
    <n v="380.05599999999998"/>
    <n v="380.05599999999998"/>
    <n v="66"/>
    <x v="0"/>
    <n v="0"/>
    <n v="0"/>
    <n v="34"/>
    <n v="66"/>
    <n v="0"/>
    <n v="234.16"/>
    <n v="138.72"/>
    <m/>
    <n v="237.94252535247884"/>
    <n v="138.12646091190408"/>
    <n v="0"/>
    <n v="88993.912960000001"/>
    <n v="52721.368319999994"/>
    <n v="0"/>
    <n v="90431.484415361687"/>
    <n v="52495.790228334612"/>
  </r>
  <r>
    <s v="Regular"/>
    <x v="4"/>
    <x v="2"/>
    <x v="7"/>
    <x v="8"/>
    <x v="0"/>
    <x v="0"/>
    <x v="2"/>
    <x v="8"/>
    <n v="0"/>
    <n v="0"/>
    <n v="378.35599999999999"/>
    <n v="378.35599999999999"/>
    <n v="378.35599999999999"/>
    <n v="378.35599999999999"/>
    <n v="66"/>
    <x v="0"/>
    <n v="0"/>
    <n v="0"/>
    <n v="34"/>
    <n v="66"/>
    <n v="0"/>
    <n v="234.16"/>
    <n v="138.72"/>
    <m/>
    <n v="237.94252535247884"/>
    <n v="138.12646091190408"/>
    <n v="0"/>
    <n v="88595.840960000001"/>
    <n v="52485.544320000001"/>
    <n v="0"/>
    <n v="90026.982122262489"/>
    <n v="52260.975244784378"/>
  </r>
  <r>
    <s v="Regular"/>
    <x v="4"/>
    <x v="2"/>
    <x v="7"/>
    <x v="8"/>
    <x v="0"/>
    <x v="0"/>
    <x v="2"/>
    <x v="9"/>
    <n v="0"/>
    <n v="0"/>
    <n v="377.95699999999999"/>
    <n v="377.95699999999999"/>
    <n v="377.95699999999999"/>
    <n v="377.95699999999999"/>
    <n v="66"/>
    <x v="0"/>
    <n v="0"/>
    <n v="0"/>
    <n v="34"/>
    <n v="66"/>
    <n v="0"/>
    <n v="234.16"/>
    <n v="138.72"/>
    <m/>
    <n v="237.94252535247884"/>
    <n v="138.12646091190408"/>
    <n v="0"/>
    <n v="88502.411120000004"/>
    <n v="52430.195039999999"/>
    <n v="0"/>
    <n v="89932.043054646841"/>
    <n v="52205.862786880527"/>
  </r>
  <r>
    <s v="Regular"/>
    <x v="4"/>
    <x v="2"/>
    <x v="7"/>
    <x v="8"/>
    <x v="0"/>
    <x v="0"/>
    <x v="2"/>
    <x v="10"/>
    <n v="0"/>
    <n v="0"/>
    <n v="387.53300000000002"/>
    <n v="387.53300000000002"/>
    <n v="387.53300000000002"/>
    <n v="387.53300000000002"/>
    <n v="66"/>
    <x v="0"/>
    <n v="0"/>
    <n v="0"/>
    <n v="34"/>
    <n v="66"/>
    <n v="0"/>
    <n v="234.16"/>
    <n v="138.72"/>
    <m/>
    <n v="237.94252535247884"/>
    <n v="138.12646091190408"/>
    <n v="0"/>
    <n v="90744.727280000006"/>
    <n v="53758.57776"/>
    <n v="0"/>
    <n v="92210.580677422186"/>
    <n v="53528.561776572926"/>
  </r>
  <r>
    <s v="Regular"/>
    <x v="4"/>
    <x v="2"/>
    <x v="7"/>
    <x v="8"/>
    <x v="0"/>
    <x v="0"/>
    <x v="2"/>
    <x v="11"/>
    <n v="0"/>
    <n v="0"/>
    <n v="391.65499999999997"/>
    <n v="391.65499999999997"/>
    <n v="391.65499999999997"/>
    <n v="391.65499999999997"/>
    <n v="66"/>
    <x v="0"/>
    <n v="0"/>
    <n v="0"/>
    <n v="34"/>
    <n v="66"/>
    <n v="0"/>
    <n v="234.16"/>
    <n v="138.72"/>
    <m/>
    <n v="237.94252535247884"/>
    <n v="138.12646091190408"/>
    <n v="0"/>
    <n v="91709.934799999988"/>
    <n v="54330.381599999993"/>
    <n v="0"/>
    <n v="93191.379766925093"/>
    <n v="54097.919048451789"/>
  </r>
  <r>
    <s v="Regular"/>
    <x v="4"/>
    <x v="2"/>
    <x v="7"/>
    <x v="8"/>
    <x v="0"/>
    <x v="0"/>
    <x v="2"/>
    <x v="1"/>
    <n v="0"/>
    <n v="0"/>
    <n v="416.22199999999998"/>
    <n v="416.22199999999998"/>
    <n v="416.22199999999998"/>
    <n v="416.22199999999998"/>
    <n v="38"/>
    <x v="0"/>
    <n v="0"/>
    <n v="0"/>
    <n v="34"/>
    <n v="66"/>
    <n v="0"/>
    <n v="234.16"/>
    <n v="138.72"/>
    <m/>
    <n v="237.94252535247884"/>
    <n v="138.12646091190408"/>
    <n v="0"/>
    <n v="97462.543519999992"/>
    <n v="57738.315839999996"/>
    <n v="0"/>
    <n v="99036.913787259444"/>
    <n v="57491.271813674539"/>
  </r>
  <r>
    <s v="Regular"/>
    <x v="4"/>
    <x v="2"/>
    <x v="7"/>
    <x v="8"/>
    <x v="0"/>
    <x v="0"/>
    <x v="2"/>
    <x v="2"/>
    <n v="0"/>
    <n v="0"/>
    <n v="933.61500000000001"/>
    <n v="933.61500000000001"/>
    <n v="933.61500000000001"/>
    <n v="933.61500000000001"/>
    <n v="39"/>
    <x v="0"/>
    <n v="0"/>
    <n v="0"/>
    <n v="34"/>
    <n v="66"/>
    <n v="0"/>
    <n v="234.16"/>
    <n v="138.72"/>
    <m/>
    <n v="237.94252535247884"/>
    <n v="138.12646091190408"/>
    <n v="0"/>
    <n v="218615.28839999999"/>
    <n v="129511.07279999999"/>
    <n v="0"/>
    <n v="222146.71080695454"/>
    <n v="128956.93580426733"/>
  </r>
  <r>
    <s v="Regular"/>
    <x v="4"/>
    <x v="2"/>
    <x v="7"/>
    <x v="8"/>
    <x v="0"/>
    <x v="0"/>
    <x v="2"/>
    <x v="3"/>
    <n v="0"/>
    <n v="0"/>
    <n v="415.815"/>
    <n v="415.815"/>
    <n v="415.815"/>
    <n v="415.815"/>
    <n v="39"/>
    <x v="0"/>
    <n v="0"/>
    <n v="0"/>
    <n v="34"/>
    <n v="66"/>
    <n v="0"/>
    <n v="234.16"/>
    <n v="138.72"/>
    <m/>
    <n v="237.94252535247884"/>
    <n v="138.12646091190408"/>
    <n v="0"/>
    <n v="97367.240399999995"/>
    <n v="57681.856800000001"/>
    <n v="0"/>
    <n v="98940.071179440987"/>
    <n v="57435.054344083394"/>
  </r>
  <r>
    <s v="Refaturamento - Regular"/>
    <x v="4"/>
    <x v="2"/>
    <x v="7"/>
    <x v="8"/>
    <x v="0"/>
    <x v="0"/>
    <x v="2"/>
    <x v="3"/>
    <n v="0"/>
    <n v="0"/>
    <n v="-519.51099999999997"/>
    <n v="-519.51099999999997"/>
    <n v="-519.51099999999997"/>
    <n v="-519.51099999999997"/>
    <n v="0"/>
    <x v="0"/>
    <n v="0"/>
    <n v="0"/>
    <n v="34"/>
    <n v="66"/>
    <n v="0"/>
    <n v="234.16"/>
    <n v="138.72"/>
    <m/>
    <n v="237.94252535247884"/>
    <n v="138.12646091190408"/>
    <n v="0"/>
    <n v="-121648.69575999999"/>
    <n v="-72066.565919999994"/>
    <n v="0"/>
    <n v="-123613.75928839162"/>
    <n v="-71758.215834804199"/>
  </r>
  <r>
    <s v="Regular"/>
    <x v="4"/>
    <x v="2"/>
    <x v="7"/>
    <x v="8"/>
    <x v="0"/>
    <x v="0"/>
    <x v="2"/>
    <x v="4"/>
    <n v="0"/>
    <n v="0"/>
    <n v="447.61700000000002"/>
    <n v="447.61700000000002"/>
    <n v="447.61700000000002"/>
    <n v="447.61700000000002"/>
    <n v="38"/>
    <x v="0"/>
    <n v="0"/>
    <n v="0"/>
    <n v="34"/>
    <n v="66"/>
    <n v="0"/>
    <n v="234.16"/>
    <n v="138.72"/>
    <m/>
    <n v="237.94252535247884"/>
    <n v="138.12646091190408"/>
    <n v="0"/>
    <n v="104813.99672000001"/>
    <n v="62093.430240000002"/>
    <n v="0"/>
    <n v="106507.11937070053"/>
    <n v="61827.752054003766"/>
  </r>
  <r>
    <s v="Regular"/>
    <x v="4"/>
    <x v="2"/>
    <x v="7"/>
    <x v="8"/>
    <x v="0"/>
    <x v="0"/>
    <x v="2"/>
    <x v="0"/>
    <n v="0"/>
    <n v="0"/>
    <n v="433.98200000000003"/>
    <n v="433.98200000000003"/>
    <n v="433.98200000000003"/>
    <n v="433.98200000000003"/>
    <n v="38"/>
    <x v="0"/>
    <n v="0"/>
    <n v="0"/>
    <n v="34"/>
    <n v="66"/>
    <n v="0"/>
    <n v="234.16"/>
    <n v="138.72"/>
    <m/>
    <n v="237.94252535247884"/>
    <n v="138.12646091190408"/>
    <n v="0"/>
    <n v="101621.22512"/>
    <n v="60201.983040000006"/>
    <n v="0"/>
    <n v="103262.77303751948"/>
    <n v="59944.39775946996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">
  <r>
    <s v="Sistema de Compensação"/>
    <x v="0"/>
    <x v="0"/>
    <x v="0"/>
    <x v="0"/>
    <x v="0"/>
    <x v="0"/>
    <x v="0"/>
    <x v="0"/>
    <n v="75"/>
    <n v="72"/>
    <n v="0"/>
    <n v="0"/>
    <n v="0"/>
    <n v="0"/>
    <n v="0"/>
    <s v="CATIVO"/>
    <n v="0"/>
    <n v="16"/>
    <n v="0"/>
    <n v="0"/>
    <n v="45.42"/>
    <n v="0"/>
    <n v="0"/>
    <n v="45.87320696171841"/>
    <n v="89.719855298032911"/>
    <n v="251.13901983982558"/>
    <n v="136.26"/>
    <n v="0"/>
    <n v="137.61962088515523"/>
    <n v="0"/>
    <x v="0"/>
  </r>
  <r>
    <s v="Sistema de Compensação"/>
    <x v="0"/>
    <x v="0"/>
    <x v="0"/>
    <x v="0"/>
    <x v="0"/>
    <x v="0"/>
    <x v="0"/>
    <x v="1"/>
    <n v="69"/>
    <n v="66.239999999999995"/>
    <n v="0"/>
    <n v="0"/>
    <n v="0"/>
    <n v="0"/>
    <n v="0"/>
    <s v="CATIVO"/>
    <n v="0"/>
    <n v="16"/>
    <n v="0"/>
    <n v="0"/>
    <n v="45.42"/>
    <n v="0"/>
    <n v="0"/>
    <n v="45.87320696171841"/>
    <n v="89.719855298032911"/>
    <n v="251.13901983982558"/>
    <n v="125.35920000000024"/>
    <n v="0"/>
    <n v="126.61005121434304"/>
    <n v="0"/>
    <x v="0"/>
  </r>
  <r>
    <s v="Sistema de Compensação"/>
    <x v="0"/>
    <x v="0"/>
    <x v="0"/>
    <x v="0"/>
    <x v="0"/>
    <x v="0"/>
    <x v="0"/>
    <x v="1"/>
    <n v="-5"/>
    <n v="-4.8"/>
    <n v="0"/>
    <n v="0"/>
    <n v="0"/>
    <n v="0"/>
    <n v="0"/>
    <s v="CATIVO"/>
    <n v="0"/>
    <n v="16"/>
    <n v="0"/>
    <n v="0"/>
    <n v="45.42"/>
    <n v="0"/>
    <n v="0"/>
    <n v="45.87320696171841"/>
    <n v="89.719855298032911"/>
    <n v="251.13901983982558"/>
    <n v="-9.0840000000000085"/>
    <n v="0"/>
    <n v="-9.1746413923436894"/>
    <n v="0"/>
    <x v="0"/>
  </r>
  <r>
    <s v="Sistema de Compensação"/>
    <x v="0"/>
    <x v="0"/>
    <x v="0"/>
    <x v="0"/>
    <x v="0"/>
    <x v="0"/>
    <x v="0"/>
    <x v="2"/>
    <n v="65"/>
    <n v="62.4"/>
    <n v="0"/>
    <n v="0"/>
    <n v="0"/>
    <n v="0"/>
    <n v="0"/>
    <s v="CATIVO"/>
    <n v="0"/>
    <n v="16"/>
    <n v="0"/>
    <n v="0"/>
    <n v="45.42"/>
    <n v="0"/>
    <n v="0"/>
    <n v="45.87320696171841"/>
    <n v="89.719855298032911"/>
    <n v="251.13901983982558"/>
    <n v="118.09200000000007"/>
    <n v="0"/>
    <n v="119.27033810046792"/>
    <n v="0"/>
    <x v="0"/>
  </r>
  <r>
    <s v="Sistema de Compensação"/>
    <x v="0"/>
    <x v="0"/>
    <x v="0"/>
    <x v="0"/>
    <x v="0"/>
    <x v="0"/>
    <x v="0"/>
    <x v="3"/>
    <n v="93"/>
    <n v="89.28"/>
    <n v="10.872999999999999"/>
    <n v="10.438079999999999"/>
    <n v="10.872999999999999"/>
    <n v="10.438079999999999"/>
    <n v="0"/>
    <s v="CATIVO"/>
    <n v="0"/>
    <n v="16"/>
    <n v="9"/>
    <n v="28"/>
    <n v="45.42"/>
    <n v="79.319999999999993"/>
    <n v="252.22"/>
    <n v="45.87320696171841"/>
    <n v="89.719855298032911"/>
    <n v="251.13901983982558"/>
    <n v="168.96239999999995"/>
    <n v="144.19337679999998"/>
    <n v="170.64832989759242"/>
    <n v="148.2463419749574"/>
    <x v="0"/>
  </r>
  <r>
    <s v="Sistema de Compensação"/>
    <x v="0"/>
    <x v="0"/>
    <x v="0"/>
    <x v="0"/>
    <x v="0"/>
    <x v="0"/>
    <x v="0"/>
    <x v="4"/>
    <n v="56"/>
    <n v="53.76"/>
    <n v="7.7039999999999997"/>
    <n v="7.3958399999999997"/>
    <n v="7.7039999999999997"/>
    <n v="7.3958399999999997"/>
    <n v="0"/>
    <s v="CATIVO"/>
    <n v="0"/>
    <n v="16"/>
    <n v="9"/>
    <n v="28"/>
    <n v="45.42"/>
    <n v="79.319999999999993"/>
    <n v="252.22"/>
    <n v="45.87320696171841"/>
    <n v="89.719855298032911"/>
    <n v="251.13901983982558"/>
    <n v="101.74080000000009"/>
    <n v="102.16736639999999"/>
    <n v="102.75598359424933"/>
    <n v="105.03907096248247"/>
    <x v="0"/>
  </r>
  <r>
    <s v="Sistema de Compensação"/>
    <x v="0"/>
    <x v="0"/>
    <x v="0"/>
    <x v="0"/>
    <x v="0"/>
    <x v="0"/>
    <x v="1"/>
    <x v="0"/>
    <n v="75"/>
    <n v="72"/>
    <n v="0"/>
    <n v="0"/>
    <n v="0"/>
    <n v="0"/>
    <n v="0"/>
    <s v="CATIVO"/>
    <n v="0"/>
    <n v="21"/>
    <n v="0"/>
    <n v="0"/>
    <n v="57.56"/>
    <n v="0"/>
    <n v="0"/>
    <n v="58.826138336710258"/>
    <n v="89.719855298032911"/>
    <n v="251.13901983982558"/>
    <n v="172.68"/>
    <n v="0"/>
    <n v="176.47841501013079"/>
    <n v="0"/>
    <x v="0"/>
  </r>
  <r>
    <s v="Sistema de Compensação"/>
    <x v="0"/>
    <x v="0"/>
    <x v="0"/>
    <x v="0"/>
    <x v="0"/>
    <x v="0"/>
    <x v="1"/>
    <x v="1"/>
    <n v="17"/>
    <n v="16.32"/>
    <n v="0"/>
    <n v="0"/>
    <n v="0"/>
    <n v="0"/>
    <n v="0"/>
    <s v="CATIVO"/>
    <n v="0"/>
    <n v="21"/>
    <n v="0"/>
    <n v="0"/>
    <n v="57.56"/>
    <n v="0"/>
    <n v="0"/>
    <n v="58.826138336710258"/>
    <n v="89.719855298032911"/>
    <n v="251.13901983982558"/>
    <n v="39.140799999999984"/>
    <n v="0"/>
    <n v="40.001774068962959"/>
    <n v="0"/>
    <x v="0"/>
  </r>
  <r>
    <s v="Sistema de Compensação"/>
    <x v="0"/>
    <x v="0"/>
    <x v="0"/>
    <x v="0"/>
    <x v="0"/>
    <x v="0"/>
    <x v="1"/>
    <x v="1"/>
    <n v="-5"/>
    <n v="-4.8"/>
    <n v="0"/>
    <n v="0"/>
    <n v="0"/>
    <n v="0"/>
    <n v="0"/>
    <s v="CATIVO"/>
    <n v="0"/>
    <n v="21"/>
    <n v="0"/>
    <n v="0"/>
    <n v="57.56"/>
    <n v="0"/>
    <n v="0"/>
    <n v="58.826138336710258"/>
    <n v="89.719855298032911"/>
    <n v="251.13901983982558"/>
    <n v="-11.512000000000011"/>
    <n v="0"/>
    <n v="-11.765227667342062"/>
    <n v="0"/>
    <x v="0"/>
  </r>
  <r>
    <s v="Sistema de Compensação"/>
    <x v="0"/>
    <x v="0"/>
    <x v="0"/>
    <x v="0"/>
    <x v="0"/>
    <x v="0"/>
    <x v="1"/>
    <x v="2"/>
    <n v="11"/>
    <n v="10.559999999999999"/>
    <n v="0"/>
    <n v="0"/>
    <n v="0"/>
    <n v="0"/>
    <n v="0"/>
    <s v="CATIVO"/>
    <n v="0"/>
    <n v="21"/>
    <n v="0"/>
    <n v="0"/>
    <n v="57.56"/>
    <n v="0"/>
    <n v="0"/>
    <n v="58.826138336710258"/>
    <n v="89.719855298032911"/>
    <n v="251.13901983982558"/>
    <n v="25.326400000000074"/>
    <n v="0"/>
    <n v="25.883500868152588"/>
    <n v="0"/>
    <x v="0"/>
  </r>
  <r>
    <s v="Sistema de Compensação"/>
    <x v="0"/>
    <x v="0"/>
    <x v="0"/>
    <x v="0"/>
    <x v="0"/>
    <x v="0"/>
    <x v="1"/>
    <x v="3"/>
    <n v="80"/>
    <n v="76.8"/>
    <n v="1.125"/>
    <n v="1.08"/>
    <n v="1.125"/>
    <n v="1.08"/>
    <n v="0"/>
    <s v="CATIVO"/>
    <n v="0"/>
    <n v="21"/>
    <n v="9"/>
    <n v="41"/>
    <n v="57.56"/>
    <n v="79.319999999999993"/>
    <n v="252.22"/>
    <n v="58.826138336710258"/>
    <n v="89.719855298032911"/>
    <n v="251.13901983982558"/>
    <n v="184.19200000000018"/>
    <n v="14.919299999999977"/>
    <n v="188.24364267747299"/>
    <n v="15.338649381203608"/>
    <x v="0"/>
  </r>
  <r>
    <s v="Sistema de Compensação"/>
    <x v="0"/>
    <x v="0"/>
    <x v="0"/>
    <x v="0"/>
    <x v="0"/>
    <x v="0"/>
    <x v="1"/>
    <x v="4"/>
    <n v="31"/>
    <n v="29.759999999999998"/>
    <n v="0.72299999999999998"/>
    <n v="0.69407999999999992"/>
    <n v="0.72299999999999998"/>
    <n v="0.69407999999999992"/>
    <n v="0"/>
    <s v="CATIVO"/>
    <n v="0"/>
    <n v="21"/>
    <n v="9"/>
    <n v="41"/>
    <n v="57.56"/>
    <n v="79.319999999999993"/>
    <n v="252.22"/>
    <n v="58.826138336710258"/>
    <n v="89.719855298032911"/>
    <n v="251.13901983982558"/>
    <n v="71.374400000000122"/>
    <n v="9.5881368000000187"/>
    <n v="72.944411537520836"/>
    <n v="9.8576386689868869"/>
    <x v="0"/>
  </r>
  <r>
    <s v="Regular"/>
    <x v="0"/>
    <x v="1"/>
    <x v="1"/>
    <x v="0"/>
    <x v="1"/>
    <x v="0"/>
    <x v="0"/>
    <x v="5"/>
    <n v="0"/>
    <n v="0"/>
    <n v="4.87"/>
    <n v="4.87"/>
    <n v="0"/>
    <n v="0"/>
    <n v="0"/>
    <s v="LIVRE"/>
    <n v="0"/>
    <n v="0"/>
    <n v="15"/>
    <n v="0"/>
    <n v="0"/>
    <n v="79.319999999999993"/>
    <n v="0"/>
    <m/>
    <n v="89.719855298032911"/>
    <m/>
    <n v="0"/>
    <n v="0"/>
    <n v="0"/>
    <n v="0"/>
    <x v="1"/>
  </r>
  <r>
    <s v="Regular"/>
    <x v="0"/>
    <x v="1"/>
    <x v="1"/>
    <x v="0"/>
    <x v="1"/>
    <x v="0"/>
    <x v="0"/>
    <x v="6"/>
    <n v="0"/>
    <n v="0"/>
    <n v="7.6310000000000002"/>
    <n v="3.8155000000000001"/>
    <n v="0"/>
    <n v="0"/>
    <n v="0"/>
    <s v="LIVRE"/>
    <n v="0"/>
    <n v="0"/>
    <n v="15"/>
    <n v="0"/>
    <n v="0"/>
    <n v="79.319999999999993"/>
    <n v="0"/>
    <m/>
    <n v="89.719855298032911"/>
    <m/>
    <n v="0"/>
    <n v="302.64545999999996"/>
    <n v="0"/>
    <n v="342.32610788964456"/>
    <x v="1"/>
  </r>
  <r>
    <s v="Regular"/>
    <x v="0"/>
    <x v="1"/>
    <x v="1"/>
    <x v="0"/>
    <x v="1"/>
    <x v="0"/>
    <x v="0"/>
    <x v="7"/>
    <n v="0"/>
    <n v="0"/>
    <n v="10.301"/>
    <n v="10.301"/>
    <n v="0"/>
    <n v="0"/>
    <n v="0"/>
    <s v="LIVRE"/>
    <n v="0"/>
    <n v="0"/>
    <n v="15"/>
    <n v="0"/>
    <n v="0"/>
    <n v="79.319999999999993"/>
    <n v="0"/>
    <m/>
    <n v="89.719855298032911"/>
    <m/>
    <n v="0"/>
    <n v="0"/>
    <n v="0"/>
    <n v="0"/>
    <x v="1"/>
  </r>
  <r>
    <s v="Regular"/>
    <x v="0"/>
    <x v="1"/>
    <x v="1"/>
    <x v="0"/>
    <x v="1"/>
    <x v="0"/>
    <x v="0"/>
    <x v="8"/>
    <n v="0"/>
    <n v="0"/>
    <n v="19.350999999999999"/>
    <n v="19.350999999999999"/>
    <n v="0"/>
    <n v="0"/>
    <n v="0"/>
    <s v="LIVRE"/>
    <n v="0"/>
    <n v="0"/>
    <n v="15"/>
    <n v="0"/>
    <n v="0"/>
    <n v="79.319999999999993"/>
    <n v="0"/>
    <m/>
    <n v="89.719855298032911"/>
    <m/>
    <n v="0"/>
    <n v="0"/>
    <n v="0"/>
    <n v="0"/>
    <x v="1"/>
  </r>
  <r>
    <s v="Regular"/>
    <x v="0"/>
    <x v="1"/>
    <x v="1"/>
    <x v="0"/>
    <x v="1"/>
    <x v="0"/>
    <x v="0"/>
    <x v="9"/>
    <n v="0"/>
    <n v="0"/>
    <n v="9.2880000000000003"/>
    <n v="9.2880000000000003"/>
    <n v="0"/>
    <n v="0"/>
    <n v="0"/>
    <s v="LIVRE"/>
    <n v="0"/>
    <n v="0"/>
    <n v="15"/>
    <n v="0"/>
    <n v="0"/>
    <n v="79.319999999999993"/>
    <n v="0"/>
    <m/>
    <n v="89.719855298032911"/>
    <m/>
    <n v="0"/>
    <n v="0"/>
    <n v="0"/>
    <n v="0"/>
    <x v="1"/>
  </r>
  <r>
    <s v="Regular"/>
    <x v="0"/>
    <x v="1"/>
    <x v="1"/>
    <x v="0"/>
    <x v="1"/>
    <x v="0"/>
    <x v="0"/>
    <x v="0"/>
    <n v="0"/>
    <n v="0"/>
    <n v="6.9539999999999997"/>
    <n v="6.9539999999999997"/>
    <n v="0"/>
    <n v="0"/>
    <n v="0"/>
    <s v="LIVRE"/>
    <n v="0"/>
    <n v="0"/>
    <n v="15"/>
    <n v="0"/>
    <n v="0"/>
    <n v="79.319999999999993"/>
    <n v="0"/>
    <m/>
    <n v="89.719855298032911"/>
    <m/>
    <n v="0"/>
    <n v="0"/>
    <n v="0"/>
    <n v="0"/>
    <x v="1"/>
  </r>
  <r>
    <s v="Regular"/>
    <x v="0"/>
    <x v="1"/>
    <x v="1"/>
    <x v="0"/>
    <x v="1"/>
    <x v="0"/>
    <x v="0"/>
    <x v="1"/>
    <n v="0"/>
    <n v="0"/>
    <n v="10.055"/>
    <n v="10.055"/>
    <n v="0"/>
    <n v="0"/>
    <n v="0"/>
    <s v="LIVRE"/>
    <n v="0"/>
    <n v="0"/>
    <n v="15"/>
    <n v="0"/>
    <n v="0"/>
    <n v="79.319999999999993"/>
    <n v="0"/>
    <m/>
    <n v="89.719855298032911"/>
    <m/>
    <n v="0"/>
    <n v="0"/>
    <n v="0"/>
    <n v="0"/>
    <x v="1"/>
  </r>
  <r>
    <s v="Regular"/>
    <x v="0"/>
    <x v="1"/>
    <x v="1"/>
    <x v="0"/>
    <x v="1"/>
    <x v="0"/>
    <x v="0"/>
    <x v="2"/>
    <n v="0"/>
    <n v="0"/>
    <n v="38.299999999999997"/>
    <n v="38.299999999999997"/>
    <n v="0"/>
    <n v="0"/>
    <n v="0"/>
    <s v="LIVRE"/>
    <n v="0"/>
    <n v="0"/>
    <n v="15"/>
    <n v="0"/>
    <n v="0"/>
    <n v="79.319999999999993"/>
    <n v="0"/>
    <m/>
    <n v="89.719855298032911"/>
    <m/>
    <n v="0"/>
    <n v="0"/>
    <n v="0"/>
    <n v="0"/>
    <x v="1"/>
  </r>
  <r>
    <s v="Regular"/>
    <x v="0"/>
    <x v="1"/>
    <x v="1"/>
    <x v="0"/>
    <x v="1"/>
    <x v="0"/>
    <x v="0"/>
    <x v="3"/>
    <n v="0"/>
    <n v="0"/>
    <n v="115.378"/>
    <n v="115.378"/>
    <n v="0"/>
    <n v="0"/>
    <n v="0"/>
    <s v="LIVRE"/>
    <n v="0"/>
    <n v="0"/>
    <n v="15"/>
    <n v="0"/>
    <n v="0"/>
    <n v="79.319999999999993"/>
    <n v="0"/>
    <m/>
    <n v="89.719855298032911"/>
    <m/>
    <n v="0"/>
    <n v="0"/>
    <n v="0"/>
    <n v="0"/>
    <x v="1"/>
  </r>
  <r>
    <s v="Regular"/>
    <x v="0"/>
    <x v="1"/>
    <x v="1"/>
    <x v="0"/>
    <x v="1"/>
    <x v="0"/>
    <x v="0"/>
    <x v="4"/>
    <n v="0"/>
    <n v="0"/>
    <n v="43.594999999999999"/>
    <n v="43.594999999999999"/>
    <n v="0"/>
    <n v="0"/>
    <n v="0"/>
    <s v="LIVRE"/>
    <n v="0"/>
    <n v="0"/>
    <n v="15"/>
    <n v="0"/>
    <n v="0"/>
    <n v="79.319999999999993"/>
    <n v="0"/>
    <m/>
    <n v="89.719855298032911"/>
    <m/>
    <n v="0"/>
    <n v="0"/>
    <n v="0"/>
    <n v="0"/>
    <x v="1"/>
  </r>
  <r>
    <s v="Regular"/>
    <x v="0"/>
    <x v="1"/>
    <x v="1"/>
    <x v="0"/>
    <x v="1"/>
    <x v="0"/>
    <x v="2"/>
    <x v="10"/>
    <n v="1200"/>
    <n v="600"/>
    <n v="0"/>
    <n v="0"/>
    <n v="0"/>
    <n v="0"/>
    <n v="1"/>
    <s v="LIVRE"/>
    <n v="0"/>
    <n v="11"/>
    <n v="0"/>
    <n v="0"/>
    <n v="45.42"/>
    <n v="0"/>
    <n v="0"/>
    <n v="45.87320696171841"/>
    <m/>
    <m/>
    <n v="27252"/>
    <n v="0"/>
    <n v="27523.924177031047"/>
    <n v="0"/>
    <x v="1"/>
  </r>
  <r>
    <s v="Regular"/>
    <x v="0"/>
    <x v="1"/>
    <x v="1"/>
    <x v="0"/>
    <x v="1"/>
    <x v="0"/>
    <x v="2"/>
    <x v="11"/>
    <n v="600"/>
    <n v="600"/>
    <n v="0"/>
    <n v="0"/>
    <n v="0"/>
    <n v="0"/>
    <n v="1"/>
    <s v="LIVRE"/>
    <n v="0"/>
    <n v="11"/>
    <n v="0"/>
    <n v="0"/>
    <n v="45.42"/>
    <n v="0"/>
    <n v="0"/>
    <n v="45.87320696171841"/>
    <m/>
    <m/>
    <n v="0"/>
    <n v="0"/>
    <n v="0"/>
    <n v="0"/>
    <x v="1"/>
  </r>
  <r>
    <s v="Regular"/>
    <x v="0"/>
    <x v="1"/>
    <x v="1"/>
    <x v="0"/>
    <x v="1"/>
    <x v="0"/>
    <x v="2"/>
    <x v="5"/>
    <n v="600"/>
    <n v="600"/>
    <n v="0"/>
    <n v="0"/>
    <n v="0"/>
    <n v="0"/>
    <n v="1"/>
    <s v="LIVRE"/>
    <n v="0"/>
    <n v="11"/>
    <n v="0"/>
    <n v="0"/>
    <n v="45.42"/>
    <n v="0"/>
    <n v="0"/>
    <n v="45.87320696171841"/>
    <m/>
    <m/>
    <n v="0"/>
    <n v="0"/>
    <n v="0"/>
    <n v="0"/>
    <x v="1"/>
  </r>
  <r>
    <s v="Regular"/>
    <x v="0"/>
    <x v="1"/>
    <x v="1"/>
    <x v="0"/>
    <x v="1"/>
    <x v="0"/>
    <x v="2"/>
    <x v="6"/>
    <n v="600"/>
    <n v="317.64"/>
    <n v="0"/>
    <n v="0"/>
    <n v="0"/>
    <n v="0"/>
    <n v="1"/>
    <s v="LIVRE"/>
    <n v="0"/>
    <n v="11"/>
    <n v="0"/>
    <n v="0"/>
    <n v="45.42"/>
    <n v="0"/>
    <n v="0"/>
    <n v="45.87320696171841"/>
    <m/>
    <m/>
    <n v="12824.791200000001"/>
    <n v="0"/>
    <n v="12952.758717710811"/>
    <n v="0"/>
    <x v="1"/>
  </r>
  <r>
    <s v="Regular"/>
    <x v="0"/>
    <x v="1"/>
    <x v="1"/>
    <x v="0"/>
    <x v="1"/>
    <x v="0"/>
    <x v="2"/>
    <x v="7"/>
    <n v="600"/>
    <n v="209.04"/>
    <n v="0"/>
    <n v="0"/>
    <n v="0"/>
    <n v="0"/>
    <n v="1"/>
    <s v="LIVRE"/>
    <n v="0"/>
    <n v="11"/>
    <n v="0"/>
    <n v="0"/>
    <n v="45.42"/>
    <n v="0"/>
    <n v="0"/>
    <n v="45.87320696171841"/>
    <m/>
    <m/>
    <n v="17757.403200000001"/>
    <n v="0"/>
    <n v="17934.58899375343"/>
    <n v="0"/>
    <x v="1"/>
  </r>
  <r>
    <s v="Regular"/>
    <x v="0"/>
    <x v="1"/>
    <x v="1"/>
    <x v="0"/>
    <x v="1"/>
    <x v="0"/>
    <x v="2"/>
    <x v="8"/>
    <n v="600"/>
    <n v="322.5"/>
    <n v="0"/>
    <n v="0"/>
    <n v="0"/>
    <n v="0"/>
    <n v="1"/>
    <s v="LIVRE"/>
    <n v="0"/>
    <n v="11"/>
    <n v="0"/>
    <n v="0"/>
    <n v="45.42"/>
    <n v="0"/>
    <n v="0"/>
    <n v="45.87320696171841"/>
    <m/>
    <m/>
    <n v="12604.050000000001"/>
    <n v="0"/>
    <n v="12729.814931876859"/>
    <n v="0"/>
    <x v="1"/>
  </r>
  <r>
    <s v="Regular"/>
    <x v="0"/>
    <x v="1"/>
    <x v="1"/>
    <x v="0"/>
    <x v="1"/>
    <x v="0"/>
    <x v="2"/>
    <x v="9"/>
    <n v="600"/>
    <n v="600"/>
    <n v="0"/>
    <n v="0"/>
    <n v="0"/>
    <n v="0"/>
    <n v="1"/>
    <s v="LIVRE"/>
    <n v="0"/>
    <n v="11"/>
    <n v="0"/>
    <n v="0"/>
    <n v="45.42"/>
    <n v="0"/>
    <n v="0"/>
    <n v="45.87320696171841"/>
    <m/>
    <m/>
    <n v="0"/>
    <n v="0"/>
    <n v="0"/>
    <n v="0"/>
    <x v="1"/>
  </r>
  <r>
    <s v="Regular"/>
    <x v="0"/>
    <x v="1"/>
    <x v="1"/>
    <x v="0"/>
    <x v="1"/>
    <x v="0"/>
    <x v="2"/>
    <x v="0"/>
    <n v="600"/>
    <n v="219.78"/>
    <n v="0"/>
    <n v="0"/>
    <n v="0"/>
    <n v="0"/>
    <n v="1"/>
    <s v="LIVRE"/>
    <n v="0"/>
    <n v="11"/>
    <n v="0"/>
    <n v="0"/>
    <n v="45.42"/>
    <n v="0"/>
    <n v="0"/>
    <n v="45.87320696171841"/>
    <m/>
    <m/>
    <n v="17269.592400000001"/>
    <n v="0"/>
    <n v="17441.910750984574"/>
    <n v="0"/>
    <x v="1"/>
  </r>
  <r>
    <s v="Regular"/>
    <x v="0"/>
    <x v="1"/>
    <x v="1"/>
    <x v="0"/>
    <x v="1"/>
    <x v="0"/>
    <x v="2"/>
    <x v="1"/>
    <n v="600"/>
    <n v="128.69999999999999"/>
    <n v="0"/>
    <n v="0"/>
    <n v="0"/>
    <n v="0"/>
    <n v="1"/>
    <s v="LIVRE"/>
    <n v="0"/>
    <n v="11"/>
    <n v="0"/>
    <n v="0"/>
    <n v="45.42"/>
    <n v="0"/>
    <n v="0"/>
    <n v="45.87320696171841"/>
    <m/>
    <m/>
    <n v="21406.446"/>
    <n v="0"/>
    <n v="21620.042441057885"/>
    <n v="0"/>
    <x v="1"/>
  </r>
  <r>
    <s v="Regular"/>
    <x v="0"/>
    <x v="1"/>
    <x v="1"/>
    <x v="0"/>
    <x v="1"/>
    <x v="0"/>
    <x v="2"/>
    <x v="2"/>
    <n v="600"/>
    <n v="146.16"/>
    <n v="0"/>
    <n v="0"/>
    <n v="0"/>
    <n v="0"/>
    <n v="1"/>
    <s v="LIVRE"/>
    <n v="0"/>
    <n v="11"/>
    <n v="0"/>
    <n v="0"/>
    <n v="45.42"/>
    <n v="0"/>
    <n v="0"/>
    <n v="45.87320696171841"/>
    <m/>
    <m/>
    <n v="20613.412800000002"/>
    <n v="0"/>
    <n v="20819.096247506284"/>
    <n v="0"/>
    <x v="1"/>
  </r>
  <r>
    <s v="Regular"/>
    <x v="0"/>
    <x v="1"/>
    <x v="1"/>
    <x v="0"/>
    <x v="1"/>
    <x v="0"/>
    <x v="2"/>
    <x v="3"/>
    <n v="600"/>
    <n v="25.38"/>
    <n v="0"/>
    <n v="0"/>
    <n v="0"/>
    <n v="0"/>
    <n v="1"/>
    <s v="LIVRE"/>
    <n v="0"/>
    <n v="11"/>
    <n v="0"/>
    <n v="0"/>
    <n v="45.42"/>
    <n v="0"/>
    <n v="0"/>
    <n v="45.87320696171841"/>
    <m/>
    <m/>
    <n v="26099.240400000002"/>
    <n v="0"/>
    <n v="26359.662184342633"/>
    <n v="0"/>
    <x v="1"/>
  </r>
  <r>
    <s v="Regular"/>
    <x v="0"/>
    <x v="1"/>
    <x v="1"/>
    <x v="0"/>
    <x v="1"/>
    <x v="0"/>
    <x v="2"/>
    <x v="4"/>
    <n v="600"/>
    <n v="206.7"/>
    <n v="0"/>
    <n v="0"/>
    <n v="0"/>
    <n v="0"/>
    <n v="1"/>
    <s v="LIVRE"/>
    <n v="0"/>
    <n v="11"/>
    <n v="0"/>
    <n v="0"/>
    <n v="45.42"/>
    <n v="0"/>
    <n v="0"/>
    <n v="45.87320696171841"/>
    <m/>
    <m/>
    <n v="17863.686000000002"/>
    <n v="0"/>
    <n v="18041.932298043852"/>
    <n v="0"/>
    <x v="1"/>
  </r>
  <r>
    <s v="Regular"/>
    <x v="0"/>
    <x v="1"/>
    <x v="1"/>
    <x v="0"/>
    <x v="1"/>
    <x v="0"/>
    <x v="1"/>
    <x v="5"/>
    <n v="0"/>
    <n v="0"/>
    <n v="0.6"/>
    <n v="0.6"/>
    <n v="0"/>
    <n v="0"/>
    <n v="0"/>
    <s v="LIVRE"/>
    <n v="0"/>
    <n v="0"/>
    <n v="7"/>
    <n v="0"/>
    <n v="0"/>
    <n v="1465.12"/>
    <n v="0"/>
    <m/>
    <n v="1505.0863668607667"/>
    <m/>
    <n v="0"/>
    <n v="0"/>
    <n v="0"/>
    <n v="0"/>
    <x v="1"/>
  </r>
  <r>
    <s v="Regular"/>
    <x v="0"/>
    <x v="1"/>
    <x v="1"/>
    <x v="0"/>
    <x v="1"/>
    <x v="0"/>
    <x v="1"/>
    <x v="6"/>
    <n v="0"/>
    <n v="0"/>
    <n v="0.54300000000000004"/>
    <n v="0.27150000000000002"/>
    <n v="0"/>
    <n v="0"/>
    <n v="0"/>
    <s v="LIVRE"/>
    <n v="0"/>
    <n v="0"/>
    <n v="7"/>
    <n v="0"/>
    <n v="0"/>
    <n v="1465.12"/>
    <n v="0"/>
    <m/>
    <n v="1505.0863668607667"/>
    <m/>
    <n v="0"/>
    <n v="397.78008"/>
    <n v="0"/>
    <n v="408.6309486026982"/>
    <x v="1"/>
  </r>
  <r>
    <s v="Regular"/>
    <x v="0"/>
    <x v="1"/>
    <x v="1"/>
    <x v="0"/>
    <x v="1"/>
    <x v="0"/>
    <x v="1"/>
    <x v="7"/>
    <n v="0"/>
    <n v="0"/>
    <n v="0.63800000000000001"/>
    <n v="0.63800000000000001"/>
    <n v="0"/>
    <n v="0"/>
    <n v="0"/>
    <s v="LIVRE"/>
    <n v="0"/>
    <n v="0"/>
    <n v="7"/>
    <n v="0"/>
    <n v="0"/>
    <n v="1465.12"/>
    <n v="0"/>
    <m/>
    <n v="1505.0863668607667"/>
    <m/>
    <n v="0"/>
    <n v="0"/>
    <n v="0"/>
    <n v="0"/>
    <x v="1"/>
  </r>
  <r>
    <s v="Regular"/>
    <x v="0"/>
    <x v="1"/>
    <x v="1"/>
    <x v="0"/>
    <x v="1"/>
    <x v="0"/>
    <x v="1"/>
    <x v="8"/>
    <n v="0"/>
    <n v="0"/>
    <n v="0.81"/>
    <n v="0.81"/>
    <n v="0"/>
    <n v="0"/>
    <n v="0"/>
    <s v="LIVRE"/>
    <n v="0"/>
    <n v="0"/>
    <n v="7"/>
    <n v="0"/>
    <n v="0"/>
    <n v="1465.12"/>
    <n v="0"/>
    <m/>
    <n v="1505.0863668607667"/>
    <m/>
    <n v="0"/>
    <n v="0"/>
    <n v="0"/>
    <n v="0"/>
    <x v="1"/>
  </r>
  <r>
    <s v="Regular"/>
    <x v="0"/>
    <x v="1"/>
    <x v="1"/>
    <x v="0"/>
    <x v="1"/>
    <x v="0"/>
    <x v="1"/>
    <x v="9"/>
    <n v="0"/>
    <n v="0"/>
    <n v="0.77"/>
    <n v="0.77"/>
    <n v="0"/>
    <n v="0"/>
    <n v="0"/>
    <s v="LIVRE"/>
    <n v="0"/>
    <n v="0"/>
    <n v="7"/>
    <n v="0"/>
    <n v="0"/>
    <n v="1465.12"/>
    <n v="0"/>
    <m/>
    <n v="1505.0863668607667"/>
    <m/>
    <n v="0"/>
    <n v="0"/>
    <n v="0"/>
    <n v="0"/>
    <x v="1"/>
  </r>
  <r>
    <s v="Regular"/>
    <x v="0"/>
    <x v="1"/>
    <x v="1"/>
    <x v="0"/>
    <x v="1"/>
    <x v="0"/>
    <x v="1"/>
    <x v="0"/>
    <n v="0"/>
    <n v="0"/>
    <n v="0.77700000000000002"/>
    <n v="0.77700000000000002"/>
    <n v="0"/>
    <n v="0"/>
    <n v="0"/>
    <s v="LIVRE"/>
    <n v="0"/>
    <n v="0"/>
    <n v="7"/>
    <n v="0"/>
    <n v="0"/>
    <n v="1465.12"/>
    <n v="0"/>
    <m/>
    <n v="1505.0863668607667"/>
    <m/>
    <n v="0"/>
    <n v="0"/>
    <n v="0"/>
    <n v="0"/>
    <x v="1"/>
  </r>
  <r>
    <s v="Regular"/>
    <x v="0"/>
    <x v="1"/>
    <x v="1"/>
    <x v="0"/>
    <x v="1"/>
    <x v="0"/>
    <x v="1"/>
    <x v="1"/>
    <n v="0"/>
    <n v="0"/>
    <n v="1.5289999999999999"/>
    <n v="1.5289999999999999"/>
    <n v="0"/>
    <n v="0"/>
    <n v="0"/>
    <s v="LIVRE"/>
    <n v="0"/>
    <n v="0"/>
    <n v="7"/>
    <n v="0"/>
    <n v="0"/>
    <n v="1465.12"/>
    <n v="0"/>
    <m/>
    <n v="1505.0863668607667"/>
    <m/>
    <n v="0"/>
    <n v="0"/>
    <n v="0"/>
    <n v="0"/>
    <x v="1"/>
  </r>
  <r>
    <s v="Regular"/>
    <x v="0"/>
    <x v="1"/>
    <x v="1"/>
    <x v="0"/>
    <x v="1"/>
    <x v="0"/>
    <x v="1"/>
    <x v="2"/>
    <n v="0"/>
    <n v="0"/>
    <n v="4.9880000000000004"/>
    <n v="4.9880000000000004"/>
    <n v="0"/>
    <n v="0"/>
    <n v="0"/>
    <s v="LIVRE"/>
    <n v="0"/>
    <n v="0"/>
    <n v="7"/>
    <n v="0"/>
    <n v="0"/>
    <n v="1465.12"/>
    <n v="0"/>
    <m/>
    <n v="1505.0863668607667"/>
    <m/>
    <n v="0"/>
    <n v="0"/>
    <n v="0"/>
    <n v="0"/>
    <x v="1"/>
  </r>
  <r>
    <s v="Regular"/>
    <x v="0"/>
    <x v="1"/>
    <x v="1"/>
    <x v="0"/>
    <x v="1"/>
    <x v="0"/>
    <x v="1"/>
    <x v="3"/>
    <n v="0"/>
    <n v="0"/>
    <n v="17.71"/>
    <n v="17.71"/>
    <n v="0"/>
    <n v="0"/>
    <n v="0"/>
    <s v="LIVRE"/>
    <n v="0"/>
    <n v="0"/>
    <n v="7"/>
    <n v="0"/>
    <n v="0"/>
    <n v="1465.12"/>
    <n v="0"/>
    <m/>
    <n v="1505.0863668607667"/>
    <m/>
    <n v="0"/>
    <n v="0"/>
    <n v="0"/>
    <n v="0"/>
    <x v="1"/>
  </r>
  <r>
    <s v="Regular"/>
    <x v="0"/>
    <x v="1"/>
    <x v="1"/>
    <x v="0"/>
    <x v="1"/>
    <x v="0"/>
    <x v="1"/>
    <x v="4"/>
    <n v="0"/>
    <n v="0"/>
    <n v="2.4889999999999999"/>
    <n v="2.4889999999999999"/>
    <n v="0"/>
    <n v="0"/>
    <n v="0"/>
    <s v="LIVRE"/>
    <n v="0"/>
    <n v="0"/>
    <n v="7"/>
    <n v="0"/>
    <n v="0"/>
    <n v="1465.12"/>
    <n v="0"/>
    <m/>
    <n v="1505.0863668607667"/>
    <m/>
    <n v="0"/>
    <n v="0"/>
    <n v="0"/>
    <n v="0"/>
    <x v="1"/>
  </r>
  <r>
    <s v="Regular"/>
    <x v="0"/>
    <x v="1"/>
    <x v="0"/>
    <x v="1"/>
    <x v="2"/>
    <x v="0"/>
    <x v="0"/>
    <x v="10"/>
    <n v="0"/>
    <n v="0"/>
    <n v="17.12"/>
    <n v="5.1360000000000001"/>
    <n v="17.12"/>
    <n v="5.1360000000000001"/>
    <n v="0"/>
    <s v="CATIVO"/>
    <n v="0"/>
    <n v="0"/>
    <n v="15"/>
    <n v="28"/>
    <n v="0"/>
    <n v="79.319999999999993"/>
    <n v="252.22"/>
    <m/>
    <n v="89.719855298032911"/>
    <n v="251.13901983982558"/>
    <n v="0"/>
    <n v="3973.1753600000006"/>
    <n v="0"/>
    <n v="4084.8527596520971"/>
    <x v="2"/>
  </r>
  <r>
    <s v="Regular"/>
    <x v="0"/>
    <x v="1"/>
    <x v="0"/>
    <x v="1"/>
    <x v="2"/>
    <x v="0"/>
    <x v="0"/>
    <x v="11"/>
    <n v="0"/>
    <n v="0"/>
    <n v="27.2"/>
    <n v="8.16"/>
    <n v="27.2"/>
    <n v="8.16"/>
    <n v="0"/>
    <s v="CATIVO"/>
    <n v="0"/>
    <n v="0"/>
    <n v="15"/>
    <n v="28"/>
    <n v="0"/>
    <n v="79.319999999999993"/>
    <n v="252.22"/>
    <m/>
    <n v="89.719855298032911"/>
    <n v="251.13901983982558"/>
    <n v="0"/>
    <n v="6312.5216"/>
    <n v="0"/>
    <n v="6489.9529826248254"/>
    <x v="2"/>
  </r>
  <r>
    <s v="Regular"/>
    <x v="0"/>
    <x v="1"/>
    <x v="0"/>
    <x v="1"/>
    <x v="2"/>
    <x v="0"/>
    <x v="0"/>
    <x v="5"/>
    <n v="0"/>
    <n v="0"/>
    <n v="19.091000000000001"/>
    <n v="5.7272999999999996"/>
    <n v="19.091000000000001"/>
    <n v="5.7272999999999996"/>
    <n v="0"/>
    <s v="CATIVO"/>
    <n v="0"/>
    <n v="0"/>
    <n v="15"/>
    <n v="28"/>
    <n v="0"/>
    <n v="79.319999999999993"/>
    <n v="252.22"/>
    <m/>
    <n v="89.719855298032911"/>
    <n v="251.13901983982558"/>
    <n v="0"/>
    <n v="4430.6010980000001"/>
    <n v="0"/>
    <n v="4555.1357496798"/>
    <x v="2"/>
  </r>
  <r>
    <s v="Regular"/>
    <x v="0"/>
    <x v="1"/>
    <x v="0"/>
    <x v="1"/>
    <x v="2"/>
    <x v="0"/>
    <x v="0"/>
    <x v="6"/>
    <n v="0"/>
    <n v="0"/>
    <n v="33.917999999999999"/>
    <n v="10.1754"/>
    <n v="33.917999999999999"/>
    <n v="10.1754"/>
    <n v="0"/>
    <s v="CATIVO"/>
    <n v="0"/>
    <n v="0"/>
    <n v="15"/>
    <n v="28"/>
    <n v="0"/>
    <n v="79.319999999999993"/>
    <n v="252.22"/>
    <m/>
    <n v="89.719855298032911"/>
    <n v="251.13901983982558"/>
    <n v="0"/>
    <n v="7871.6216039999999"/>
    <n v="0"/>
    <n v="8092.8759288481197"/>
    <x v="2"/>
  </r>
  <r>
    <s v="Regular"/>
    <x v="0"/>
    <x v="1"/>
    <x v="0"/>
    <x v="1"/>
    <x v="2"/>
    <x v="0"/>
    <x v="0"/>
    <x v="7"/>
    <n v="0"/>
    <n v="0"/>
    <n v="313.84899999999999"/>
    <n v="94.154700000000005"/>
    <n v="313.84899999999999"/>
    <n v="94.154700000000005"/>
    <n v="0"/>
    <s v="CATIVO"/>
    <n v="0"/>
    <n v="0"/>
    <n v="15"/>
    <n v="28"/>
    <n v="0"/>
    <n v="79.319999999999993"/>
    <n v="252.22"/>
    <m/>
    <n v="89.719855298032911"/>
    <n v="251.13901983982558"/>
    <n v="0"/>
    <n v="72837.448222000006"/>
    <n v="0"/>
    <n v="74884.751972199214"/>
    <x v="2"/>
  </r>
  <r>
    <s v="Regular"/>
    <x v="0"/>
    <x v="1"/>
    <x v="0"/>
    <x v="1"/>
    <x v="2"/>
    <x v="0"/>
    <x v="0"/>
    <x v="8"/>
    <n v="0"/>
    <n v="0"/>
    <n v="439.04"/>
    <n v="131.71199999999999"/>
    <n v="439.04"/>
    <n v="131.71199999999999"/>
    <n v="0"/>
    <s v="CATIVO"/>
    <n v="0"/>
    <n v="0"/>
    <n v="15"/>
    <n v="28"/>
    <n v="0"/>
    <n v="79.319999999999993"/>
    <n v="252.22"/>
    <m/>
    <n v="89.719855298032911"/>
    <n v="251.13901983982558"/>
    <n v="0"/>
    <n v="101891.52512000001"/>
    <n v="0"/>
    <n v="104755.47637836779"/>
    <x v="2"/>
  </r>
  <r>
    <s v="Regular"/>
    <x v="0"/>
    <x v="1"/>
    <x v="0"/>
    <x v="1"/>
    <x v="2"/>
    <x v="0"/>
    <x v="0"/>
    <x v="9"/>
    <n v="0"/>
    <n v="0"/>
    <n v="465.23399999999998"/>
    <n v="139.5702"/>
    <n v="465.23399999999998"/>
    <n v="139.5702"/>
    <n v="0"/>
    <s v="CATIVO"/>
    <n v="0"/>
    <n v="0"/>
    <n v="15"/>
    <n v="28"/>
    <n v="0"/>
    <n v="79.319999999999993"/>
    <n v="252.22"/>
    <m/>
    <n v="89.719855298032911"/>
    <n v="251.13901983982558"/>
    <n v="0"/>
    <n v="107970.57625199998"/>
    <n v="0"/>
    <n v="111005.39654112051"/>
    <x v="2"/>
  </r>
  <r>
    <s v="Regular"/>
    <x v="0"/>
    <x v="1"/>
    <x v="0"/>
    <x v="1"/>
    <x v="2"/>
    <x v="0"/>
    <x v="0"/>
    <x v="0"/>
    <n v="0"/>
    <n v="0"/>
    <n v="333.94200000000001"/>
    <n v="100.18259999999999"/>
    <n v="333.94200000000001"/>
    <n v="100.18259999999999"/>
    <n v="0"/>
    <s v="CATIVO"/>
    <n v="0"/>
    <n v="0"/>
    <n v="15"/>
    <n v="28"/>
    <n v="0"/>
    <n v="79.319999999999993"/>
    <n v="252.22"/>
    <m/>
    <n v="89.719855298032911"/>
    <n v="251.13901983982558"/>
    <n v="0"/>
    <n v="77500.591476000001"/>
    <n v="0"/>
    <n v="79678.966136900723"/>
    <x v="2"/>
  </r>
  <r>
    <s v="Regular"/>
    <x v="0"/>
    <x v="1"/>
    <x v="0"/>
    <x v="1"/>
    <x v="2"/>
    <x v="0"/>
    <x v="0"/>
    <x v="1"/>
    <n v="0"/>
    <n v="0"/>
    <n v="160.22999999999999"/>
    <n v="48.069000000000003"/>
    <n v="160.22999999999999"/>
    <n v="48.069000000000003"/>
    <n v="0"/>
    <s v="CATIVO"/>
    <n v="0"/>
    <n v="0"/>
    <n v="15"/>
    <n v="28"/>
    <n v="0"/>
    <n v="79.319999999999993"/>
    <n v="252.22"/>
    <m/>
    <n v="89.719855298032911"/>
    <n v="251.13901983982558"/>
    <n v="0"/>
    <n v="37185.857939999994"/>
    <n v="0"/>
    <n v="38231.07229433734"/>
    <x v="2"/>
  </r>
  <r>
    <s v="Regular"/>
    <x v="0"/>
    <x v="1"/>
    <x v="0"/>
    <x v="1"/>
    <x v="2"/>
    <x v="0"/>
    <x v="0"/>
    <x v="2"/>
    <n v="0"/>
    <n v="0"/>
    <n v="40.447000000000003"/>
    <n v="12.1341"/>
    <n v="40.447000000000003"/>
    <n v="12.1341"/>
    <n v="0"/>
    <s v="CATIVO"/>
    <n v="0"/>
    <n v="0"/>
    <n v="15"/>
    <n v="28"/>
    <n v="0"/>
    <n v="79.319999999999993"/>
    <n v="252.22"/>
    <m/>
    <n v="89.719855298032911"/>
    <n v="251.13901983982558"/>
    <n v="0"/>
    <n v="9386.8588660000005"/>
    <n v="0"/>
    <n v="9650.7032458906742"/>
    <x v="2"/>
  </r>
  <r>
    <s v="Regular"/>
    <x v="0"/>
    <x v="1"/>
    <x v="0"/>
    <x v="1"/>
    <x v="2"/>
    <x v="0"/>
    <x v="0"/>
    <x v="3"/>
    <n v="0"/>
    <n v="0"/>
    <n v="18.097999999999999"/>
    <n v="5.4294000000000002"/>
    <n v="18.097999999999999"/>
    <n v="5.4294000000000002"/>
    <n v="0"/>
    <s v="CATIVO"/>
    <n v="0"/>
    <n v="0"/>
    <n v="15"/>
    <n v="28"/>
    <n v="0"/>
    <n v="79.319999999999993"/>
    <n v="252.22"/>
    <m/>
    <n v="89.719855298032911"/>
    <n v="251.13901983982558"/>
    <n v="0"/>
    <n v="4200.1476439999997"/>
    <n v="0"/>
    <n v="4318.2047455714728"/>
    <x v="2"/>
  </r>
  <r>
    <s v="Regular"/>
    <x v="0"/>
    <x v="1"/>
    <x v="0"/>
    <x v="1"/>
    <x v="2"/>
    <x v="0"/>
    <x v="0"/>
    <x v="4"/>
    <n v="0"/>
    <n v="0"/>
    <n v="11.398"/>
    <n v="3.4194"/>
    <n v="11.398"/>
    <n v="3.4194"/>
    <n v="0"/>
    <s v="CATIVO"/>
    <n v="0"/>
    <n v="0"/>
    <n v="15"/>
    <n v="28"/>
    <n v="0"/>
    <n v="79.319999999999993"/>
    <n v="252.22"/>
    <m/>
    <n v="89.719855298032911"/>
    <n v="251.13901983982558"/>
    <n v="0"/>
    <n v="2645.2250439999998"/>
    <n v="0"/>
    <n v="2719.5766211749178"/>
    <x v="2"/>
  </r>
  <r>
    <s v="Regular"/>
    <x v="0"/>
    <x v="1"/>
    <x v="0"/>
    <x v="1"/>
    <x v="0"/>
    <x v="0"/>
    <x v="0"/>
    <x v="10"/>
    <n v="0"/>
    <n v="0"/>
    <n v="30.774000000000001"/>
    <n v="29.543040000000001"/>
    <n v="30.774000000000001"/>
    <n v="29.543040000000001"/>
    <n v="0"/>
    <s v="CATIVO"/>
    <n v="0"/>
    <n v="0"/>
    <n v="15"/>
    <n v="28"/>
    <n v="0"/>
    <n v="79.319999999999993"/>
    <n v="252.22"/>
    <m/>
    <n v="89.719855298032911"/>
    <n v="251.13901983982558"/>
    <n v="0"/>
    <n v="408.11247839999987"/>
    <n v="0"/>
    <n v="419.58364093969817"/>
    <x v="0"/>
  </r>
  <r>
    <s v="Regular"/>
    <x v="0"/>
    <x v="1"/>
    <x v="0"/>
    <x v="1"/>
    <x v="0"/>
    <x v="0"/>
    <x v="0"/>
    <x v="11"/>
    <n v="0"/>
    <n v="0"/>
    <n v="57.018999999999998"/>
    <n v="54.738239999999998"/>
    <n v="57.018999999999998"/>
    <n v="54.738239999999998"/>
    <n v="0"/>
    <s v="CATIVO"/>
    <n v="0"/>
    <n v="0"/>
    <n v="15"/>
    <n v="28"/>
    <n v="0"/>
    <n v="79.319999999999993"/>
    <n v="252.22"/>
    <m/>
    <n v="89.719855298032911"/>
    <n v="251.13901983982558"/>
    <n v="0"/>
    <n v="756.16317040000024"/>
    <n v="0"/>
    <n v="777.41728805942239"/>
    <x v="0"/>
  </r>
  <r>
    <s v="Regular"/>
    <x v="0"/>
    <x v="1"/>
    <x v="0"/>
    <x v="1"/>
    <x v="0"/>
    <x v="0"/>
    <x v="0"/>
    <x v="5"/>
    <n v="0"/>
    <n v="0"/>
    <n v="38.441000000000003"/>
    <n v="36.903359999999999"/>
    <n v="38.441000000000003"/>
    <n v="36.903359999999999"/>
    <n v="0"/>
    <s v="CATIVO"/>
    <n v="0"/>
    <n v="0"/>
    <n v="15"/>
    <n v="28"/>
    <n v="0"/>
    <n v="79.319999999999993"/>
    <n v="252.22"/>
    <m/>
    <n v="89.719855298032911"/>
    <n v="251.13901983982558"/>
    <n v="0"/>
    <n v="509.78916560000107"/>
    <n v="0"/>
    <n v="524.11824076697781"/>
    <x v="0"/>
  </r>
  <r>
    <s v="Regular"/>
    <x v="0"/>
    <x v="1"/>
    <x v="0"/>
    <x v="1"/>
    <x v="0"/>
    <x v="0"/>
    <x v="0"/>
    <x v="6"/>
    <n v="0"/>
    <n v="0"/>
    <n v="47.811999999999998"/>
    <n v="45.899520000000003"/>
    <n v="47.811999999999998"/>
    <n v="45.899520000000003"/>
    <n v="0"/>
    <s v="CATIVO"/>
    <n v="0"/>
    <n v="0"/>
    <n v="15"/>
    <n v="28"/>
    <n v="0"/>
    <n v="79.319999999999993"/>
    <n v="252.22"/>
    <m/>
    <n v="89.719855298032911"/>
    <n v="251.13901983982558"/>
    <n v="0"/>
    <n v="634.06361919999836"/>
    <n v="0"/>
    <n v="651.88578152364994"/>
    <x v="0"/>
  </r>
  <r>
    <s v="Regular"/>
    <x v="0"/>
    <x v="1"/>
    <x v="0"/>
    <x v="1"/>
    <x v="0"/>
    <x v="0"/>
    <x v="0"/>
    <x v="7"/>
    <n v="0"/>
    <n v="0"/>
    <n v="410.56700000000001"/>
    <n v="394.14431999999999"/>
    <n v="410.56700000000001"/>
    <n v="394.14431999999999"/>
    <n v="0"/>
    <s v="CATIVO"/>
    <n v="0"/>
    <n v="0"/>
    <n v="15"/>
    <n v="28"/>
    <n v="0"/>
    <n v="79.319999999999993"/>
    <n v="252.22"/>
    <m/>
    <n v="89.719855298032911"/>
    <n v="251.13901983982558"/>
    <n v="0"/>
    <n v="5444.7753272000045"/>
    <n v="0"/>
    <n v="5597.8162315490108"/>
    <x v="0"/>
  </r>
  <r>
    <s v="Sistema de Compensação"/>
    <x v="0"/>
    <x v="1"/>
    <x v="0"/>
    <x v="1"/>
    <x v="0"/>
    <x v="0"/>
    <x v="0"/>
    <x v="7"/>
    <n v="0"/>
    <n v="0"/>
    <n v="23.623000000000001"/>
    <n v="22.678080000000001"/>
    <n v="23.623000000000001"/>
    <n v="22.678080000000001"/>
    <n v="0"/>
    <s v="CATIVO"/>
    <n v="0"/>
    <n v="0"/>
    <n v="15"/>
    <n v="28"/>
    <n v="0"/>
    <n v="79.319999999999993"/>
    <n v="252.22"/>
    <m/>
    <n v="89.719855298032911"/>
    <n v="251.13901983982558"/>
    <n v="0"/>
    <n v="313.27877679999995"/>
    <n v="0"/>
    <n v="322.08436829526516"/>
    <x v="0"/>
  </r>
  <r>
    <s v="Regular"/>
    <x v="0"/>
    <x v="1"/>
    <x v="0"/>
    <x v="1"/>
    <x v="0"/>
    <x v="0"/>
    <x v="0"/>
    <x v="8"/>
    <n v="0"/>
    <n v="0"/>
    <n v="512.14300000000003"/>
    <n v="491.65728000000001"/>
    <n v="512.14300000000003"/>
    <n v="491.65728000000001"/>
    <n v="0"/>
    <s v="CATIVO"/>
    <n v="0"/>
    <n v="0"/>
    <n v="15"/>
    <n v="28"/>
    <n v="0"/>
    <n v="79.319999999999993"/>
    <n v="252.22"/>
    <m/>
    <n v="89.719855298032911"/>
    <n v="251.13901983982558"/>
    <n v="0"/>
    <n v="6791.8356088000046"/>
    <n v="0"/>
    <n v="6982.7394755891355"/>
    <x v="0"/>
  </r>
  <r>
    <s v="Sistema de Compensação"/>
    <x v="0"/>
    <x v="1"/>
    <x v="0"/>
    <x v="1"/>
    <x v="0"/>
    <x v="0"/>
    <x v="0"/>
    <x v="8"/>
    <n v="0"/>
    <n v="0"/>
    <n v="16.667000000000002"/>
    <n v="16.000320000000002"/>
    <n v="16.667000000000002"/>
    <n v="16.000320000000002"/>
    <n v="0"/>
    <s v="CATIVO"/>
    <n v="0"/>
    <n v="0"/>
    <n v="15"/>
    <n v="28"/>
    <n v="0"/>
    <n v="79.319999999999993"/>
    <n v="252.22"/>
    <m/>
    <n v="89.719855298032911"/>
    <n v="251.13901983982558"/>
    <n v="0"/>
    <n v="221.03108719999983"/>
    <n v="0"/>
    <n v="227.24379487690732"/>
    <x v="0"/>
  </r>
  <r>
    <s v="Regular"/>
    <x v="0"/>
    <x v="1"/>
    <x v="0"/>
    <x v="1"/>
    <x v="0"/>
    <x v="0"/>
    <x v="0"/>
    <x v="9"/>
    <n v="0"/>
    <n v="0"/>
    <n v="578.43700000000001"/>
    <n v="555.29952000000003"/>
    <n v="578.43700000000001"/>
    <n v="555.29952000000003"/>
    <n v="0"/>
    <s v="CATIVO"/>
    <n v="0"/>
    <n v="0"/>
    <n v="15"/>
    <n v="28"/>
    <n v="0"/>
    <n v="79.319999999999993"/>
    <n v="252.22"/>
    <m/>
    <n v="89.719855298032911"/>
    <n v="251.13901983982558"/>
    <n v="0"/>
    <n v="7671.0001191999936"/>
    <n v="0"/>
    <n v="7886.6154063246922"/>
    <x v="0"/>
  </r>
  <r>
    <s v="Sistema de Compensação"/>
    <x v="0"/>
    <x v="1"/>
    <x v="0"/>
    <x v="1"/>
    <x v="0"/>
    <x v="0"/>
    <x v="0"/>
    <x v="9"/>
    <n v="0"/>
    <n v="0"/>
    <n v="31.791"/>
    <n v="30.519359999999999"/>
    <n v="31.791"/>
    <n v="30.519359999999999"/>
    <n v="0"/>
    <s v="CATIVO"/>
    <n v="0"/>
    <n v="0"/>
    <n v="15"/>
    <n v="28"/>
    <n v="0"/>
    <n v="79.319999999999993"/>
    <n v="252.22"/>
    <m/>
    <n v="89.719855298032911"/>
    <n v="251.13901983982558"/>
    <n v="0"/>
    <n v="421.59952560000045"/>
    <n v="0"/>
    <n v="433.44977998030686"/>
    <x v="0"/>
  </r>
  <r>
    <s v="Regular"/>
    <x v="0"/>
    <x v="1"/>
    <x v="0"/>
    <x v="1"/>
    <x v="0"/>
    <x v="0"/>
    <x v="0"/>
    <x v="0"/>
    <n v="0"/>
    <n v="0"/>
    <n v="467.863"/>
    <n v="449.14848000000001"/>
    <n v="467.863"/>
    <n v="449.14848000000001"/>
    <n v="0"/>
    <s v="CATIVO"/>
    <n v="0"/>
    <n v="0"/>
    <n v="15"/>
    <n v="28"/>
    <n v="0"/>
    <n v="79.319999999999993"/>
    <n v="252.22"/>
    <m/>
    <n v="89.719855298032911"/>
    <n v="251.13901983982558"/>
    <n v="0"/>
    <n v="6204.6119607999972"/>
    <n v="0"/>
    <n v="6379.0102359449538"/>
    <x v="0"/>
  </r>
  <r>
    <s v="Sistema de Compensação"/>
    <x v="0"/>
    <x v="1"/>
    <x v="0"/>
    <x v="1"/>
    <x v="0"/>
    <x v="0"/>
    <x v="0"/>
    <x v="0"/>
    <n v="0"/>
    <n v="0"/>
    <n v="53.62"/>
    <n v="51.475199999999994"/>
    <n v="53.62"/>
    <n v="51.475199999999994"/>
    <n v="0"/>
    <s v="CATIVO"/>
    <n v="0"/>
    <n v="0"/>
    <n v="15"/>
    <n v="28"/>
    <n v="0"/>
    <n v="79.319999999999993"/>
    <n v="252.22"/>
    <m/>
    <n v="89.719855298032911"/>
    <n v="251.13901983982558"/>
    <n v="0"/>
    <n v="711.08699200000115"/>
    <n v="0"/>
    <n v="731.07411539568011"/>
    <x v="0"/>
  </r>
  <r>
    <s v="Regular"/>
    <x v="0"/>
    <x v="1"/>
    <x v="0"/>
    <x v="1"/>
    <x v="0"/>
    <x v="0"/>
    <x v="0"/>
    <x v="1"/>
    <n v="0"/>
    <n v="0"/>
    <n v="212.17500000000001"/>
    <n v="203.68799999999999"/>
    <n v="212.17500000000001"/>
    <n v="203.68799999999999"/>
    <n v="0"/>
    <s v="CATIVO"/>
    <n v="0"/>
    <n v="0"/>
    <n v="15"/>
    <n v="28"/>
    <n v="0"/>
    <n v="79.319999999999993"/>
    <n v="252.22"/>
    <m/>
    <n v="89.719855298032911"/>
    <n v="251.13901983982558"/>
    <n v="0"/>
    <n v="2813.7799800000075"/>
    <n v="0"/>
    <n v="2892.869273295013"/>
    <x v="0"/>
  </r>
  <r>
    <s v="Sistema de Compensação"/>
    <x v="0"/>
    <x v="1"/>
    <x v="0"/>
    <x v="1"/>
    <x v="0"/>
    <x v="0"/>
    <x v="0"/>
    <x v="1"/>
    <n v="0"/>
    <n v="0"/>
    <n v="3.9430000000000001"/>
    <n v="3.7852799999999998"/>
    <n v="3.9430000000000001"/>
    <n v="3.7852799999999998"/>
    <n v="0"/>
    <s v="CATIVO"/>
    <n v="0"/>
    <n v="0"/>
    <n v="15"/>
    <n v="28"/>
    <n v="0"/>
    <n v="79.319999999999993"/>
    <n v="252.22"/>
    <m/>
    <n v="89.719855298032911"/>
    <n v="251.13901983982558"/>
    <n v="0"/>
    <n v="52.290488800000098"/>
    <n v="0"/>
    <n v="53.760261786743143"/>
    <x v="0"/>
  </r>
  <r>
    <s v="Regular"/>
    <x v="0"/>
    <x v="1"/>
    <x v="0"/>
    <x v="1"/>
    <x v="0"/>
    <x v="0"/>
    <x v="0"/>
    <x v="2"/>
    <n v="0"/>
    <n v="0"/>
    <n v="53.862000000000002"/>
    <n v="51.707520000000002"/>
    <n v="53.862000000000002"/>
    <n v="51.707520000000002"/>
    <n v="0"/>
    <s v="CATIVO"/>
    <n v="0"/>
    <n v="0"/>
    <n v="15"/>
    <n v="28"/>
    <n v="0"/>
    <n v="79.319999999999993"/>
    <n v="252.22"/>
    <m/>
    <n v="89.719855298032911"/>
    <n v="251.13901983982558"/>
    <n v="0"/>
    <n v="714.29629919999979"/>
    <n v="0"/>
    <n v="734.37362930701329"/>
    <x v="0"/>
  </r>
  <r>
    <s v="Regular"/>
    <x v="0"/>
    <x v="1"/>
    <x v="0"/>
    <x v="1"/>
    <x v="0"/>
    <x v="0"/>
    <x v="0"/>
    <x v="3"/>
    <n v="0"/>
    <n v="0"/>
    <n v="29.379000000000001"/>
    <n v="28.20384"/>
    <n v="29.379000000000001"/>
    <n v="28.20384"/>
    <n v="0"/>
    <s v="CATIVO"/>
    <n v="0"/>
    <n v="0"/>
    <n v="15"/>
    <n v="28"/>
    <n v="0"/>
    <n v="79.319999999999993"/>
    <n v="252.22"/>
    <m/>
    <n v="89.719855298032911"/>
    <n v="251.13901983982558"/>
    <n v="0"/>
    <n v="389.61254640000061"/>
    <n v="0"/>
    <n v="400.56371570700639"/>
    <x v="0"/>
  </r>
  <r>
    <s v="Regular"/>
    <x v="0"/>
    <x v="1"/>
    <x v="0"/>
    <x v="1"/>
    <x v="0"/>
    <x v="0"/>
    <x v="0"/>
    <x v="4"/>
    <n v="0"/>
    <n v="0"/>
    <n v="18.062999999999999"/>
    <n v="17.340479999999999"/>
    <n v="18.062999999999999"/>
    <n v="17.340479999999999"/>
    <n v="0"/>
    <s v="CATIVO"/>
    <n v="0"/>
    <n v="0"/>
    <n v="15"/>
    <n v="28"/>
    <n v="0"/>
    <n v="79.319999999999993"/>
    <n v="252.22"/>
    <m/>
    <n v="89.719855298032911"/>
    <n v="251.13901983982558"/>
    <n v="0"/>
    <n v="239.5442807999998"/>
    <n v="0"/>
    <n v="246.27735446460531"/>
    <x v="0"/>
  </r>
  <r>
    <s v="Regular"/>
    <x v="0"/>
    <x v="1"/>
    <x v="0"/>
    <x v="1"/>
    <x v="0"/>
    <x v="0"/>
    <x v="2"/>
    <x v="10"/>
    <n v="1250"/>
    <n v="1200"/>
    <n v="0"/>
    <n v="0"/>
    <n v="0"/>
    <n v="0"/>
    <n v="24"/>
    <s v="CATIVO"/>
    <n v="0"/>
    <n v="11"/>
    <n v="0"/>
    <n v="0"/>
    <n v="45.42"/>
    <n v="0"/>
    <n v="0"/>
    <n v="45.87320696171841"/>
    <m/>
    <m/>
    <n v="2271"/>
    <n v="0"/>
    <n v="2293.6603480859203"/>
    <n v="0"/>
    <x v="0"/>
  </r>
  <r>
    <s v="Regular"/>
    <x v="0"/>
    <x v="1"/>
    <x v="0"/>
    <x v="1"/>
    <x v="0"/>
    <x v="0"/>
    <x v="2"/>
    <x v="11"/>
    <n v="1487"/>
    <n v="1427.52"/>
    <n v="0"/>
    <n v="0"/>
    <n v="0"/>
    <n v="0"/>
    <n v="24"/>
    <s v="CATIVO"/>
    <n v="0"/>
    <n v="11"/>
    <n v="0"/>
    <n v="0"/>
    <n v="45.42"/>
    <n v="0"/>
    <n v="0"/>
    <n v="45.87320696171841"/>
    <m/>
    <m/>
    <n v="2701.5816000000009"/>
    <n v="0"/>
    <n v="2728.5383500830117"/>
    <n v="0"/>
    <x v="0"/>
  </r>
  <r>
    <s v="Regular"/>
    <x v="0"/>
    <x v="1"/>
    <x v="0"/>
    <x v="1"/>
    <x v="0"/>
    <x v="0"/>
    <x v="2"/>
    <x v="5"/>
    <n v="1999"/>
    <n v="1919.04"/>
    <n v="0"/>
    <n v="0"/>
    <n v="0"/>
    <n v="0"/>
    <n v="24"/>
    <s v="CATIVO"/>
    <n v="0"/>
    <n v="11"/>
    <n v="0"/>
    <n v="0"/>
    <n v="45.42"/>
    <n v="0"/>
    <n v="0"/>
    <n v="45.87320696171841"/>
    <m/>
    <m/>
    <n v="3631.7832000000017"/>
    <n v="0"/>
    <n v="3668.0216286590057"/>
    <n v="0"/>
    <x v="0"/>
  </r>
  <r>
    <s v="Regular"/>
    <x v="0"/>
    <x v="1"/>
    <x v="0"/>
    <x v="1"/>
    <x v="0"/>
    <x v="0"/>
    <x v="2"/>
    <x v="6"/>
    <n v="1982"/>
    <n v="1902.72"/>
    <n v="0"/>
    <n v="0"/>
    <n v="0"/>
    <n v="0"/>
    <n v="25"/>
    <s v="CATIVO"/>
    <n v="0"/>
    <n v="11"/>
    <n v="0"/>
    <n v="0"/>
    <n v="45.42"/>
    <n v="0"/>
    <n v="0"/>
    <n v="45.87320696171841"/>
    <m/>
    <m/>
    <n v="3600.8975999999989"/>
    <n v="0"/>
    <n v="3636.8278479250343"/>
    <n v="0"/>
    <x v="0"/>
  </r>
  <r>
    <s v="Regular"/>
    <x v="0"/>
    <x v="1"/>
    <x v="0"/>
    <x v="1"/>
    <x v="0"/>
    <x v="0"/>
    <x v="2"/>
    <x v="7"/>
    <n v="3630"/>
    <n v="3484.8"/>
    <n v="0"/>
    <n v="0"/>
    <n v="0"/>
    <n v="0"/>
    <n v="24"/>
    <s v="CATIVO"/>
    <n v="0"/>
    <n v="11"/>
    <n v="0"/>
    <n v="0"/>
    <n v="45.42"/>
    <n v="0"/>
    <n v="0"/>
    <n v="45.87320696171841"/>
    <m/>
    <m/>
    <n v="6594.9839999999922"/>
    <n v="0"/>
    <n v="6660.7896508415051"/>
    <n v="0"/>
    <x v="0"/>
  </r>
  <r>
    <s v="Sistema de Compensação"/>
    <x v="0"/>
    <x v="1"/>
    <x v="0"/>
    <x v="1"/>
    <x v="0"/>
    <x v="0"/>
    <x v="2"/>
    <x v="7"/>
    <n v="257"/>
    <n v="246.72"/>
    <n v="0"/>
    <n v="0"/>
    <n v="0"/>
    <n v="0"/>
    <n v="1"/>
    <s v="CATIVO"/>
    <n v="0"/>
    <n v="11"/>
    <n v="0"/>
    <n v="0"/>
    <n v="45.42"/>
    <n v="0"/>
    <n v="0"/>
    <n v="45.87320696171841"/>
    <m/>
    <m/>
    <n v="466.91760000000005"/>
    <n v="0"/>
    <n v="471.57656756646531"/>
    <n v="0"/>
    <x v="0"/>
  </r>
  <r>
    <s v="Regular"/>
    <x v="0"/>
    <x v="1"/>
    <x v="0"/>
    <x v="1"/>
    <x v="0"/>
    <x v="0"/>
    <x v="2"/>
    <x v="8"/>
    <n v="4370"/>
    <n v="4195.2"/>
    <n v="0"/>
    <n v="0"/>
    <n v="0"/>
    <n v="0"/>
    <n v="23"/>
    <s v="CATIVO"/>
    <n v="0"/>
    <n v="11"/>
    <n v="0"/>
    <n v="0"/>
    <n v="45.42"/>
    <n v="0"/>
    <n v="0"/>
    <n v="45.87320696171841"/>
    <m/>
    <m/>
    <n v="7939.4160000000084"/>
    <n v="0"/>
    <n v="8018.6365769083859"/>
    <n v="0"/>
    <x v="0"/>
  </r>
  <r>
    <s v="Sistema de Compensação"/>
    <x v="0"/>
    <x v="1"/>
    <x v="0"/>
    <x v="1"/>
    <x v="0"/>
    <x v="0"/>
    <x v="2"/>
    <x v="8"/>
    <n v="130"/>
    <n v="124.8"/>
    <n v="0"/>
    <n v="0"/>
    <n v="0"/>
    <n v="0"/>
    <n v="1"/>
    <s v="CATIVO"/>
    <n v="0"/>
    <n v="11"/>
    <n v="0"/>
    <n v="0"/>
    <n v="45.42"/>
    <n v="0"/>
    <n v="0"/>
    <n v="45.87320696171841"/>
    <m/>
    <m/>
    <n v="236.18400000000014"/>
    <n v="0"/>
    <n v="238.54067620093585"/>
    <n v="0"/>
    <x v="0"/>
  </r>
  <r>
    <s v="Regular"/>
    <x v="0"/>
    <x v="1"/>
    <x v="0"/>
    <x v="1"/>
    <x v="0"/>
    <x v="0"/>
    <x v="2"/>
    <x v="9"/>
    <n v="4701"/>
    <n v="4512.96"/>
    <n v="0"/>
    <n v="0"/>
    <n v="0"/>
    <n v="0"/>
    <n v="24"/>
    <s v="CATIVO"/>
    <n v="0"/>
    <n v="11"/>
    <n v="0"/>
    <n v="0"/>
    <n v="45.42"/>
    <n v="0"/>
    <n v="0"/>
    <n v="45.87320696171841"/>
    <m/>
    <m/>
    <n v="8540.7767999999978"/>
    <n v="0"/>
    <n v="8625.9978370815279"/>
    <n v="0"/>
    <x v="0"/>
  </r>
  <r>
    <s v="Sistema de Compensação"/>
    <x v="0"/>
    <x v="1"/>
    <x v="0"/>
    <x v="1"/>
    <x v="0"/>
    <x v="0"/>
    <x v="2"/>
    <x v="9"/>
    <n v="130"/>
    <n v="124.8"/>
    <n v="0"/>
    <n v="0"/>
    <n v="0"/>
    <n v="0"/>
    <n v="1"/>
    <s v="CATIVO"/>
    <n v="0"/>
    <n v="11"/>
    <n v="0"/>
    <n v="0"/>
    <n v="45.42"/>
    <n v="0"/>
    <n v="0"/>
    <n v="45.87320696171841"/>
    <m/>
    <m/>
    <n v="236.18400000000014"/>
    <n v="0"/>
    <n v="238.54067620093585"/>
    <n v="0"/>
    <x v="0"/>
  </r>
  <r>
    <s v="Regular"/>
    <x v="0"/>
    <x v="1"/>
    <x v="0"/>
    <x v="1"/>
    <x v="0"/>
    <x v="0"/>
    <x v="2"/>
    <x v="0"/>
    <n v="5370"/>
    <n v="5155.2"/>
    <n v="0"/>
    <n v="0"/>
    <n v="0"/>
    <n v="0"/>
    <n v="25"/>
    <s v="CATIVO"/>
    <n v="0"/>
    <n v="11"/>
    <n v="0"/>
    <n v="0"/>
    <n v="45.42"/>
    <n v="0"/>
    <n v="0"/>
    <n v="45.87320696171841"/>
    <m/>
    <m/>
    <n v="9756.2160000000094"/>
    <n v="0"/>
    <n v="9853.5648553771225"/>
    <n v="0"/>
    <x v="0"/>
  </r>
  <r>
    <s v="Sistema de Compensação"/>
    <x v="0"/>
    <x v="1"/>
    <x v="0"/>
    <x v="1"/>
    <x v="0"/>
    <x v="0"/>
    <x v="2"/>
    <x v="0"/>
    <n v="202"/>
    <n v="193.92"/>
    <n v="0"/>
    <n v="0"/>
    <n v="0"/>
    <n v="0"/>
    <n v="2"/>
    <s v="CATIVO"/>
    <n v="0"/>
    <n v="11"/>
    <n v="0"/>
    <n v="0"/>
    <n v="45.42"/>
    <n v="0"/>
    <n v="0"/>
    <n v="45.87320696171841"/>
    <m/>
    <m/>
    <n v="366.99360000000058"/>
    <n v="0"/>
    <n v="370.65551225068532"/>
    <n v="0"/>
    <x v="0"/>
  </r>
  <r>
    <s v="Regular"/>
    <x v="0"/>
    <x v="1"/>
    <x v="0"/>
    <x v="1"/>
    <x v="0"/>
    <x v="0"/>
    <x v="2"/>
    <x v="1"/>
    <n v="3986"/>
    <n v="3826.56"/>
    <n v="0"/>
    <n v="0"/>
    <n v="0"/>
    <n v="0"/>
    <n v="23"/>
    <s v="CATIVO"/>
    <n v="0"/>
    <n v="11"/>
    <n v="0"/>
    <n v="0"/>
    <n v="45.42"/>
    <n v="0"/>
    <n v="0"/>
    <n v="45.87320696171841"/>
    <m/>
    <m/>
    <n v="7241.7648000000027"/>
    <n v="0"/>
    <n v="7314.0241179763862"/>
    <n v="0"/>
    <x v="0"/>
  </r>
  <r>
    <s v="Refaturamento - Regular"/>
    <x v="0"/>
    <x v="1"/>
    <x v="0"/>
    <x v="1"/>
    <x v="0"/>
    <x v="0"/>
    <x v="2"/>
    <x v="1"/>
    <n v="-348"/>
    <n v="-334.08"/>
    <n v="0"/>
    <n v="0"/>
    <n v="0"/>
    <n v="0"/>
    <n v="0"/>
    <s v="CATIVO"/>
    <n v="0"/>
    <n v="11"/>
    <n v="0"/>
    <n v="0"/>
    <n v="45.42"/>
    <n v="0"/>
    <n v="0"/>
    <n v="45.87320696171841"/>
    <m/>
    <m/>
    <n v="-632.24640000000079"/>
    <n v="0"/>
    <n v="-638.555040907121"/>
    <n v="0"/>
    <x v="0"/>
  </r>
  <r>
    <s v="Sistema de Compensação"/>
    <x v="0"/>
    <x v="1"/>
    <x v="0"/>
    <x v="1"/>
    <x v="0"/>
    <x v="0"/>
    <x v="2"/>
    <x v="1"/>
    <n v="148"/>
    <n v="142.07999999999998"/>
    <n v="0"/>
    <n v="0"/>
    <n v="0"/>
    <n v="0"/>
    <n v="3"/>
    <s v="CATIVO"/>
    <n v="0"/>
    <n v="11"/>
    <n v="0"/>
    <n v="0"/>
    <n v="45.42"/>
    <n v="0"/>
    <n v="0"/>
    <n v="45.87320696171841"/>
    <m/>
    <m/>
    <n v="268.88640000000072"/>
    <n v="0"/>
    <n v="271.56938521337372"/>
    <n v="0"/>
    <x v="0"/>
  </r>
  <r>
    <s v="Regular"/>
    <x v="0"/>
    <x v="1"/>
    <x v="0"/>
    <x v="1"/>
    <x v="0"/>
    <x v="0"/>
    <x v="2"/>
    <x v="2"/>
    <n v="5013"/>
    <n v="4812.4799999999996"/>
    <n v="0"/>
    <n v="0"/>
    <n v="0"/>
    <n v="0"/>
    <n v="25"/>
    <s v="CATIVO"/>
    <n v="0"/>
    <n v="11"/>
    <n v="0"/>
    <n v="0"/>
    <n v="45.42"/>
    <n v="0"/>
    <n v="0"/>
    <n v="45.87320696171841"/>
    <m/>
    <m/>
    <n v="9107.6184000000194"/>
    <n v="0"/>
    <n v="9198.4954599637949"/>
    <n v="0"/>
    <x v="0"/>
  </r>
  <r>
    <s v="Sistema de Compensação"/>
    <x v="0"/>
    <x v="1"/>
    <x v="0"/>
    <x v="1"/>
    <x v="0"/>
    <x v="0"/>
    <x v="2"/>
    <x v="2"/>
    <n v="18"/>
    <n v="17.28"/>
    <n v="0"/>
    <n v="0"/>
    <n v="0"/>
    <n v="0"/>
    <n v="2"/>
    <s v="CATIVO"/>
    <n v="0"/>
    <n v="11"/>
    <n v="0"/>
    <n v="0"/>
    <n v="45.42"/>
    <n v="0"/>
    <n v="0"/>
    <n v="45.87320696171841"/>
    <m/>
    <m/>
    <n v="32.702399999999948"/>
    <n v="0"/>
    <n v="33.028709012437204"/>
    <n v="0"/>
    <x v="0"/>
  </r>
  <r>
    <s v="Regular"/>
    <x v="0"/>
    <x v="1"/>
    <x v="0"/>
    <x v="1"/>
    <x v="0"/>
    <x v="0"/>
    <x v="2"/>
    <x v="3"/>
    <n v="637"/>
    <n v="611.52"/>
    <n v="0"/>
    <n v="0"/>
    <n v="0"/>
    <n v="0"/>
    <n v="24"/>
    <s v="CATIVO"/>
    <n v="0"/>
    <n v="11"/>
    <n v="0"/>
    <n v="0"/>
    <n v="45.42"/>
    <n v="0"/>
    <n v="0"/>
    <n v="45.87320696171841"/>
    <m/>
    <m/>
    <n v="1157.3016000000009"/>
    <n v="0"/>
    <n v="1168.8493133845859"/>
    <n v="0"/>
    <x v="0"/>
  </r>
  <r>
    <s v="Refaturamento - Regular"/>
    <x v="0"/>
    <x v="1"/>
    <x v="0"/>
    <x v="1"/>
    <x v="0"/>
    <x v="0"/>
    <x v="2"/>
    <x v="3"/>
    <n v="-3781"/>
    <n v="-3629.76"/>
    <n v="0"/>
    <n v="0"/>
    <n v="0"/>
    <n v="0"/>
    <n v="0"/>
    <s v="CATIVO"/>
    <n v="0"/>
    <n v="11"/>
    <n v="0"/>
    <n v="0"/>
    <n v="45.42"/>
    <n v="0"/>
    <n v="0"/>
    <n v="45.87320696171841"/>
    <m/>
    <m/>
    <n v="-6869.3207999999904"/>
    <n v="0"/>
    <n v="-6937.8638208902821"/>
    <n v="0"/>
    <x v="0"/>
  </r>
  <r>
    <s v="Sistema de Compensação"/>
    <x v="0"/>
    <x v="1"/>
    <x v="0"/>
    <x v="1"/>
    <x v="0"/>
    <x v="0"/>
    <x v="2"/>
    <x v="3"/>
    <n v="44"/>
    <n v="42.239999999999995"/>
    <n v="0"/>
    <n v="0"/>
    <n v="0"/>
    <n v="0"/>
    <n v="3"/>
    <s v="CATIVO"/>
    <n v="0"/>
    <n v="11"/>
    <n v="0"/>
    <n v="0"/>
    <n v="45.42"/>
    <n v="0"/>
    <n v="0"/>
    <n v="45.87320696171841"/>
    <m/>
    <m/>
    <n v="79.939200000000241"/>
    <n v="0"/>
    <n v="80.736844252624635"/>
    <n v="0"/>
    <x v="0"/>
  </r>
  <r>
    <s v="Regular"/>
    <x v="0"/>
    <x v="1"/>
    <x v="0"/>
    <x v="1"/>
    <x v="0"/>
    <x v="0"/>
    <x v="2"/>
    <x v="4"/>
    <n v="803"/>
    <n v="770.88"/>
    <n v="0"/>
    <n v="0"/>
    <n v="0"/>
    <n v="0"/>
    <n v="24"/>
    <s v="CATIVO"/>
    <n v="0"/>
    <n v="11"/>
    <n v="0"/>
    <n v="0"/>
    <n v="45.42"/>
    <n v="0"/>
    <n v="0"/>
    <n v="45.87320696171841"/>
    <m/>
    <m/>
    <n v="1458.8904000000002"/>
    <n v="0"/>
    <n v="1473.4474076103954"/>
    <n v="0"/>
    <x v="0"/>
  </r>
  <r>
    <s v="Sistema de Compensação"/>
    <x v="0"/>
    <x v="1"/>
    <x v="0"/>
    <x v="1"/>
    <x v="0"/>
    <x v="0"/>
    <x v="2"/>
    <x v="4"/>
    <n v="18"/>
    <n v="17.28"/>
    <n v="0"/>
    <n v="0"/>
    <n v="0"/>
    <n v="0"/>
    <n v="2"/>
    <s v="CATIVO"/>
    <n v="0"/>
    <n v="11"/>
    <n v="0"/>
    <n v="0"/>
    <n v="45.42"/>
    <n v="0"/>
    <n v="0"/>
    <n v="45.87320696171841"/>
    <m/>
    <m/>
    <n v="32.702399999999948"/>
    <n v="0"/>
    <n v="33.028709012437204"/>
    <n v="0"/>
    <x v="0"/>
  </r>
  <r>
    <s v="Regular"/>
    <x v="0"/>
    <x v="1"/>
    <x v="0"/>
    <x v="1"/>
    <x v="0"/>
    <x v="0"/>
    <x v="1"/>
    <x v="10"/>
    <n v="0"/>
    <n v="0"/>
    <n v="4.1559999999999997"/>
    <n v="3.9897599999999995"/>
    <n v="4.1559999999999997"/>
    <n v="3.9897599999999995"/>
    <n v="0"/>
    <s v="CATIVO"/>
    <n v="0"/>
    <n v="0"/>
    <n v="7"/>
    <n v="41"/>
    <n v="0"/>
    <n v="1465.12"/>
    <n v="252.22"/>
    <m/>
    <n v="1505.0863668607667"/>
    <n v="251.13901983982558"/>
    <n v="0"/>
    <n v="285.49060160000028"/>
    <n v="0"/>
    <n v="291.95490828510674"/>
    <x v="0"/>
  </r>
  <r>
    <s v="Regular"/>
    <x v="0"/>
    <x v="1"/>
    <x v="0"/>
    <x v="1"/>
    <x v="0"/>
    <x v="0"/>
    <x v="1"/>
    <x v="11"/>
    <n v="0"/>
    <n v="0"/>
    <n v="7.4409999999999998"/>
    <n v="7.1433599999999995"/>
    <n v="7.4409999999999998"/>
    <n v="7.1433599999999995"/>
    <n v="0"/>
    <s v="CATIVO"/>
    <n v="0"/>
    <n v="0"/>
    <n v="7"/>
    <n v="41"/>
    <n v="0"/>
    <n v="1465.12"/>
    <n v="252.22"/>
    <m/>
    <n v="1505.0863668607667"/>
    <n v="251.13901983982558"/>
    <n v="0"/>
    <n v="511.14907760000057"/>
    <n v="0"/>
    <n v="522.72292409756483"/>
    <x v="0"/>
  </r>
  <r>
    <s v="Regular"/>
    <x v="0"/>
    <x v="1"/>
    <x v="0"/>
    <x v="1"/>
    <x v="0"/>
    <x v="0"/>
    <x v="1"/>
    <x v="5"/>
    <n v="0"/>
    <n v="0"/>
    <n v="5.2210000000000001"/>
    <n v="5.0121599999999997"/>
    <n v="5.2210000000000001"/>
    <n v="5.0121599999999997"/>
    <n v="0"/>
    <s v="CATIVO"/>
    <n v="0"/>
    <n v="0"/>
    <n v="7"/>
    <n v="41"/>
    <n v="0"/>
    <n v="1465.12"/>
    <n v="252.22"/>
    <m/>
    <n v="1505.0863668607667"/>
    <n v="251.13901983982558"/>
    <n v="0"/>
    <n v="358.64928560000061"/>
    <n v="0"/>
    <n v="366.77010975855234"/>
    <x v="0"/>
  </r>
  <r>
    <s v="Regular"/>
    <x v="0"/>
    <x v="1"/>
    <x v="0"/>
    <x v="1"/>
    <x v="0"/>
    <x v="0"/>
    <x v="1"/>
    <x v="6"/>
    <n v="0"/>
    <n v="0"/>
    <n v="5.0190000000000001"/>
    <n v="4.8182400000000003"/>
    <n v="5.0190000000000001"/>
    <n v="4.8182400000000003"/>
    <n v="0"/>
    <s v="CATIVO"/>
    <n v="0"/>
    <n v="0"/>
    <n v="7"/>
    <n v="41"/>
    <n v="0"/>
    <n v="1465.12"/>
    <n v="252.22"/>
    <m/>
    <n v="1505.0863668607667"/>
    <n v="251.13901983982558"/>
    <n v="0"/>
    <n v="344.77317839999967"/>
    <n v="0"/>
    <n v="352.57980863401059"/>
    <x v="0"/>
  </r>
  <r>
    <s v="Regular"/>
    <x v="0"/>
    <x v="1"/>
    <x v="0"/>
    <x v="1"/>
    <x v="0"/>
    <x v="0"/>
    <x v="1"/>
    <x v="7"/>
    <n v="0"/>
    <n v="0"/>
    <n v="34.173000000000002"/>
    <n v="32.806080000000001"/>
    <n v="34.173000000000002"/>
    <n v="32.806080000000001"/>
    <n v="0"/>
    <s v="CATIVO"/>
    <n v="0"/>
    <n v="0"/>
    <n v="7"/>
    <n v="41"/>
    <n v="0"/>
    <n v="1465.12"/>
    <n v="252.22"/>
    <m/>
    <n v="1505.0863668607667"/>
    <n v="251.13901983982558"/>
    <n v="0"/>
    <n v="2347.4663928000004"/>
    <n v="0"/>
    <n v="2400.6196055887744"/>
    <x v="0"/>
  </r>
  <r>
    <s v="Regular"/>
    <x v="0"/>
    <x v="1"/>
    <x v="0"/>
    <x v="1"/>
    <x v="0"/>
    <x v="0"/>
    <x v="1"/>
    <x v="8"/>
    <n v="0"/>
    <n v="0"/>
    <n v="58.46"/>
    <n v="56.121600000000001"/>
    <n v="58.46"/>
    <n v="56.121600000000001"/>
    <n v="0"/>
    <s v="CATIVO"/>
    <n v="0"/>
    <n v="0"/>
    <n v="7"/>
    <n v="41"/>
    <n v="0"/>
    <n v="1465.12"/>
    <n v="252.22"/>
    <m/>
    <n v="1505.0863668607667"/>
    <n v="251.13901983982558"/>
    <n v="0"/>
    <n v="4015.8278559999999"/>
    <n v="0"/>
    <n v="4106.7574442606656"/>
    <x v="0"/>
  </r>
  <r>
    <s v="Regular"/>
    <x v="0"/>
    <x v="1"/>
    <x v="0"/>
    <x v="1"/>
    <x v="0"/>
    <x v="0"/>
    <x v="1"/>
    <x v="9"/>
    <n v="0"/>
    <n v="0"/>
    <n v="78.616"/>
    <n v="75.471360000000004"/>
    <n v="78.616"/>
    <n v="75.471360000000004"/>
    <n v="0"/>
    <s v="CATIVO"/>
    <n v="0"/>
    <n v="0"/>
    <n v="7"/>
    <n v="41"/>
    <n v="0"/>
    <n v="1465.12"/>
    <n v="252.22"/>
    <m/>
    <n v="1505.0863668607667"/>
    <n v="251.13901983982558"/>
    <n v="0"/>
    <n v="5400.4160575999913"/>
    <n v="0"/>
    <n v="5522.6966000341426"/>
    <x v="0"/>
  </r>
  <r>
    <s v="Regular"/>
    <x v="0"/>
    <x v="1"/>
    <x v="0"/>
    <x v="1"/>
    <x v="0"/>
    <x v="0"/>
    <x v="1"/>
    <x v="0"/>
    <n v="0"/>
    <n v="0"/>
    <n v="51.834000000000003"/>
    <n v="49.760640000000002"/>
    <n v="51.834000000000003"/>
    <n v="49.760640000000002"/>
    <n v="0"/>
    <s v="CATIVO"/>
    <n v="0"/>
    <n v="0"/>
    <n v="7"/>
    <n v="41"/>
    <n v="0"/>
    <n v="1465.12"/>
    <n v="252.22"/>
    <m/>
    <n v="1505.0863668607667"/>
    <n v="251.13901983982558"/>
    <n v="0"/>
    <n v="3560.6640624000015"/>
    <n v="0"/>
    <n v="3641.2874677695418"/>
    <x v="0"/>
  </r>
  <r>
    <s v="Sistema de Compensação"/>
    <x v="0"/>
    <x v="1"/>
    <x v="0"/>
    <x v="1"/>
    <x v="0"/>
    <x v="0"/>
    <x v="1"/>
    <x v="0"/>
    <n v="0"/>
    <n v="0"/>
    <n v="5.7590000000000003"/>
    <n v="5.5286400000000002"/>
    <n v="5.7590000000000003"/>
    <n v="5.5286400000000002"/>
    <n v="0"/>
    <s v="CATIVO"/>
    <n v="0"/>
    <n v="0"/>
    <n v="7"/>
    <n v="41"/>
    <n v="0"/>
    <n v="1465.12"/>
    <n v="252.22"/>
    <m/>
    <n v="1505.0863668607667"/>
    <n v="251.13901983982558"/>
    <n v="0"/>
    <n v="395.60644240000022"/>
    <n v="0"/>
    <n v="404.56408008034862"/>
    <x v="0"/>
  </r>
  <r>
    <s v="Regular"/>
    <x v="0"/>
    <x v="1"/>
    <x v="0"/>
    <x v="1"/>
    <x v="0"/>
    <x v="0"/>
    <x v="1"/>
    <x v="1"/>
    <n v="0"/>
    <n v="0"/>
    <n v="22.794"/>
    <n v="21.882239999999999"/>
    <n v="22.794"/>
    <n v="21.882239999999999"/>
    <n v="0"/>
    <s v="CATIVO"/>
    <n v="0"/>
    <n v="0"/>
    <n v="7"/>
    <n v="41"/>
    <n v="0"/>
    <n v="1465.12"/>
    <n v="252.22"/>
    <m/>
    <n v="1505.0863668607667"/>
    <n v="251.13901983982558"/>
    <n v="0"/>
    <n v="1565.8019184000016"/>
    <n v="0"/>
    <n v="1601.2560585781337"/>
    <x v="0"/>
  </r>
  <r>
    <s v="Regular"/>
    <x v="0"/>
    <x v="1"/>
    <x v="0"/>
    <x v="1"/>
    <x v="0"/>
    <x v="0"/>
    <x v="1"/>
    <x v="2"/>
    <n v="0"/>
    <n v="0"/>
    <n v="5.7729999999999997"/>
    <n v="5.5420800000000003"/>
    <n v="5.7729999999999997"/>
    <n v="5.5420800000000003"/>
    <n v="0"/>
    <s v="CATIVO"/>
    <n v="0"/>
    <n v="0"/>
    <n v="7"/>
    <n v="41"/>
    <n v="0"/>
    <n v="1465.12"/>
    <n v="252.22"/>
    <m/>
    <n v="1505.0863668607667"/>
    <n v="251.13901983982558"/>
    <n v="0"/>
    <n v="396.56815279999887"/>
    <n v="0"/>
    <n v="405.54756629689962"/>
    <x v="0"/>
  </r>
  <r>
    <s v="Regular"/>
    <x v="0"/>
    <x v="1"/>
    <x v="0"/>
    <x v="1"/>
    <x v="0"/>
    <x v="0"/>
    <x v="1"/>
    <x v="3"/>
    <n v="0"/>
    <n v="0"/>
    <n v="5.4539999999999997"/>
    <n v="5.2358399999999996"/>
    <n v="5.4539999999999997"/>
    <n v="5.2358399999999996"/>
    <n v="0"/>
    <s v="CATIVO"/>
    <n v="0"/>
    <n v="0"/>
    <n v="7"/>
    <n v="41"/>
    <n v="0"/>
    <n v="1465.12"/>
    <n v="252.22"/>
    <m/>
    <n v="1505.0863668607667"/>
    <n v="251.13901983982558"/>
    <n v="0"/>
    <n v="374.65489440000022"/>
    <n v="0"/>
    <n v="383.13813036260149"/>
    <x v="0"/>
  </r>
  <r>
    <s v="Regular"/>
    <x v="0"/>
    <x v="1"/>
    <x v="0"/>
    <x v="1"/>
    <x v="0"/>
    <x v="0"/>
    <x v="1"/>
    <x v="4"/>
    <n v="0"/>
    <n v="0"/>
    <n v="3.14"/>
    <n v="3.0144000000000002"/>
    <n v="3.14"/>
    <n v="3.0144000000000002"/>
    <n v="0"/>
    <s v="CATIVO"/>
    <n v="0"/>
    <n v="0"/>
    <n v="7"/>
    <n v="41"/>
    <n v="0"/>
    <n v="1465.12"/>
    <n v="252.22"/>
    <m/>
    <n v="1505.0863668607667"/>
    <n v="251.13901983982558"/>
    <n v="0"/>
    <n v="215.69790399999985"/>
    <n v="0"/>
    <n v="220.58190856959428"/>
    <x v="0"/>
  </r>
  <r>
    <s v="Regular"/>
    <x v="0"/>
    <x v="1"/>
    <x v="0"/>
    <x v="0"/>
    <x v="0"/>
    <x v="0"/>
    <x v="0"/>
    <x v="10"/>
    <n v="0"/>
    <n v="0"/>
    <n v="26.263000000000002"/>
    <n v="25.212479999999999"/>
    <n v="26.263000000000002"/>
    <n v="25.212479999999999"/>
    <n v="0"/>
    <s v="CATIVO"/>
    <n v="0"/>
    <n v="0"/>
    <n v="15"/>
    <n v="28"/>
    <n v="0"/>
    <n v="79.319999999999993"/>
    <n v="252.22"/>
    <m/>
    <n v="89.719855298032911"/>
    <n v="251.13901983982558"/>
    <n v="0"/>
    <n v="348.28940080000075"/>
    <n v="0"/>
    <n v="358.07906550982386"/>
    <x v="0"/>
  </r>
  <r>
    <s v="Sistema de Compensação"/>
    <x v="0"/>
    <x v="1"/>
    <x v="0"/>
    <x v="0"/>
    <x v="0"/>
    <x v="0"/>
    <x v="0"/>
    <x v="10"/>
    <n v="0"/>
    <n v="0"/>
    <n v="-48.38"/>
    <n v="-46.444800000000001"/>
    <n v="-48.38"/>
    <n v="-46.444800000000001"/>
    <n v="0"/>
    <s v="CATIVO"/>
    <n v="0"/>
    <n v="0"/>
    <n v="15"/>
    <n v="28"/>
    <n v="0"/>
    <n v="79.319999999999993"/>
    <n v="252.22"/>
    <m/>
    <n v="89.719855298032911"/>
    <n v="251.13901983982558"/>
    <n v="0"/>
    <n v="-641.59620800000062"/>
    <n v="0"/>
    <n v="-659.63009516678437"/>
    <x v="0"/>
  </r>
  <r>
    <s v="Regular"/>
    <x v="0"/>
    <x v="1"/>
    <x v="0"/>
    <x v="0"/>
    <x v="0"/>
    <x v="0"/>
    <x v="0"/>
    <x v="11"/>
    <n v="0"/>
    <n v="0"/>
    <n v="28.582999999999998"/>
    <n v="27.439679999999999"/>
    <n v="28.582999999999998"/>
    <n v="27.439679999999999"/>
    <n v="0"/>
    <s v="CATIVO"/>
    <n v="0"/>
    <n v="0"/>
    <n v="15"/>
    <n v="28"/>
    <n v="0"/>
    <n v="79.319999999999993"/>
    <n v="252.22"/>
    <m/>
    <n v="89.719855298032911"/>
    <n v="251.13901983982558"/>
    <n v="0"/>
    <n v="379.05631279999977"/>
    <n v="0"/>
    <n v="389.71076912261611"/>
    <x v="0"/>
  </r>
  <r>
    <s v="Regular"/>
    <x v="0"/>
    <x v="1"/>
    <x v="0"/>
    <x v="0"/>
    <x v="0"/>
    <x v="0"/>
    <x v="0"/>
    <x v="5"/>
    <n v="0"/>
    <n v="0"/>
    <n v="25.841999999999999"/>
    <n v="24.808319999999998"/>
    <n v="25.841999999999999"/>
    <n v="24.808319999999998"/>
    <n v="0"/>
    <s v="CATIVO"/>
    <n v="0"/>
    <n v="0"/>
    <n v="15"/>
    <n v="28"/>
    <n v="0"/>
    <n v="79.319999999999993"/>
    <n v="252.22"/>
    <m/>
    <n v="89.719855298032911"/>
    <n v="251.13901983982558"/>
    <n v="0"/>
    <n v="342.70626720000007"/>
    <n v="0"/>
    <n v="352.33900205250171"/>
    <x v="0"/>
  </r>
  <r>
    <s v="Regular"/>
    <x v="0"/>
    <x v="1"/>
    <x v="0"/>
    <x v="0"/>
    <x v="0"/>
    <x v="0"/>
    <x v="0"/>
    <x v="6"/>
    <n v="0"/>
    <n v="0"/>
    <n v="28.277999999999999"/>
    <n v="27.146879999999999"/>
    <n v="28.277999999999999"/>
    <n v="27.146879999999999"/>
    <n v="0"/>
    <s v="CATIVO"/>
    <n v="0"/>
    <n v="0"/>
    <n v="15"/>
    <n v="28"/>
    <n v="0"/>
    <n v="79.319999999999993"/>
    <n v="252.22"/>
    <m/>
    <n v="89.719855298032911"/>
    <n v="251.13901983982558"/>
    <n v="0"/>
    <n v="375.01152479999973"/>
    <n v="0"/>
    <n v="385.55229084593424"/>
    <x v="0"/>
  </r>
  <r>
    <s v="Regular"/>
    <x v="0"/>
    <x v="1"/>
    <x v="0"/>
    <x v="0"/>
    <x v="0"/>
    <x v="0"/>
    <x v="0"/>
    <x v="7"/>
    <n v="0"/>
    <n v="0"/>
    <n v="33.890999999999998"/>
    <n v="32.535359999999997"/>
    <n v="33.890999999999998"/>
    <n v="32.535359999999997"/>
    <n v="0"/>
    <s v="CATIVO"/>
    <n v="0"/>
    <n v="0"/>
    <n v="15"/>
    <n v="28"/>
    <n v="0"/>
    <n v="79.319999999999993"/>
    <n v="252.22"/>
    <m/>
    <n v="89.719855298032911"/>
    <n v="251.13901983982558"/>
    <n v="0"/>
    <n v="449.44888560000038"/>
    <n v="0"/>
    <n v="462.08192549188686"/>
    <x v="0"/>
  </r>
  <r>
    <s v="Regular"/>
    <x v="0"/>
    <x v="1"/>
    <x v="0"/>
    <x v="0"/>
    <x v="0"/>
    <x v="0"/>
    <x v="0"/>
    <x v="8"/>
    <n v="0"/>
    <n v="0"/>
    <n v="31.939"/>
    <n v="30.661439999999999"/>
    <n v="31.939"/>
    <n v="30.661439999999999"/>
    <n v="0"/>
    <s v="CATIVO"/>
    <n v="0"/>
    <n v="0"/>
    <n v="15"/>
    <n v="28"/>
    <n v="0"/>
    <n v="79.319999999999993"/>
    <n v="252.22"/>
    <m/>
    <n v="89.719855298032911"/>
    <n v="251.13901983982558"/>
    <n v="0"/>
    <n v="423.56224240000034"/>
    <n v="0"/>
    <n v="435.46766452112286"/>
    <x v="0"/>
  </r>
  <r>
    <s v="Regular"/>
    <x v="0"/>
    <x v="1"/>
    <x v="0"/>
    <x v="0"/>
    <x v="0"/>
    <x v="0"/>
    <x v="0"/>
    <x v="9"/>
    <n v="0"/>
    <n v="0"/>
    <n v="38.256"/>
    <n v="36.725760000000001"/>
    <n v="38.256"/>
    <n v="36.725760000000001"/>
    <n v="0"/>
    <s v="CATIVO"/>
    <n v="0"/>
    <n v="0"/>
    <n v="15"/>
    <n v="28"/>
    <n v="0"/>
    <n v="79.319999999999993"/>
    <n v="252.22"/>
    <m/>
    <n v="89.719855298032911"/>
    <n v="251.13901983982558"/>
    <n v="0"/>
    <n v="507.33576959999971"/>
    <n v="0"/>
    <n v="521.59588509095624"/>
    <x v="0"/>
  </r>
  <r>
    <s v="Regular"/>
    <x v="0"/>
    <x v="1"/>
    <x v="0"/>
    <x v="0"/>
    <x v="0"/>
    <x v="0"/>
    <x v="0"/>
    <x v="0"/>
    <n v="0"/>
    <n v="0"/>
    <n v="32.28"/>
    <n v="30.988800000000001"/>
    <n v="32.28"/>
    <n v="30.988800000000001"/>
    <n v="0"/>
    <s v="CATIVO"/>
    <n v="0"/>
    <n v="0"/>
    <n v="15"/>
    <n v="28"/>
    <n v="0"/>
    <n v="79.319999999999993"/>
    <n v="252.22"/>
    <m/>
    <n v="89.719855298032911"/>
    <n v="251.13901983982558"/>
    <n v="0"/>
    <n v="428.08444799999995"/>
    <n v="0"/>
    <n v="440.11697957800283"/>
    <x v="0"/>
  </r>
  <r>
    <s v="Regular"/>
    <x v="0"/>
    <x v="1"/>
    <x v="0"/>
    <x v="0"/>
    <x v="0"/>
    <x v="0"/>
    <x v="0"/>
    <x v="1"/>
    <n v="0"/>
    <n v="0"/>
    <n v="80.394999999999996"/>
    <n v="77.179199999999994"/>
    <n v="80.394999999999996"/>
    <n v="77.179199999999994"/>
    <n v="0"/>
    <s v="CATIVO"/>
    <n v="0"/>
    <n v="0"/>
    <n v="15"/>
    <n v="28"/>
    <n v="0"/>
    <n v="79.319999999999993"/>
    <n v="252.22"/>
    <m/>
    <n v="89.719855298032911"/>
    <n v="251.13901983982558"/>
    <n v="0"/>
    <n v="1066.1663320000005"/>
    <n v="0"/>
    <n v="1096.1339706683259"/>
    <x v="0"/>
  </r>
  <r>
    <s v="Regular"/>
    <x v="0"/>
    <x v="1"/>
    <x v="0"/>
    <x v="0"/>
    <x v="0"/>
    <x v="0"/>
    <x v="0"/>
    <x v="2"/>
    <n v="0"/>
    <n v="0"/>
    <n v="71.855000000000004"/>
    <n v="68.980800000000002"/>
    <n v="71.855000000000004"/>
    <n v="68.980800000000002"/>
    <n v="0"/>
    <s v="CATIVO"/>
    <n v="0"/>
    <n v="0"/>
    <n v="15"/>
    <n v="28"/>
    <n v="0"/>
    <n v="79.319999999999993"/>
    <n v="252.22"/>
    <m/>
    <n v="89.719855298032911"/>
    <n v="251.13901983982558"/>
    <n v="0"/>
    <n v="952.91226800000061"/>
    <n v="0"/>
    <n v="979.69657892123348"/>
    <x v="0"/>
  </r>
  <r>
    <s v="Regular"/>
    <x v="0"/>
    <x v="1"/>
    <x v="0"/>
    <x v="0"/>
    <x v="0"/>
    <x v="0"/>
    <x v="0"/>
    <x v="3"/>
    <n v="0"/>
    <n v="0"/>
    <n v="51.518000000000001"/>
    <n v="49.457279999999997"/>
    <n v="51.518000000000001"/>
    <n v="49.457279999999997"/>
    <n v="0"/>
    <s v="CATIVO"/>
    <n v="0"/>
    <n v="0"/>
    <n v="15"/>
    <n v="28"/>
    <n v="0"/>
    <n v="79.319999999999993"/>
    <n v="252.22"/>
    <m/>
    <n v="89.719855298032911"/>
    <n v="251.13901983982558"/>
    <n v="0"/>
    <n v="683.21110880000106"/>
    <n v="0"/>
    <n v="702.41470117408892"/>
    <x v="0"/>
  </r>
  <r>
    <s v="Sistema de Compensação"/>
    <x v="0"/>
    <x v="1"/>
    <x v="0"/>
    <x v="0"/>
    <x v="0"/>
    <x v="0"/>
    <x v="0"/>
    <x v="3"/>
    <n v="0"/>
    <n v="0"/>
    <n v="11.651"/>
    <n v="11.18496"/>
    <n v="11.651"/>
    <n v="11.18496"/>
    <n v="0"/>
    <s v="CATIVO"/>
    <n v="0"/>
    <n v="0"/>
    <n v="15"/>
    <n v="28"/>
    <n v="0"/>
    <n v="79.319999999999993"/>
    <n v="252.22"/>
    <m/>
    <n v="89.719855298032911"/>
    <n v="251.13901983982558"/>
    <n v="0"/>
    <n v="154.51090159999984"/>
    <n v="0"/>
    <n v="158.85387016924741"/>
    <x v="0"/>
  </r>
  <r>
    <s v="Regular"/>
    <x v="0"/>
    <x v="1"/>
    <x v="0"/>
    <x v="0"/>
    <x v="0"/>
    <x v="0"/>
    <x v="0"/>
    <x v="4"/>
    <n v="0"/>
    <n v="0"/>
    <n v="41.88"/>
    <n v="40.204799999999999"/>
    <n v="41.88"/>
    <n v="40.204799999999999"/>
    <n v="0"/>
    <s v="CATIVO"/>
    <n v="0"/>
    <n v="0"/>
    <n v="15"/>
    <n v="28"/>
    <n v="0"/>
    <n v="79.319999999999993"/>
    <n v="252.22"/>
    <m/>
    <n v="89.719855298032911"/>
    <n v="251.13901983982558"/>
    <n v="0"/>
    <n v="555.39580800000124"/>
    <n v="0"/>
    <n v="571.00678763094186"/>
    <x v="0"/>
  </r>
  <r>
    <s v="Sistema de Compensação"/>
    <x v="0"/>
    <x v="1"/>
    <x v="0"/>
    <x v="0"/>
    <x v="0"/>
    <x v="0"/>
    <x v="0"/>
    <x v="4"/>
    <n v="0"/>
    <n v="0"/>
    <n v="44.261000000000003"/>
    <n v="42.490560000000002"/>
    <n v="44.261000000000003"/>
    <n v="42.490560000000002"/>
    <n v="0"/>
    <s v="CATIVO"/>
    <n v="0"/>
    <n v="0"/>
    <n v="15"/>
    <n v="28"/>
    <n v="0"/>
    <n v="79.319999999999993"/>
    <n v="252.22"/>
    <m/>
    <n v="89.719855298032911"/>
    <n v="251.13901983982558"/>
    <n v="0"/>
    <n v="586.97167760000025"/>
    <n v="0"/>
    <n v="603.47018689907043"/>
    <x v="0"/>
  </r>
  <r>
    <s v="Regular"/>
    <x v="0"/>
    <x v="1"/>
    <x v="0"/>
    <x v="0"/>
    <x v="0"/>
    <x v="0"/>
    <x v="2"/>
    <x v="10"/>
    <n v="198"/>
    <n v="190.07999999999998"/>
    <n v="0"/>
    <n v="0"/>
    <n v="0"/>
    <n v="0"/>
    <n v="2"/>
    <s v="CATIVO"/>
    <n v="0"/>
    <n v="11"/>
    <n v="0"/>
    <n v="0"/>
    <n v="45.42"/>
    <n v="0"/>
    <n v="0"/>
    <n v="45.87320696171841"/>
    <m/>
    <m/>
    <n v="359.72640000000075"/>
    <n v="0"/>
    <n v="363.31579913681054"/>
    <n v="0"/>
    <x v="0"/>
  </r>
  <r>
    <s v="Sistema de Compensação"/>
    <x v="0"/>
    <x v="1"/>
    <x v="0"/>
    <x v="0"/>
    <x v="0"/>
    <x v="0"/>
    <x v="2"/>
    <x v="10"/>
    <n v="315"/>
    <n v="302.39999999999998"/>
    <n v="0"/>
    <n v="0"/>
    <n v="0"/>
    <n v="0"/>
    <n v="3"/>
    <s v="CATIVO"/>
    <n v="0"/>
    <n v="11"/>
    <n v="0"/>
    <n v="0"/>
    <n v="45.42"/>
    <n v="0"/>
    <n v="0"/>
    <n v="45.87320696171841"/>
    <m/>
    <m/>
    <n v="572.29200000000105"/>
    <n v="0"/>
    <n v="578.002407717653"/>
    <n v="0"/>
    <x v="0"/>
  </r>
  <r>
    <s v="Regular"/>
    <x v="0"/>
    <x v="1"/>
    <x v="0"/>
    <x v="0"/>
    <x v="0"/>
    <x v="0"/>
    <x v="2"/>
    <x v="11"/>
    <n v="241"/>
    <n v="231.35999999999999"/>
    <n v="0"/>
    <n v="0"/>
    <n v="0"/>
    <n v="0"/>
    <n v="2"/>
    <s v="CATIVO"/>
    <n v="0"/>
    <n v="11"/>
    <n v="0"/>
    <n v="0"/>
    <n v="45.42"/>
    <n v="0"/>
    <n v="0"/>
    <n v="45.87320696171841"/>
    <m/>
    <m/>
    <n v="437.84880000000067"/>
    <n v="0"/>
    <n v="442.21771511096614"/>
    <n v="0"/>
    <x v="0"/>
  </r>
  <r>
    <s v="Sistema de Compensação"/>
    <x v="0"/>
    <x v="1"/>
    <x v="0"/>
    <x v="0"/>
    <x v="0"/>
    <x v="0"/>
    <x v="2"/>
    <x v="11"/>
    <n v="317"/>
    <n v="304.32"/>
    <n v="0"/>
    <n v="0"/>
    <n v="0"/>
    <n v="0"/>
    <n v="4"/>
    <s v="CATIVO"/>
    <n v="0"/>
    <n v="11"/>
    <n v="0"/>
    <n v="0"/>
    <n v="45.42"/>
    <n v="0"/>
    <n v="0"/>
    <n v="45.87320696171841"/>
    <m/>
    <m/>
    <n v="575.92560000000037"/>
    <n v="0"/>
    <n v="581.67226427458979"/>
    <n v="0"/>
    <x v="0"/>
  </r>
  <r>
    <s v="Regular"/>
    <x v="0"/>
    <x v="1"/>
    <x v="0"/>
    <x v="0"/>
    <x v="0"/>
    <x v="0"/>
    <x v="2"/>
    <x v="5"/>
    <n v="139"/>
    <n v="133.44"/>
    <n v="0"/>
    <n v="0"/>
    <n v="0"/>
    <n v="0"/>
    <n v="2"/>
    <s v="CATIVO"/>
    <n v="0"/>
    <n v="11"/>
    <n v="0"/>
    <n v="0"/>
    <n v="45.42"/>
    <n v="0"/>
    <n v="0"/>
    <n v="45.87320696171841"/>
    <m/>
    <m/>
    <n v="252.53520000000012"/>
    <n v="0"/>
    <n v="255.05503070715446"/>
    <n v="0"/>
    <x v="0"/>
  </r>
  <r>
    <s v="Sistema de Compensação"/>
    <x v="0"/>
    <x v="1"/>
    <x v="0"/>
    <x v="0"/>
    <x v="0"/>
    <x v="0"/>
    <x v="2"/>
    <x v="5"/>
    <n v="415"/>
    <n v="398.4"/>
    <n v="0"/>
    <n v="0"/>
    <n v="0"/>
    <n v="0"/>
    <n v="4"/>
    <s v="CATIVO"/>
    <n v="0"/>
    <n v="11"/>
    <n v="0"/>
    <n v="0"/>
    <n v="45.42"/>
    <n v="0"/>
    <n v="0"/>
    <n v="45.87320696171841"/>
    <m/>
    <m/>
    <n v="753.97200000000112"/>
    <n v="0"/>
    <n v="761.49523556452664"/>
    <n v="0"/>
    <x v="0"/>
  </r>
  <r>
    <s v="Regular"/>
    <x v="0"/>
    <x v="1"/>
    <x v="0"/>
    <x v="0"/>
    <x v="0"/>
    <x v="0"/>
    <x v="2"/>
    <x v="6"/>
    <n v="176"/>
    <n v="168.96"/>
    <n v="0"/>
    <n v="0"/>
    <n v="0"/>
    <n v="0"/>
    <n v="2"/>
    <s v="CATIVO"/>
    <n v="0"/>
    <n v="11"/>
    <n v="0"/>
    <n v="0"/>
    <n v="45.42"/>
    <n v="0"/>
    <n v="0"/>
    <n v="45.87320696171841"/>
    <m/>
    <m/>
    <n v="319.75679999999966"/>
    <n v="0"/>
    <n v="322.94737701049723"/>
    <n v="0"/>
    <x v="0"/>
  </r>
  <r>
    <s v="Sistema de Compensação"/>
    <x v="0"/>
    <x v="1"/>
    <x v="0"/>
    <x v="0"/>
    <x v="0"/>
    <x v="0"/>
    <x v="2"/>
    <x v="6"/>
    <n v="491"/>
    <n v="471.35999999999996"/>
    <n v="0"/>
    <n v="0"/>
    <n v="0"/>
    <n v="0"/>
    <n v="4"/>
    <s v="CATIVO"/>
    <n v="0"/>
    <n v="11"/>
    <n v="0"/>
    <n v="0"/>
    <n v="45.42"/>
    <n v="0"/>
    <n v="0"/>
    <n v="45.87320696171841"/>
    <m/>
    <m/>
    <n v="892.04880000000196"/>
    <n v="0"/>
    <n v="900.9497847281516"/>
    <n v="0"/>
    <x v="0"/>
  </r>
  <r>
    <s v="Regular"/>
    <x v="0"/>
    <x v="1"/>
    <x v="0"/>
    <x v="0"/>
    <x v="0"/>
    <x v="0"/>
    <x v="2"/>
    <x v="7"/>
    <n v="201"/>
    <n v="192.96"/>
    <n v="0"/>
    <n v="0"/>
    <n v="0"/>
    <n v="0"/>
    <n v="2"/>
    <s v="CATIVO"/>
    <n v="0"/>
    <n v="11"/>
    <n v="0"/>
    <n v="0"/>
    <n v="45.42"/>
    <n v="0"/>
    <n v="0"/>
    <n v="45.87320696171841"/>
    <m/>
    <m/>
    <n v="365.17679999999967"/>
    <n v="0"/>
    <n v="368.82058397221567"/>
    <n v="0"/>
    <x v="0"/>
  </r>
  <r>
    <s v="Sistema de Compensação"/>
    <x v="0"/>
    <x v="1"/>
    <x v="0"/>
    <x v="0"/>
    <x v="0"/>
    <x v="0"/>
    <x v="2"/>
    <x v="7"/>
    <n v="527"/>
    <n v="505.91999999999996"/>
    <n v="0"/>
    <n v="0"/>
    <n v="0"/>
    <n v="0"/>
    <n v="4"/>
    <s v="CATIVO"/>
    <n v="0"/>
    <n v="11"/>
    <n v="0"/>
    <n v="0"/>
    <n v="45.42"/>
    <n v="0"/>
    <n v="0"/>
    <n v="45.87320696171841"/>
    <m/>
    <m/>
    <n v="957.45360000000187"/>
    <n v="0"/>
    <n v="967.00720275302592"/>
    <n v="0"/>
    <x v="0"/>
  </r>
  <r>
    <s v="Regular"/>
    <x v="0"/>
    <x v="1"/>
    <x v="0"/>
    <x v="0"/>
    <x v="0"/>
    <x v="0"/>
    <x v="2"/>
    <x v="8"/>
    <n v="138"/>
    <n v="132.47999999999999"/>
    <n v="0"/>
    <n v="0"/>
    <n v="0"/>
    <n v="0"/>
    <n v="2"/>
    <s v="CATIVO"/>
    <n v="0"/>
    <n v="11"/>
    <n v="0"/>
    <n v="0"/>
    <n v="45.42"/>
    <n v="0"/>
    <n v="0"/>
    <n v="45.87320696171841"/>
    <m/>
    <m/>
    <n v="250.71840000000049"/>
    <n v="0"/>
    <n v="253.22010242868609"/>
    <n v="0"/>
    <x v="0"/>
  </r>
  <r>
    <s v="Sistema de Compensação"/>
    <x v="0"/>
    <x v="1"/>
    <x v="0"/>
    <x v="0"/>
    <x v="0"/>
    <x v="0"/>
    <x v="2"/>
    <x v="8"/>
    <n v="331"/>
    <n v="317.76"/>
    <n v="0"/>
    <n v="0"/>
    <n v="0"/>
    <n v="0"/>
    <n v="4"/>
    <s v="CATIVO"/>
    <n v="0"/>
    <n v="11"/>
    <n v="0"/>
    <n v="0"/>
    <n v="45.42"/>
    <n v="0"/>
    <n v="0"/>
    <n v="45.87320696171841"/>
    <m/>
    <m/>
    <n v="601.36080000000038"/>
    <n v="0"/>
    <n v="607.36126017315212"/>
    <n v="0"/>
    <x v="0"/>
  </r>
  <r>
    <s v="Regular"/>
    <x v="0"/>
    <x v="1"/>
    <x v="0"/>
    <x v="0"/>
    <x v="0"/>
    <x v="0"/>
    <x v="2"/>
    <x v="9"/>
    <n v="140"/>
    <n v="134.4"/>
    <n v="0"/>
    <n v="0"/>
    <n v="0"/>
    <n v="0"/>
    <n v="2"/>
    <s v="CATIVO"/>
    <n v="0"/>
    <n v="11"/>
    <n v="0"/>
    <n v="0"/>
    <n v="45.42"/>
    <n v="0"/>
    <n v="0"/>
    <n v="45.87320696171841"/>
    <m/>
    <m/>
    <n v="254.35199999999975"/>
    <n v="0"/>
    <n v="256.88995898562285"/>
    <n v="0"/>
    <x v="0"/>
  </r>
  <r>
    <s v="Sistema de Compensação"/>
    <x v="0"/>
    <x v="1"/>
    <x v="0"/>
    <x v="0"/>
    <x v="0"/>
    <x v="0"/>
    <x v="2"/>
    <x v="9"/>
    <n v="399"/>
    <n v="383.03999999999996"/>
    <n v="0"/>
    <n v="0"/>
    <n v="0"/>
    <n v="0"/>
    <n v="4"/>
    <s v="CATIVO"/>
    <n v="0"/>
    <n v="11"/>
    <n v="0"/>
    <n v="0"/>
    <n v="45.42"/>
    <n v="0"/>
    <n v="0"/>
    <n v="45.87320696171841"/>
    <m/>
    <m/>
    <n v="724.90320000000168"/>
    <n v="0"/>
    <n v="732.13638310902752"/>
    <n v="0"/>
    <x v="0"/>
  </r>
  <r>
    <s v="Regular"/>
    <x v="0"/>
    <x v="1"/>
    <x v="0"/>
    <x v="0"/>
    <x v="0"/>
    <x v="0"/>
    <x v="2"/>
    <x v="0"/>
    <n v="106"/>
    <n v="101.76"/>
    <n v="0"/>
    <n v="0"/>
    <n v="0"/>
    <n v="0"/>
    <n v="2"/>
    <s v="CATIVO"/>
    <n v="0"/>
    <n v="11"/>
    <n v="0"/>
    <n v="0"/>
    <n v="45.42"/>
    <n v="0"/>
    <n v="0"/>
    <n v="45.87320696171841"/>
    <m/>
    <m/>
    <n v="192.58079999999978"/>
    <n v="0"/>
    <n v="194.50239751768584"/>
    <n v="0"/>
    <x v="0"/>
  </r>
  <r>
    <s v="Sistema de Compensação"/>
    <x v="0"/>
    <x v="1"/>
    <x v="0"/>
    <x v="0"/>
    <x v="0"/>
    <x v="0"/>
    <x v="2"/>
    <x v="0"/>
    <n v="333"/>
    <n v="319.68"/>
    <n v="0"/>
    <n v="0"/>
    <n v="0"/>
    <n v="0"/>
    <n v="3"/>
    <s v="CATIVO"/>
    <n v="0"/>
    <n v="11"/>
    <n v="0"/>
    <n v="0"/>
    <n v="45.42"/>
    <n v="0"/>
    <n v="0"/>
    <n v="45.87320696171841"/>
    <m/>
    <m/>
    <n v="604.9943999999997"/>
    <n v="0"/>
    <n v="611.03111673008891"/>
    <n v="0"/>
    <x v="0"/>
  </r>
  <r>
    <s v="Regular"/>
    <x v="0"/>
    <x v="1"/>
    <x v="0"/>
    <x v="0"/>
    <x v="0"/>
    <x v="0"/>
    <x v="2"/>
    <x v="1"/>
    <n v="284"/>
    <n v="272.64"/>
    <n v="0"/>
    <n v="0"/>
    <n v="0"/>
    <n v="0"/>
    <n v="3"/>
    <s v="CATIVO"/>
    <n v="0"/>
    <n v="11"/>
    <n v="0"/>
    <n v="0"/>
    <n v="45.42"/>
    <n v="0"/>
    <n v="0"/>
    <n v="45.87320696171841"/>
    <m/>
    <m/>
    <n v="515.97120000000064"/>
    <n v="0"/>
    <n v="521.1196310851218"/>
    <n v="0"/>
    <x v="0"/>
  </r>
  <r>
    <s v="Sistema de Compensação"/>
    <x v="0"/>
    <x v="1"/>
    <x v="0"/>
    <x v="0"/>
    <x v="0"/>
    <x v="0"/>
    <x v="2"/>
    <x v="1"/>
    <n v="378"/>
    <n v="362.88"/>
    <n v="0"/>
    <n v="0"/>
    <n v="0"/>
    <n v="0"/>
    <n v="3"/>
    <s v="CATIVO"/>
    <n v="0"/>
    <n v="11"/>
    <n v="0"/>
    <n v="0"/>
    <n v="45.42"/>
    <n v="0"/>
    <n v="0"/>
    <n v="45.87320696171841"/>
    <m/>
    <m/>
    <n v="686.75040000000024"/>
    <n v="0"/>
    <n v="693.60288926118255"/>
    <n v="0"/>
    <x v="0"/>
  </r>
  <r>
    <s v="Sistema de Compensação"/>
    <x v="0"/>
    <x v="1"/>
    <x v="0"/>
    <x v="0"/>
    <x v="0"/>
    <x v="0"/>
    <x v="2"/>
    <x v="1"/>
    <n v="-3"/>
    <n v="-2.88"/>
    <n v="0"/>
    <n v="0"/>
    <n v="0"/>
    <n v="0"/>
    <n v="2"/>
    <s v="CATIVO"/>
    <n v="0"/>
    <n v="11"/>
    <n v="0"/>
    <n v="0"/>
    <n v="45.42"/>
    <n v="0"/>
    <n v="0"/>
    <n v="45.87320696171841"/>
    <m/>
    <m/>
    <n v="-5.4504000000000055"/>
    <n v="0"/>
    <n v="-5.5047848354062143"/>
    <n v="0"/>
    <x v="0"/>
  </r>
  <r>
    <s v="Regular"/>
    <x v="0"/>
    <x v="1"/>
    <x v="0"/>
    <x v="0"/>
    <x v="0"/>
    <x v="0"/>
    <x v="2"/>
    <x v="2"/>
    <n v="319"/>
    <n v="306.24"/>
    <n v="0"/>
    <n v="0"/>
    <n v="0"/>
    <n v="0"/>
    <n v="3"/>
    <s v="CATIVO"/>
    <n v="0"/>
    <n v="11"/>
    <n v="0"/>
    <n v="0"/>
    <n v="45.42"/>
    <n v="0"/>
    <n v="0"/>
    <n v="45.87320696171841"/>
    <m/>
    <m/>
    <n v="579.55919999999958"/>
    <n v="0"/>
    <n v="585.34212083152647"/>
    <n v="0"/>
    <x v="0"/>
  </r>
  <r>
    <s v="Sistema de Compensação"/>
    <x v="0"/>
    <x v="1"/>
    <x v="0"/>
    <x v="0"/>
    <x v="0"/>
    <x v="0"/>
    <x v="2"/>
    <x v="2"/>
    <n v="812"/>
    <n v="779.52"/>
    <n v="0"/>
    <n v="0"/>
    <n v="0"/>
    <n v="0"/>
    <n v="3"/>
    <s v="CATIVO"/>
    <n v="0"/>
    <n v="11"/>
    <n v="0"/>
    <n v="0"/>
    <n v="45.42"/>
    <n v="0"/>
    <n v="0"/>
    <n v="45.87320696171841"/>
    <m/>
    <m/>
    <n v="1475.241600000001"/>
    <n v="0"/>
    <n v="1489.9617621166149"/>
    <n v="0"/>
    <x v="0"/>
  </r>
  <r>
    <s v="Regular"/>
    <x v="0"/>
    <x v="1"/>
    <x v="0"/>
    <x v="0"/>
    <x v="0"/>
    <x v="0"/>
    <x v="2"/>
    <x v="3"/>
    <n v="380"/>
    <n v="364.8"/>
    <n v="0"/>
    <n v="0"/>
    <n v="0"/>
    <n v="0"/>
    <n v="3"/>
    <s v="CATIVO"/>
    <n v="0"/>
    <n v="11"/>
    <n v="0"/>
    <n v="0"/>
    <n v="45.42"/>
    <n v="0"/>
    <n v="0"/>
    <n v="45.87320696171841"/>
    <m/>
    <m/>
    <n v="690.38399999999956"/>
    <n v="0"/>
    <n v="697.27274581811935"/>
    <n v="0"/>
    <x v="0"/>
  </r>
  <r>
    <s v="Sistema de Compensação"/>
    <x v="0"/>
    <x v="1"/>
    <x v="0"/>
    <x v="0"/>
    <x v="0"/>
    <x v="0"/>
    <x v="2"/>
    <x v="3"/>
    <n v="768"/>
    <n v="737.28"/>
    <n v="0"/>
    <n v="0"/>
    <n v="0"/>
    <n v="0"/>
    <n v="3"/>
    <s v="CATIVO"/>
    <n v="0"/>
    <n v="11"/>
    <n v="0"/>
    <n v="0"/>
    <n v="45.42"/>
    <n v="0"/>
    <n v="0"/>
    <n v="45.87320696171841"/>
    <m/>
    <m/>
    <n v="1395.3024000000014"/>
    <n v="0"/>
    <n v="1409.2249178639909"/>
    <n v="0"/>
    <x v="0"/>
  </r>
  <r>
    <s v="Regular"/>
    <x v="0"/>
    <x v="1"/>
    <x v="0"/>
    <x v="0"/>
    <x v="0"/>
    <x v="0"/>
    <x v="2"/>
    <x v="4"/>
    <n v="437"/>
    <n v="419.52"/>
    <n v="0"/>
    <n v="0"/>
    <n v="0"/>
    <n v="0"/>
    <n v="3"/>
    <s v="CATIVO"/>
    <n v="0"/>
    <n v="11"/>
    <n v="0"/>
    <n v="0"/>
    <n v="45.42"/>
    <n v="0"/>
    <n v="0"/>
    <n v="45.87320696171841"/>
    <m/>
    <m/>
    <n v="793.9416000000009"/>
    <n v="0"/>
    <n v="801.86365769083864"/>
    <n v="0"/>
    <x v="0"/>
  </r>
  <r>
    <s v="Sistema de Compensação"/>
    <x v="0"/>
    <x v="1"/>
    <x v="0"/>
    <x v="0"/>
    <x v="0"/>
    <x v="0"/>
    <x v="2"/>
    <x v="4"/>
    <n v="700"/>
    <n v="672"/>
    <n v="0"/>
    <n v="0"/>
    <n v="0"/>
    <n v="0"/>
    <n v="3"/>
    <s v="CATIVO"/>
    <n v="0"/>
    <n v="11"/>
    <n v="0"/>
    <n v="0"/>
    <n v="45.42"/>
    <n v="0"/>
    <n v="0"/>
    <n v="45.87320696171841"/>
    <m/>
    <m/>
    <n v="1271.76"/>
    <n v="0"/>
    <n v="1284.4497949281154"/>
    <n v="0"/>
    <x v="0"/>
  </r>
  <r>
    <s v="Regular"/>
    <x v="0"/>
    <x v="1"/>
    <x v="0"/>
    <x v="0"/>
    <x v="0"/>
    <x v="0"/>
    <x v="1"/>
    <x v="10"/>
    <n v="0"/>
    <n v="0"/>
    <n v="2.3250000000000002"/>
    <n v="2.2320000000000002"/>
    <n v="2.3250000000000002"/>
    <n v="2.2320000000000002"/>
    <n v="0"/>
    <s v="CATIVO"/>
    <n v="0"/>
    <n v="0"/>
    <n v="7"/>
    <n v="41"/>
    <n v="0"/>
    <n v="1465.12"/>
    <n v="252.22"/>
    <m/>
    <n v="1505.0863668607667"/>
    <n v="251.13901983982558"/>
    <n v="0"/>
    <n v="159.71261999999993"/>
    <n v="0"/>
    <n v="163.32896096315503"/>
    <x v="0"/>
  </r>
  <r>
    <s v="Sistema de Compensação"/>
    <x v="0"/>
    <x v="1"/>
    <x v="0"/>
    <x v="0"/>
    <x v="0"/>
    <x v="0"/>
    <x v="1"/>
    <x v="10"/>
    <n v="0"/>
    <n v="0"/>
    <n v="-11.004"/>
    <n v="-10.563839999999999"/>
    <n v="-11.004"/>
    <n v="-10.563839999999999"/>
    <n v="0"/>
    <s v="CATIVO"/>
    <n v="0"/>
    <n v="0"/>
    <n v="7"/>
    <n v="41"/>
    <n v="0"/>
    <n v="1465.12"/>
    <n v="252.22"/>
    <m/>
    <n v="1505.0863668607667"/>
    <n v="251.13901983982558"/>
    <n v="0"/>
    <n v="-755.90437440000096"/>
    <n v="0"/>
    <n v="-773.02016621013365"/>
    <x v="0"/>
  </r>
  <r>
    <s v="Regular"/>
    <x v="0"/>
    <x v="1"/>
    <x v="0"/>
    <x v="0"/>
    <x v="0"/>
    <x v="0"/>
    <x v="1"/>
    <x v="11"/>
    <n v="0"/>
    <n v="0"/>
    <n v="3.3759999999999999"/>
    <n v="3.2409599999999998"/>
    <n v="3.3759999999999999"/>
    <n v="3.2409599999999998"/>
    <n v="0"/>
    <s v="CATIVO"/>
    <n v="0"/>
    <n v="0"/>
    <n v="7"/>
    <n v="41"/>
    <n v="0"/>
    <n v="1465.12"/>
    <n v="252.22"/>
    <m/>
    <n v="1505.0863668607667"/>
    <n v="251.13901983982558"/>
    <n v="0"/>
    <n v="231.90959360000005"/>
    <n v="0"/>
    <n v="237.16067622004806"/>
    <x v="0"/>
  </r>
  <r>
    <s v="Regular"/>
    <x v="0"/>
    <x v="1"/>
    <x v="0"/>
    <x v="0"/>
    <x v="0"/>
    <x v="0"/>
    <x v="1"/>
    <x v="5"/>
    <n v="0"/>
    <n v="0"/>
    <n v="2.831"/>
    <n v="2.7177600000000002"/>
    <n v="2.831"/>
    <n v="2.7177600000000002"/>
    <n v="0"/>
    <s v="CATIVO"/>
    <n v="0"/>
    <n v="0"/>
    <n v="7"/>
    <n v="41"/>
    <n v="0"/>
    <n v="1465.12"/>
    <n v="252.22"/>
    <m/>
    <n v="1505.0863668607667"/>
    <n v="251.13901983982558"/>
    <n v="0"/>
    <n v="194.47158159999961"/>
    <n v="0"/>
    <n v="198.87496278997469"/>
    <x v="0"/>
  </r>
  <r>
    <s v="Regular"/>
    <x v="0"/>
    <x v="1"/>
    <x v="0"/>
    <x v="0"/>
    <x v="0"/>
    <x v="0"/>
    <x v="1"/>
    <x v="6"/>
    <n v="0"/>
    <n v="0"/>
    <n v="2.9790000000000001"/>
    <n v="2.8598400000000002"/>
    <n v="2.9790000000000001"/>
    <n v="2.8598400000000002"/>
    <n v="0"/>
    <s v="CATIVO"/>
    <n v="0"/>
    <n v="0"/>
    <n v="7"/>
    <n v="41"/>
    <n v="0"/>
    <n v="1465.12"/>
    <n v="252.22"/>
    <m/>
    <n v="1505.0863668607667"/>
    <n v="251.13901983982558"/>
    <n v="0"/>
    <n v="204.63823439999987"/>
    <n v="0"/>
    <n v="209.27181707924248"/>
    <x v="0"/>
  </r>
  <r>
    <s v="Regular"/>
    <x v="0"/>
    <x v="1"/>
    <x v="0"/>
    <x v="0"/>
    <x v="0"/>
    <x v="0"/>
    <x v="1"/>
    <x v="7"/>
    <n v="0"/>
    <n v="0"/>
    <n v="3.573"/>
    <n v="3.4300799999999998"/>
    <n v="3.573"/>
    <n v="3.4300799999999998"/>
    <n v="0"/>
    <s v="CATIVO"/>
    <n v="0"/>
    <n v="0"/>
    <n v="7"/>
    <n v="41"/>
    <n v="0"/>
    <n v="1465.12"/>
    <n v="252.22"/>
    <m/>
    <n v="1505.0863668607667"/>
    <n v="251.13901983982558"/>
    <n v="0"/>
    <n v="245.44223280000028"/>
    <n v="0"/>
    <n v="250.99973226724893"/>
    <x v="0"/>
  </r>
  <r>
    <s v="Regular"/>
    <x v="0"/>
    <x v="1"/>
    <x v="0"/>
    <x v="0"/>
    <x v="0"/>
    <x v="0"/>
    <x v="1"/>
    <x v="8"/>
    <n v="0"/>
    <n v="0"/>
    <n v="3.4940000000000002"/>
    <n v="3.3542399999999999"/>
    <n v="3.4940000000000002"/>
    <n v="3.3542399999999999"/>
    <n v="0"/>
    <s v="CATIVO"/>
    <n v="0"/>
    <n v="0"/>
    <n v="7"/>
    <n v="41"/>
    <n v="0"/>
    <n v="1465.12"/>
    <n v="252.22"/>
    <m/>
    <n v="1505.0863668607667"/>
    <n v="251.13901983982558"/>
    <n v="0"/>
    <n v="240.01543840000053"/>
    <n v="0"/>
    <n v="245.45006004527534"/>
    <x v="0"/>
  </r>
  <r>
    <s v="Regular"/>
    <x v="0"/>
    <x v="1"/>
    <x v="0"/>
    <x v="0"/>
    <x v="0"/>
    <x v="0"/>
    <x v="1"/>
    <x v="9"/>
    <n v="0"/>
    <n v="0"/>
    <n v="4.181"/>
    <n v="4.0137600000000004"/>
    <n v="4.181"/>
    <n v="4.0137600000000004"/>
    <n v="0"/>
    <s v="CATIVO"/>
    <n v="0"/>
    <n v="0"/>
    <n v="7"/>
    <n v="41"/>
    <n v="0"/>
    <n v="1465.12"/>
    <n v="252.22"/>
    <m/>
    <n v="1505.0863668607667"/>
    <n v="251.13901983982558"/>
    <n v="0"/>
    <n v="287.20794159999934"/>
    <n v="0"/>
    <n v="293.71113367180635"/>
    <x v="0"/>
  </r>
  <r>
    <s v="Regular"/>
    <x v="0"/>
    <x v="1"/>
    <x v="0"/>
    <x v="0"/>
    <x v="0"/>
    <x v="0"/>
    <x v="1"/>
    <x v="0"/>
    <n v="0"/>
    <n v="0"/>
    <n v="3.2709999999999999"/>
    <n v="3.1401599999999998"/>
    <n v="3.2709999999999999"/>
    <n v="3.1401599999999998"/>
    <n v="0"/>
    <s v="CATIVO"/>
    <n v="0"/>
    <n v="0"/>
    <n v="7"/>
    <n v="41"/>
    <n v="0"/>
    <n v="1465.12"/>
    <n v="252.22"/>
    <m/>
    <n v="1505.0863668607667"/>
    <n v="251.13901983982558"/>
    <n v="0"/>
    <n v="224.69676560000011"/>
    <n v="0"/>
    <n v="229.78452959590561"/>
    <x v="0"/>
  </r>
  <r>
    <s v="Regular"/>
    <x v="0"/>
    <x v="1"/>
    <x v="0"/>
    <x v="0"/>
    <x v="0"/>
    <x v="0"/>
    <x v="1"/>
    <x v="1"/>
    <n v="0"/>
    <n v="0"/>
    <n v="8.6219999999999999"/>
    <n v="8.27712"/>
    <n v="8.6219999999999999"/>
    <n v="8.27712"/>
    <n v="0"/>
    <s v="CATIVO"/>
    <n v="0"/>
    <n v="0"/>
    <n v="7"/>
    <n v="41"/>
    <n v="0"/>
    <n v="1465.12"/>
    <n v="252.22"/>
    <m/>
    <n v="1505.0863668607667"/>
    <n v="251.13901983982558"/>
    <n v="0"/>
    <n v="592.27621919999967"/>
    <n v="0"/>
    <n v="605.68701136530001"/>
    <x v="0"/>
  </r>
  <r>
    <s v="Regular"/>
    <x v="0"/>
    <x v="1"/>
    <x v="0"/>
    <x v="0"/>
    <x v="0"/>
    <x v="0"/>
    <x v="1"/>
    <x v="2"/>
    <n v="0"/>
    <n v="0"/>
    <n v="8.2959999999999994"/>
    <n v="7.9641599999999997"/>
    <n v="8.2959999999999994"/>
    <n v="7.9641599999999997"/>
    <n v="0"/>
    <s v="CATIVO"/>
    <n v="0"/>
    <n v="0"/>
    <n v="7"/>
    <n v="41"/>
    <n v="0"/>
    <n v="1465.12"/>
    <n v="252.22"/>
    <m/>
    <n v="1505.0863668607667"/>
    <n v="251.13901983982558"/>
    <n v="0"/>
    <n v="569.88210559999948"/>
    <n v="0"/>
    <n v="582.78583232272399"/>
    <x v="0"/>
  </r>
  <r>
    <s v="Regular"/>
    <x v="0"/>
    <x v="1"/>
    <x v="0"/>
    <x v="0"/>
    <x v="0"/>
    <x v="0"/>
    <x v="1"/>
    <x v="3"/>
    <n v="0"/>
    <n v="0"/>
    <n v="5.03"/>
    <n v="4.8288000000000002"/>
    <n v="5.03"/>
    <n v="4.8288000000000002"/>
    <n v="0"/>
    <s v="CATIVO"/>
    <n v="0"/>
    <n v="0"/>
    <n v="7"/>
    <n v="41"/>
    <n v="0"/>
    <n v="1465.12"/>
    <n v="252.22"/>
    <m/>
    <n v="1505.0863668607667"/>
    <n v="251.13901983982558"/>
    <n v="0"/>
    <n v="345.52880800000003"/>
    <n v="0"/>
    <n v="353.35254780415926"/>
    <x v="0"/>
  </r>
  <r>
    <s v="Sistema de Compensação"/>
    <x v="0"/>
    <x v="1"/>
    <x v="0"/>
    <x v="0"/>
    <x v="0"/>
    <x v="0"/>
    <x v="1"/>
    <x v="3"/>
    <n v="0"/>
    <n v="0"/>
    <n v="2.157"/>
    <n v="2.0707200000000001"/>
    <n v="2.157"/>
    <n v="2.0707200000000001"/>
    <n v="0"/>
    <s v="CATIVO"/>
    <n v="0"/>
    <n v="0"/>
    <n v="7"/>
    <n v="41"/>
    <n v="0"/>
    <n v="1465.12"/>
    <n v="252.22"/>
    <m/>
    <n v="1505.0863668607667"/>
    <n v="251.13901983982558"/>
    <n v="0"/>
    <n v="148.17209519999983"/>
    <n v="0"/>
    <n v="151.52712636452694"/>
    <x v="0"/>
  </r>
  <r>
    <s v="Regular"/>
    <x v="0"/>
    <x v="1"/>
    <x v="0"/>
    <x v="0"/>
    <x v="0"/>
    <x v="0"/>
    <x v="1"/>
    <x v="4"/>
    <n v="0"/>
    <n v="0"/>
    <n v="3.0459999999999998"/>
    <n v="2.9241600000000001"/>
    <n v="3.0459999999999998"/>
    <n v="2.9241600000000001"/>
    <n v="0"/>
    <s v="CATIVO"/>
    <n v="0"/>
    <n v="0"/>
    <n v="7"/>
    <n v="41"/>
    <n v="0"/>
    <n v="1465.12"/>
    <n v="252.22"/>
    <m/>
    <n v="1505.0863668607667"/>
    <n v="251.13901983982558"/>
    <n v="0"/>
    <n v="209.24070559999953"/>
    <n v="0"/>
    <n v="213.9785011155997"/>
    <x v="0"/>
  </r>
  <r>
    <s v="Sistema de Compensação"/>
    <x v="0"/>
    <x v="1"/>
    <x v="0"/>
    <x v="0"/>
    <x v="0"/>
    <x v="0"/>
    <x v="1"/>
    <x v="4"/>
    <n v="0"/>
    <n v="0"/>
    <n v="2.0249999999999999"/>
    <n v="1.944"/>
    <n v="2.0249999999999999"/>
    <n v="1.944"/>
    <n v="0"/>
    <s v="CATIVO"/>
    <n v="0"/>
    <n v="0"/>
    <n v="7"/>
    <n v="41"/>
    <n v="0"/>
    <n v="1465.12"/>
    <n v="252.22"/>
    <m/>
    <n v="1505.0863668607667"/>
    <n v="251.13901983982558"/>
    <n v="0"/>
    <n v="139.10453999999993"/>
    <n v="0"/>
    <n v="142.25425632274789"/>
    <x v="0"/>
  </r>
  <r>
    <s v="Regular"/>
    <x v="1"/>
    <x v="2"/>
    <x v="2"/>
    <x v="2"/>
    <x v="0"/>
    <x v="0"/>
    <x v="2"/>
    <x v="10"/>
    <n v="0"/>
    <n v="0"/>
    <n v="992.53399999999999"/>
    <n v="992.53399999999999"/>
    <n v="992.53399999999999"/>
    <n v="992.53399999999999"/>
    <n v="8255"/>
    <s v="CATIVO"/>
    <n v="0"/>
    <n v="0"/>
    <n v="4"/>
    <n v="73"/>
    <n v="0"/>
    <n v="425.75"/>
    <n v="252.22"/>
    <m/>
    <n v="432.62277336814327"/>
    <n v="251.13901983982558"/>
    <n v="0"/>
    <n v="0"/>
    <n v="0"/>
    <n v="0"/>
    <x v="3"/>
  </r>
  <r>
    <s v="Regular"/>
    <x v="1"/>
    <x v="2"/>
    <x v="2"/>
    <x v="3"/>
    <x v="0"/>
    <x v="0"/>
    <x v="2"/>
    <x v="10"/>
    <n v="0"/>
    <n v="0"/>
    <n v="8.0399999999999991"/>
    <n v="8.0399999999999991"/>
    <n v="8.0399999999999991"/>
    <n v="8.0399999999999991"/>
    <n v="28"/>
    <s v="CATIVO"/>
    <n v="0"/>
    <n v="0"/>
    <n v="12"/>
    <n v="77"/>
    <n v="0"/>
    <n v="124.73"/>
    <n v="88.28"/>
    <m/>
    <n v="115.93231301511172"/>
    <n v="87.898656943938946"/>
    <n v="0"/>
    <n v="3180.4632000000001"/>
    <n v="0"/>
    <n v="3043.4875685885677"/>
    <x v="4"/>
  </r>
  <r>
    <s v="Sistema de Compensação"/>
    <x v="1"/>
    <x v="2"/>
    <x v="2"/>
    <x v="3"/>
    <x v="0"/>
    <x v="0"/>
    <x v="2"/>
    <x v="10"/>
    <n v="0"/>
    <n v="0"/>
    <n v="0.09"/>
    <n v="-8.5500000000000007E-2"/>
    <n v="0.09"/>
    <n v="-8.5500000000000007E-2"/>
    <n v="0"/>
    <s v="CATIVO"/>
    <n v="0"/>
    <n v="0"/>
    <n v="12"/>
    <n v="77"/>
    <n v="0"/>
    <n v="124.73"/>
    <n v="88.28"/>
    <m/>
    <n v="115.93231301511172"/>
    <n v="87.898656943938946"/>
    <n v="0"/>
    <n v="72.985455000000002"/>
    <n v="0"/>
    <n v="69.841225920968995"/>
    <x v="4"/>
  </r>
  <r>
    <s v="Regular"/>
    <x v="1"/>
    <x v="2"/>
    <x v="2"/>
    <x v="3"/>
    <x v="0"/>
    <x v="0"/>
    <x v="2"/>
    <x v="11"/>
    <n v="0"/>
    <n v="0"/>
    <n v="8.52"/>
    <n v="8.52"/>
    <n v="8.52"/>
    <n v="8.52"/>
    <n v="25"/>
    <s v="CATIVO"/>
    <n v="0"/>
    <n v="0"/>
    <n v="12"/>
    <n v="77"/>
    <n v="0"/>
    <n v="124.73"/>
    <n v="88.28"/>
    <m/>
    <n v="115.93231301511172"/>
    <n v="87.898656943938946"/>
    <n v="0"/>
    <n v="3370.3416000000002"/>
    <n v="0"/>
    <n v="3225.1883189520645"/>
    <x v="4"/>
  </r>
  <r>
    <s v="Sistema de Compensação"/>
    <x v="1"/>
    <x v="2"/>
    <x v="2"/>
    <x v="3"/>
    <x v="0"/>
    <x v="0"/>
    <x v="2"/>
    <x v="11"/>
    <n v="0"/>
    <n v="0"/>
    <n v="7.5999999999999998E-2"/>
    <n v="-7.22E-2"/>
    <n v="7.5999999999999998E-2"/>
    <n v="-7.22E-2"/>
    <n v="0"/>
    <s v="CATIVO"/>
    <n v="0"/>
    <n v="0"/>
    <n v="12"/>
    <n v="77"/>
    <n v="0"/>
    <n v="124.73"/>
    <n v="88.28"/>
    <m/>
    <n v="115.93231301511172"/>
    <n v="87.898656943938946"/>
    <n v="0"/>
    <n v="61.632162000000001"/>
    <n v="0"/>
    <n v="58.977035222151599"/>
    <x v="4"/>
  </r>
  <r>
    <s v="Regular"/>
    <x v="1"/>
    <x v="2"/>
    <x v="2"/>
    <x v="3"/>
    <x v="0"/>
    <x v="0"/>
    <x v="2"/>
    <x v="5"/>
    <n v="0"/>
    <n v="0"/>
    <n v="8.5039999999999996"/>
    <n v="8.5039999999999996"/>
    <n v="8.5039999999999996"/>
    <n v="8.5039999999999996"/>
    <n v="24"/>
    <s v="CATIVO"/>
    <n v="0"/>
    <n v="0"/>
    <n v="12"/>
    <n v="77"/>
    <n v="0"/>
    <n v="124.73"/>
    <n v="88.28"/>
    <m/>
    <n v="115.93231301511172"/>
    <n v="87.898656943938946"/>
    <n v="0"/>
    <n v="3364.0123200000003"/>
    <n v="0"/>
    <n v="3219.1316272732811"/>
    <x v="4"/>
  </r>
  <r>
    <s v="Sistema de Compensação"/>
    <x v="1"/>
    <x v="2"/>
    <x v="2"/>
    <x v="3"/>
    <x v="0"/>
    <x v="0"/>
    <x v="2"/>
    <x v="5"/>
    <n v="0"/>
    <n v="0"/>
    <n v="6.2E-2"/>
    <n v="-9.9199999999999997E-2"/>
    <n v="6.2E-2"/>
    <n v="-9.9199999999999997E-2"/>
    <n v="0"/>
    <s v="CATIVO"/>
    <n v="0"/>
    <n v="0"/>
    <n v="12"/>
    <n v="77"/>
    <n v="0"/>
    <n v="124.73"/>
    <n v="88.28"/>
    <m/>
    <n v="115.93231301511172"/>
    <n v="87.898656943938946"/>
    <n v="0"/>
    <n v="58.863172000000006"/>
    <n v="0"/>
    <n v="56.327232612683943"/>
    <x v="4"/>
  </r>
  <r>
    <s v="Regular"/>
    <x v="1"/>
    <x v="2"/>
    <x v="2"/>
    <x v="3"/>
    <x v="0"/>
    <x v="0"/>
    <x v="2"/>
    <x v="6"/>
    <n v="0"/>
    <n v="0"/>
    <n v="8.67"/>
    <n v="8.67"/>
    <n v="8.67"/>
    <n v="8.67"/>
    <n v="21"/>
    <s v="CATIVO"/>
    <n v="0"/>
    <n v="0"/>
    <n v="12"/>
    <n v="77"/>
    <n v="0"/>
    <n v="124.73"/>
    <n v="88.28"/>
    <m/>
    <n v="115.93231301511172"/>
    <n v="87.898656943938946"/>
    <n v="0"/>
    <n v="3429.6786000000002"/>
    <n v="0"/>
    <n v="3281.969803440657"/>
    <x v="4"/>
  </r>
  <r>
    <s v="Sistema de Compensação"/>
    <x v="1"/>
    <x v="2"/>
    <x v="2"/>
    <x v="3"/>
    <x v="0"/>
    <x v="0"/>
    <x v="2"/>
    <x v="6"/>
    <n v="0"/>
    <n v="0"/>
    <n v="5.3999999999999999E-2"/>
    <n v="-8.6400000000000005E-2"/>
    <n v="5.3999999999999999E-2"/>
    <n v="-8.6400000000000005E-2"/>
    <n v="0"/>
    <s v="CATIVO"/>
    <n v="0"/>
    <n v="0"/>
    <n v="12"/>
    <n v="77"/>
    <n v="0"/>
    <n v="124.73"/>
    <n v="88.28"/>
    <m/>
    <n v="115.93231301511172"/>
    <n v="87.898656943938946"/>
    <n v="0"/>
    <n v="51.267924000000001"/>
    <n v="0"/>
    <n v="49.059202598144083"/>
    <x v="4"/>
  </r>
  <r>
    <s v="Regular"/>
    <x v="1"/>
    <x v="2"/>
    <x v="2"/>
    <x v="3"/>
    <x v="0"/>
    <x v="0"/>
    <x v="2"/>
    <x v="7"/>
    <n v="0"/>
    <n v="0"/>
    <n v="8.73"/>
    <n v="8.73"/>
    <n v="8.73"/>
    <n v="8.73"/>
    <n v="14"/>
    <s v="CATIVO"/>
    <n v="0"/>
    <n v="0"/>
    <n v="12"/>
    <n v="77"/>
    <n v="0"/>
    <n v="124.73"/>
    <n v="88.28"/>
    <m/>
    <n v="115.93231301511172"/>
    <n v="87.898656943938946"/>
    <n v="0"/>
    <n v="3453.4134000000004"/>
    <n v="0"/>
    <n v="3304.6823972360944"/>
    <x v="4"/>
  </r>
  <r>
    <s v="Sistema de Compensação"/>
    <x v="1"/>
    <x v="2"/>
    <x v="2"/>
    <x v="3"/>
    <x v="0"/>
    <x v="0"/>
    <x v="2"/>
    <x v="7"/>
    <n v="0"/>
    <n v="0"/>
    <n v="0.06"/>
    <n v="-9.6000000000000002E-2"/>
    <n v="0.06"/>
    <n v="-9.6000000000000002E-2"/>
    <n v="0"/>
    <s v="CATIVO"/>
    <n v="0"/>
    <n v="0"/>
    <n v="12"/>
    <n v="77"/>
    <n v="0"/>
    <n v="124.73"/>
    <n v="88.28"/>
    <m/>
    <n v="115.93231301511172"/>
    <n v="87.898656943938946"/>
    <n v="0"/>
    <n v="56.964359999999999"/>
    <n v="0"/>
    <n v="54.510225109048974"/>
    <x v="4"/>
  </r>
  <r>
    <s v="Regular"/>
    <x v="1"/>
    <x v="2"/>
    <x v="2"/>
    <x v="3"/>
    <x v="0"/>
    <x v="0"/>
    <x v="2"/>
    <x v="8"/>
    <n v="0"/>
    <n v="0"/>
    <n v="9.06"/>
    <n v="9.06"/>
    <n v="9.06"/>
    <n v="9.06"/>
    <n v="13"/>
    <s v="CATIVO"/>
    <n v="0"/>
    <n v="0"/>
    <n v="12"/>
    <n v="77"/>
    <n v="0"/>
    <n v="124.73"/>
    <n v="88.28"/>
    <m/>
    <n v="115.93231301511172"/>
    <n v="87.898656943938946"/>
    <n v="0"/>
    <n v="3583.9548000000004"/>
    <n v="0"/>
    <n v="3429.6016631109983"/>
    <x v="4"/>
  </r>
  <r>
    <s v="Sistema de Compensação"/>
    <x v="1"/>
    <x v="2"/>
    <x v="2"/>
    <x v="3"/>
    <x v="0"/>
    <x v="0"/>
    <x v="2"/>
    <x v="8"/>
    <n v="0"/>
    <n v="0"/>
    <n v="0.06"/>
    <n v="-5.7000000000000002E-2"/>
    <n v="0.06"/>
    <n v="-5.7000000000000002E-2"/>
    <n v="0"/>
    <s v="CATIVO"/>
    <n v="0"/>
    <n v="0"/>
    <n v="12"/>
    <n v="77"/>
    <n v="0"/>
    <n v="124.73"/>
    <n v="88.28"/>
    <m/>
    <n v="115.93231301511172"/>
    <n v="87.898656943938946"/>
    <n v="0"/>
    <n v="48.656970000000001"/>
    <n v="0"/>
    <n v="46.560817280645999"/>
    <x v="4"/>
  </r>
  <r>
    <s v="Regular"/>
    <x v="1"/>
    <x v="2"/>
    <x v="2"/>
    <x v="3"/>
    <x v="0"/>
    <x v="0"/>
    <x v="2"/>
    <x v="9"/>
    <n v="0"/>
    <n v="0"/>
    <n v="9.2100000000000009"/>
    <n v="9.2100000000000009"/>
    <n v="9.2100000000000009"/>
    <n v="9.2100000000000009"/>
    <n v="14"/>
    <s v="CATIVO"/>
    <n v="0"/>
    <n v="0"/>
    <n v="12"/>
    <n v="77"/>
    <n v="0"/>
    <n v="124.73"/>
    <n v="88.28"/>
    <m/>
    <n v="115.93231301511172"/>
    <n v="87.898656943938946"/>
    <n v="0"/>
    <n v="3643.2918000000009"/>
    <n v="0"/>
    <n v="3486.3831475995912"/>
    <x v="4"/>
  </r>
  <r>
    <s v="Sistema de Compensação"/>
    <x v="1"/>
    <x v="2"/>
    <x v="2"/>
    <x v="3"/>
    <x v="0"/>
    <x v="0"/>
    <x v="2"/>
    <x v="9"/>
    <n v="0"/>
    <n v="0"/>
    <n v="0.06"/>
    <n v="-5.7000000000000002E-2"/>
    <n v="0.06"/>
    <n v="-5.7000000000000002E-2"/>
    <n v="0"/>
    <s v="CATIVO"/>
    <n v="0"/>
    <n v="0"/>
    <n v="12"/>
    <n v="77"/>
    <n v="0"/>
    <n v="124.73"/>
    <n v="88.28"/>
    <m/>
    <n v="115.93231301511172"/>
    <n v="87.898656943938946"/>
    <n v="0"/>
    <n v="48.656970000000001"/>
    <n v="0"/>
    <n v="46.560817280645999"/>
    <x v="4"/>
  </r>
  <r>
    <s v="Regular"/>
    <x v="1"/>
    <x v="2"/>
    <x v="2"/>
    <x v="3"/>
    <x v="0"/>
    <x v="0"/>
    <x v="2"/>
    <x v="0"/>
    <n v="0"/>
    <n v="0"/>
    <n v="9.33"/>
    <n v="9.33"/>
    <n v="9.33"/>
    <n v="9.33"/>
    <n v="8"/>
    <s v="CATIVO"/>
    <n v="0"/>
    <n v="0"/>
    <n v="12"/>
    <n v="77"/>
    <n v="0"/>
    <n v="124.73"/>
    <n v="88.28"/>
    <m/>
    <n v="115.93231301511172"/>
    <n v="87.898656943938946"/>
    <n v="0"/>
    <n v="3690.7614000000003"/>
    <n v="0"/>
    <n v="3531.8083351904652"/>
    <x v="4"/>
  </r>
  <r>
    <s v="Sistema de Compensação"/>
    <x v="1"/>
    <x v="2"/>
    <x v="2"/>
    <x v="3"/>
    <x v="0"/>
    <x v="0"/>
    <x v="2"/>
    <x v="0"/>
    <n v="0"/>
    <n v="0"/>
    <n v="0.09"/>
    <n v="-8.5500000000000007E-2"/>
    <n v="0.09"/>
    <n v="-8.5500000000000007E-2"/>
    <n v="0"/>
    <s v="CATIVO"/>
    <n v="0"/>
    <n v="0"/>
    <n v="12"/>
    <n v="77"/>
    <n v="0"/>
    <n v="124.73"/>
    <n v="88.28"/>
    <m/>
    <n v="115.93231301511172"/>
    <n v="87.898656943938946"/>
    <n v="0"/>
    <n v="72.985455000000002"/>
    <n v="0"/>
    <n v="69.841225920968995"/>
    <x v="4"/>
  </r>
  <r>
    <s v="Regular"/>
    <x v="1"/>
    <x v="2"/>
    <x v="2"/>
    <x v="3"/>
    <x v="0"/>
    <x v="0"/>
    <x v="2"/>
    <x v="1"/>
    <n v="0"/>
    <n v="0"/>
    <n v="9.6300000000000008"/>
    <n v="9.6300000000000008"/>
    <n v="9.6300000000000008"/>
    <n v="9.6300000000000008"/>
    <n v="14"/>
    <s v="CATIVO"/>
    <n v="0"/>
    <n v="0"/>
    <n v="12"/>
    <n v="77"/>
    <n v="0"/>
    <n v="124.73"/>
    <n v="88.28"/>
    <m/>
    <n v="115.93231301511172"/>
    <n v="87.898656943938946"/>
    <n v="0"/>
    <n v="3809.4354000000008"/>
    <n v="0"/>
    <n v="3645.3713041676506"/>
    <x v="4"/>
  </r>
  <r>
    <s v="Sistema de Compensação"/>
    <x v="1"/>
    <x v="2"/>
    <x v="2"/>
    <x v="3"/>
    <x v="0"/>
    <x v="0"/>
    <x v="2"/>
    <x v="1"/>
    <n v="0"/>
    <n v="0"/>
    <n v="0.09"/>
    <n v="-0.14399999999999999"/>
    <n v="0.09"/>
    <n v="-0.14399999999999999"/>
    <n v="0"/>
    <s v="CATIVO"/>
    <n v="0"/>
    <n v="0"/>
    <n v="12"/>
    <n v="77"/>
    <n v="0"/>
    <n v="124.73"/>
    <n v="88.28"/>
    <m/>
    <n v="115.93231301511172"/>
    <n v="87.898656943938946"/>
    <n v="0"/>
    <n v="85.446539999999999"/>
    <n v="0"/>
    <n v="81.765337663573462"/>
    <x v="4"/>
  </r>
  <r>
    <s v="Regular"/>
    <x v="1"/>
    <x v="2"/>
    <x v="2"/>
    <x v="3"/>
    <x v="0"/>
    <x v="0"/>
    <x v="2"/>
    <x v="2"/>
    <n v="0"/>
    <n v="0"/>
    <n v="22.948"/>
    <n v="22.948"/>
    <n v="22.948"/>
    <n v="22.948"/>
    <n v="68"/>
    <s v="CATIVO"/>
    <n v="0"/>
    <n v="0"/>
    <n v="12"/>
    <n v="77"/>
    <n v="0"/>
    <n v="124.73"/>
    <n v="88.28"/>
    <m/>
    <n v="115.93231301511172"/>
    <n v="87.898656943938946"/>
    <n v="0"/>
    <n v="9077.7698400000008"/>
    <n v="0"/>
    <n v="8686.810040294833"/>
    <x v="4"/>
  </r>
  <r>
    <s v="Sistema de Compensação"/>
    <x v="1"/>
    <x v="2"/>
    <x v="2"/>
    <x v="3"/>
    <x v="0"/>
    <x v="0"/>
    <x v="2"/>
    <x v="2"/>
    <n v="0"/>
    <n v="0"/>
    <n v="8.8999999999999996E-2"/>
    <n v="-0.54735"/>
    <n v="8.8999999999999996E-2"/>
    <n v="-0.54735"/>
    <n v="0"/>
    <s v="CATIVO"/>
    <n v="0"/>
    <n v="0"/>
    <n v="12"/>
    <n v="77"/>
    <n v="0"/>
    <n v="124.73"/>
    <n v="88.28"/>
    <m/>
    <n v="115.93231301511172"/>
    <n v="87.898656943938946"/>
    <n v="0"/>
    <n v="170.75553350000001"/>
    <n v="0"/>
    <n v="163.39818519667355"/>
    <x v="4"/>
  </r>
  <r>
    <s v="Regular"/>
    <x v="1"/>
    <x v="2"/>
    <x v="2"/>
    <x v="3"/>
    <x v="0"/>
    <x v="0"/>
    <x v="2"/>
    <x v="3"/>
    <n v="0"/>
    <n v="0"/>
    <n v="23.457000000000001"/>
    <n v="23.457000000000001"/>
    <n v="23.457000000000001"/>
    <n v="23.457000000000001"/>
    <n v="74"/>
    <s v="CATIVO"/>
    <n v="0"/>
    <n v="0"/>
    <n v="12"/>
    <n v="77"/>
    <n v="0"/>
    <n v="124.73"/>
    <n v="88.28"/>
    <m/>
    <n v="115.93231301511172"/>
    <n v="87.898656943938946"/>
    <n v="0"/>
    <n v="9279.1200600000011"/>
    <n v="0"/>
    <n v="8879.4885443261246"/>
    <x v="4"/>
  </r>
  <r>
    <s v="Sistema de Compensação"/>
    <x v="1"/>
    <x v="2"/>
    <x v="2"/>
    <x v="3"/>
    <x v="0"/>
    <x v="0"/>
    <x v="2"/>
    <x v="3"/>
    <n v="0"/>
    <n v="0"/>
    <n v="0.19900000000000001"/>
    <n v="-1.2238500000000001"/>
    <n v="0.19900000000000001"/>
    <n v="-1.2238500000000001"/>
    <n v="0"/>
    <s v="CATIVO"/>
    <n v="0"/>
    <n v="0"/>
    <n v="12"/>
    <n v="77"/>
    <n v="0"/>
    <n v="124.73"/>
    <n v="88.28"/>
    <m/>
    <n v="115.93231301511172"/>
    <n v="87.898656943938946"/>
    <n v="0"/>
    <n v="381.80169850000004"/>
    <n v="0"/>
    <n v="365.35099836110157"/>
    <x v="4"/>
  </r>
  <r>
    <s v="Regular"/>
    <x v="1"/>
    <x v="2"/>
    <x v="2"/>
    <x v="3"/>
    <x v="0"/>
    <x v="0"/>
    <x v="2"/>
    <x v="4"/>
    <n v="0"/>
    <n v="0"/>
    <n v="24.93"/>
    <n v="24.93"/>
    <n v="24.93"/>
    <n v="24.93"/>
    <n v="96"/>
    <s v="CATIVO"/>
    <n v="0"/>
    <n v="0"/>
    <n v="12"/>
    <n v="77"/>
    <n v="0"/>
    <n v="124.73"/>
    <n v="88.28"/>
    <m/>
    <n v="115.93231301511172"/>
    <n v="87.898656943938946"/>
    <n v="0"/>
    <n v="9861.8094000000001"/>
    <n v="0"/>
    <n v="9437.0827220041047"/>
    <x v="4"/>
  </r>
  <r>
    <s v="Sistema de Compensação"/>
    <x v="1"/>
    <x v="2"/>
    <x v="2"/>
    <x v="3"/>
    <x v="0"/>
    <x v="0"/>
    <x v="2"/>
    <x v="4"/>
    <n v="0"/>
    <n v="0"/>
    <n v="0.26300000000000001"/>
    <n v="-1.6174500000000001"/>
    <n v="0.26300000000000001"/>
    <n v="-1.6174500000000001"/>
    <n v="0"/>
    <s v="CATIVO"/>
    <n v="0"/>
    <n v="0"/>
    <n v="12"/>
    <n v="77"/>
    <n v="0"/>
    <n v="124.73"/>
    <n v="88.28"/>
    <m/>
    <n v="115.93231301511172"/>
    <n v="87.898656943938946"/>
    <n v="0"/>
    <n v="504.59219450000006"/>
    <n v="0"/>
    <n v="482.85081692949603"/>
    <x v="4"/>
  </r>
  <r>
    <s v="Regular"/>
    <x v="1"/>
    <x v="2"/>
    <x v="2"/>
    <x v="4"/>
    <x v="0"/>
    <x v="0"/>
    <x v="2"/>
    <x v="10"/>
    <n v="0"/>
    <n v="0"/>
    <n v="13.337999999999999"/>
    <n v="13.337999999999999"/>
    <n v="13.337999999999999"/>
    <n v="13.337999999999999"/>
    <n v="110"/>
    <s v="CATIVO"/>
    <n v="0"/>
    <n v="0"/>
    <n v="55"/>
    <n v="50"/>
    <n v="0"/>
    <n v="213.82"/>
    <n v="151.33000000000001"/>
    <m/>
    <n v="198.74110802590579"/>
    <n v="150.68341190389535"/>
    <n v="0"/>
    <n v="3247.00272"/>
    <n v="0"/>
    <n v="3107.0828312157919"/>
    <x v="4"/>
  </r>
  <r>
    <s v="Sistema de Compensação"/>
    <x v="1"/>
    <x v="2"/>
    <x v="2"/>
    <x v="4"/>
    <x v="0"/>
    <x v="0"/>
    <x v="2"/>
    <x v="10"/>
    <n v="0"/>
    <n v="0"/>
    <n v="4.2999999999999997E-2"/>
    <n v="-8.6E-3"/>
    <n v="4.2999999999999997E-2"/>
    <n v="-8.6E-3"/>
    <n v="0"/>
    <s v="CATIVO"/>
    <n v="0"/>
    <n v="0"/>
    <n v="55"/>
    <n v="50"/>
    <n v="0"/>
    <n v="213.82"/>
    <n v="151.33000000000001"/>
    <m/>
    <n v="198.74110802590579"/>
    <n v="150.68341190389535"/>
    <n v="0"/>
    <n v="29.309659999999997"/>
    <n v="0"/>
    <n v="28.047141466365368"/>
    <x v="4"/>
  </r>
  <r>
    <s v="Regular"/>
    <x v="1"/>
    <x v="2"/>
    <x v="2"/>
    <x v="4"/>
    <x v="0"/>
    <x v="0"/>
    <x v="2"/>
    <x v="11"/>
    <n v="0"/>
    <n v="0"/>
    <n v="14.515000000000001"/>
    <n v="14.515000000000001"/>
    <n v="14.515000000000001"/>
    <n v="14.515000000000001"/>
    <n v="113"/>
    <s v="CATIVO"/>
    <n v="0"/>
    <n v="0"/>
    <n v="55"/>
    <n v="50"/>
    <n v="0"/>
    <n v="213.82"/>
    <n v="151.33000000000001"/>
    <m/>
    <n v="198.74110802590579"/>
    <n v="150.68341190389535"/>
    <n v="0"/>
    <n v="3533.5316000000007"/>
    <n v="0"/>
    <n v="3381.2646045207093"/>
    <x v="4"/>
  </r>
  <r>
    <s v="Regular"/>
    <x v="1"/>
    <x v="2"/>
    <x v="2"/>
    <x v="4"/>
    <x v="0"/>
    <x v="0"/>
    <x v="2"/>
    <x v="5"/>
    <n v="0"/>
    <n v="0"/>
    <n v="15.045"/>
    <n v="15.045"/>
    <n v="15.045"/>
    <n v="15.045"/>
    <n v="102"/>
    <s v="CATIVO"/>
    <n v="0"/>
    <n v="0"/>
    <n v="55"/>
    <n v="50"/>
    <n v="0"/>
    <n v="213.82"/>
    <n v="151.33000000000001"/>
    <m/>
    <n v="198.74110802590579"/>
    <n v="150.68341190389535"/>
    <n v="0"/>
    <n v="3662.5548000000003"/>
    <n v="0"/>
    <n v="3504.7279348959059"/>
    <x v="4"/>
  </r>
  <r>
    <s v="Sistema de Compensação"/>
    <x v="1"/>
    <x v="2"/>
    <x v="2"/>
    <x v="4"/>
    <x v="0"/>
    <x v="0"/>
    <x v="2"/>
    <x v="5"/>
    <n v="0"/>
    <n v="0"/>
    <n v="1.0999999999999999E-2"/>
    <n v="-6.6E-3"/>
    <n v="1.0999999999999999E-2"/>
    <n v="-6.6E-3"/>
    <n v="0"/>
    <s v="CATIVO"/>
    <n v="0"/>
    <n v="0"/>
    <n v="55"/>
    <n v="50"/>
    <n v="0"/>
    <n v="213.82"/>
    <n v="151.33000000000001"/>
    <m/>
    <n v="198.74110802590579"/>
    <n v="150.68341190389535"/>
    <n v="0"/>
    <n v="9.1044799999999988"/>
    <n v="0"/>
    <n v="8.7123180302497083"/>
    <x v="4"/>
  </r>
  <r>
    <s v="Regular"/>
    <x v="1"/>
    <x v="2"/>
    <x v="2"/>
    <x v="4"/>
    <x v="0"/>
    <x v="0"/>
    <x v="2"/>
    <x v="6"/>
    <n v="0"/>
    <n v="0"/>
    <n v="15.439"/>
    <n v="15.439"/>
    <n v="15.439"/>
    <n v="15.439"/>
    <n v="108"/>
    <s v="CATIVO"/>
    <n v="0"/>
    <n v="0"/>
    <n v="55"/>
    <n v="50"/>
    <n v="0"/>
    <n v="213.82"/>
    <n v="151.33000000000001"/>
    <m/>
    <n v="198.74110802590579"/>
    <n v="150.68341190389535"/>
    <n v="0"/>
    <n v="3758.4701600000003"/>
    <n v="0"/>
    <n v="3596.5101087974667"/>
    <x v="4"/>
  </r>
  <r>
    <s v="Regular"/>
    <x v="1"/>
    <x v="2"/>
    <x v="2"/>
    <x v="4"/>
    <x v="0"/>
    <x v="0"/>
    <x v="2"/>
    <x v="7"/>
    <n v="0"/>
    <n v="0"/>
    <n v="16.474"/>
    <n v="16.474"/>
    <n v="16.474"/>
    <n v="16.474"/>
    <n v="97"/>
    <s v="CATIVO"/>
    <n v="0"/>
    <n v="0"/>
    <n v="55"/>
    <n v="50"/>
    <n v="0"/>
    <n v="213.82"/>
    <n v="151.33000000000001"/>
    <m/>
    <n v="198.74110802590579"/>
    <n v="150.68341190389535"/>
    <n v="0"/>
    <n v="4010.4305600000007"/>
    <n v="0"/>
    <n v="3837.61302754903"/>
    <x v="4"/>
  </r>
  <r>
    <s v="Sistema de Compensação"/>
    <x v="1"/>
    <x v="2"/>
    <x v="2"/>
    <x v="4"/>
    <x v="0"/>
    <x v="0"/>
    <x v="2"/>
    <x v="7"/>
    <n v="0"/>
    <n v="0"/>
    <n v="1.2E-2"/>
    <n v="-7.1999999999999998E-3"/>
    <n v="1.2E-2"/>
    <n v="-7.1999999999999998E-3"/>
    <n v="0"/>
    <s v="CATIVO"/>
    <n v="0"/>
    <n v="0"/>
    <n v="55"/>
    <n v="50"/>
    <n v="0"/>
    <n v="213.82"/>
    <n v="151.33000000000001"/>
    <m/>
    <n v="198.74110802590579"/>
    <n v="150.68341190389535"/>
    <n v="0"/>
    <n v="9.9321599999999997"/>
    <n v="0"/>
    <n v="9.5043469420905922"/>
    <x v="4"/>
  </r>
  <r>
    <s v="Regular"/>
    <x v="1"/>
    <x v="2"/>
    <x v="2"/>
    <x v="4"/>
    <x v="0"/>
    <x v="0"/>
    <x v="2"/>
    <x v="8"/>
    <n v="0"/>
    <n v="0"/>
    <n v="17.369"/>
    <n v="17.369"/>
    <n v="17.369"/>
    <n v="17.369"/>
    <n v="100"/>
    <s v="CATIVO"/>
    <n v="0"/>
    <n v="0"/>
    <n v="55"/>
    <n v="50"/>
    <n v="0"/>
    <n v="213.82"/>
    <n v="151.33000000000001"/>
    <m/>
    <n v="198.74110802590579"/>
    <n v="150.68341190389535"/>
    <n v="0"/>
    <n v="4228.3093600000002"/>
    <n v="0"/>
    <n v="4046.1029911071446"/>
    <x v="4"/>
  </r>
  <r>
    <s v="Sistema de Compensação"/>
    <x v="1"/>
    <x v="2"/>
    <x v="2"/>
    <x v="4"/>
    <x v="0"/>
    <x v="0"/>
    <x v="2"/>
    <x v="8"/>
    <n v="0"/>
    <n v="0"/>
    <n v="0.14000000000000001"/>
    <n v="-2.8000000000000001E-2"/>
    <n v="0.14000000000000001"/>
    <n v="-2.8000000000000001E-2"/>
    <n v="0"/>
    <s v="CATIVO"/>
    <n v="0"/>
    <n v="0"/>
    <n v="55"/>
    <n v="50"/>
    <n v="0"/>
    <n v="213.82"/>
    <n v="151.33000000000001"/>
    <m/>
    <n v="198.74110802590579"/>
    <n v="150.68341190389535"/>
    <n v="0"/>
    <n v="95.426800000000014"/>
    <n v="0"/>
    <n v="91.316274541654707"/>
    <x v="4"/>
  </r>
  <r>
    <s v="Regular"/>
    <x v="1"/>
    <x v="2"/>
    <x v="2"/>
    <x v="4"/>
    <x v="0"/>
    <x v="0"/>
    <x v="2"/>
    <x v="9"/>
    <n v="0"/>
    <n v="0"/>
    <n v="18.405999999999999"/>
    <n v="18.405999999999999"/>
    <n v="18.405999999999999"/>
    <n v="18.405999999999999"/>
    <n v="75"/>
    <s v="CATIVO"/>
    <n v="0"/>
    <n v="0"/>
    <n v="55"/>
    <n v="50"/>
    <n v="0"/>
    <n v="213.82"/>
    <n v="151.33000000000001"/>
    <m/>
    <n v="198.74110802590579"/>
    <n v="150.68341190389535"/>
    <n v="0"/>
    <n v="4480.7566400000005"/>
    <n v="0"/>
    <n v="4287.6718092186138"/>
    <x v="4"/>
  </r>
  <r>
    <s v="Sistema de Compensação"/>
    <x v="1"/>
    <x v="2"/>
    <x v="2"/>
    <x v="4"/>
    <x v="0"/>
    <x v="0"/>
    <x v="2"/>
    <x v="9"/>
    <n v="0"/>
    <n v="0"/>
    <n v="0.14000000000000001"/>
    <n v="-2.8000000000000001E-2"/>
    <n v="0.14000000000000001"/>
    <n v="-2.8000000000000001E-2"/>
    <n v="0"/>
    <s v="CATIVO"/>
    <n v="0"/>
    <n v="0"/>
    <n v="55"/>
    <n v="50"/>
    <n v="0"/>
    <n v="213.82"/>
    <n v="151.33000000000001"/>
    <m/>
    <n v="198.74110802590579"/>
    <n v="150.68341190389535"/>
    <n v="0"/>
    <n v="95.426800000000014"/>
    <n v="0"/>
    <n v="91.316274541654707"/>
    <x v="4"/>
  </r>
  <r>
    <s v="Regular"/>
    <x v="1"/>
    <x v="2"/>
    <x v="2"/>
    <x v="4"/>
    <x v="0"/>
    <x v="0"/>
    <x v="2"/>
    <x v="0"/>
    <n v="0"/>
    <n v="0"/>
    <n v="18.997"/>
    <n v="18.997"/>
    <n v="18.997"/>
    <n v="18.997"/>
    <n v="70"/>
    <s v="CATIVO"/>
    <n v="0"/>
    <n v="0"/>
    <n v="55"/>
    <n v="50"/>
    <n v="0"/>
    <n v="213.82"/>
    <n v="151.33000000000001"/>
    <m/>
    <n v="198.74110802590579"/>
    <n v="150.68341190389535"/>
    <n v="0"/>
    <n v="4624.6296800000009"/>
    <n v="0"/>
    <n v="4425.3450700709554"/>
    <x v="4"/>
  </r>
  <r>
    <s v="Sistema de Compensação"/>
    <x v="1"/>
    <x v="2"/>
    <x v="2"/>
    <x v="4"/>
    <x v="0"/>
    <x v="0"/>
    <x v="2"/>
    <x v="0"/>
    <n v="0"/>
    <n v="0"/>
    <n v="0.14000000000000001"/>
    <n v="-2.8000000000000001E-2"/>
    <n v="0.14000000000000001"/>
    <n v="-2.8000000000000001E-2"/>
    <n v="0"/>
    <s v="CATIVO"/>
    <n v="0"/>
    <n v="0"/>
    <n v="55"/>
    <n v="50"/>
    <n v="0"/>
    <n v="213.82"/>
    <n v="151.33000000000001"/>
    <m/>
    <n v="198.74110802590579"/>
    <n v="150.68341190389535"/>
    <n v="0"/>
    <n v="95.426800000000014"/>
    <n v="0"/>
    <n v="91.316274541654707"/>
    <x v="4"/>
  </r>
  <r>
    <s v="Regular"/>
    <x v="1"/>
    <x v="2"/>
    <x v="2"/>
    <x v="4"/>
    <x v="0"/>
    <x v="0"/>
    <x v="2"/>
    <x v="1"/>
    <n v="0"/>
    <n v="0"/>
    <n v="19.401"/>
    <n v="19.401"/>
    <n v="19.401"/>
    <n v="19.401"/>
    <n v="73"/>
    <s v="CATIVO"/>
    <n v="0"/>
    <n v="0"/>
    <n v="55"/>
    <n v="50"/>
    <n v="0"/>
    <n v="213.82"/>
    <n v="151.33000000000001"/>
    <m/>
    <n v="198.74110802590579"/>
    <n v="150.68341190389535"/>
    <n v="0"/>
    <n v="4722.9794400000001"/>
    <n v="0"/>
    <n v="4519.4567407720488"/>
    <x v="4"/>
  </r>
  <r>
    <s v="Sistema de Compensação"/>
    <x v="1"/>
    <x v="2"/>
    <x v="2"/>
    <x v="4"/>
    <x v="0"/>
    <x v="0"/>
    <x v="2"/>
    <x v="1"/>
    <n v="0"/>
    <n v="0"/>
    <n v="0.14000000000000001"/>
    <n v="-8.4000000000000005E-2"/>
    <n v="0.14000000000000001"/>
    <n v="-8.4000000000000005E-2"/>
    <n v="0"/>
    <s v="CATIVO"/>
    <n v="0"/>
    <n v="0"/>
    <n v="55"/>
    <n v="50"/>
    <n v="0"/>
    <n v="213.82"/>
    <n v="151.33000000000001"/>
    <m/>
    <n v="198.74110802590579"/>
    <n v="150.68341190389535"/>
    <n v="0"/>
    <n v="115.87520000000002"/>
    <n v="0"/>
    <n v="110.88404765772358"/>
    <x v="4"/>
  </r>
  <r>
    <s v="Regular"/>
    <x v="1"/>
    <x v="2"/>
    <x v="2"/>
    <x v="4"/>
    <x v="0"/>
    <x v="0"/>
    <x v="2"/>
    <x v="2"/>
    <n v="0"/>
    <n v="0"/>
    <n v="40.292999999999999"/>
    <n v="40.292999999999999"/>
    <n v="40.292999999999999"/>
    <n v="40.292999999999999"/>
    <n v="258"/>
    <s v="CATIVO"/>
    <n v="0"/>
    <n v="0"/>
    <n v="55"/>
    <n v="50"/>
    <n v="0"/>
    <n v="213.82"/>
    <n v="151.33000000000001"/>
    <m/>
    <n v="198.74110802590579"/>
    <n v="150.68341190389535"/>
    <n v="0"/>
    <n v="9808.9279200000001"/>
    <n v="0"/>
    <n v="9386.2414543543182"/>
    <x v="4"/>
  </r>
  <r>
    <s v="Sistema de Compensação"/>
    <x v="1"/>
    <x v="2"/>
    <x v="2"/>
    <x v="4"/>
    <x v="0"/>
    <x v="0"/>
    <x v="2"/>
    <x v="2"/>
    <n v="0"/>
    <n v="0"/>
    <n v="4.2999999999999997E-2"/>
    <n v="-0.1462"/>
    <n v="4.2999999999999997E-2"/>
    <n v="-0.1462"/>
    <n v="2"/>
    <s v="CATIVO"/>
    <n v="0"/>
    <n v="0"/>
    <n v="55"/>
    <n v="50"/>
    <n v="0"/>
    <n v="213.82"/>
    <n v="151.33000000000001"/>
    <m/>
    <n v="198.74110802590579"/>
    <n v="150.68341190389535"/>
    <n v="0"/>
    <n v="79.554299999999984"/>
    <n v="0"/>
    <n v="76.127955408706001"/>
    <x v="4"/>
  </r>
  <r>
    <s v="Regular"/>
    <x v="1"/>
    <x v="2"/>
    <x v="2"/>
    <x v="4"/>
    <x v="0"/>
    <x v="0"/>
    <x v="2"/>
    <x v="3"/>
    <n v="0"/>
    <n v="0"/>
    <n v="40.398000000000003"/>
    <n v="40.398000000000003"/>
    <n v="40.398000000000003"/>
    <n v="40.398000000000003"/>
    <n v="278"/>
    <s v="CATIVO"/>
    <n v="0"/>
    <n v="0"/>
    <n v="55"/>
    <n v="50"/>
    <n v="0"/>
    <n v="213.82"/>
    <n v="151.33000000000001"/>
    <m/>
    <n v="198.74110802590579"/>
    <n v="150.68341190389535"/>
    <n v="0"/>
    <n v="9834.489120000002"/>
    <n v="0"/>
    <n v="9410.7011707494057"/>
    <x v="4"/>
  </r>
  <r>
    <s v="Refaturamento - Regular"/>
    <x v="1"/>
    <x v="2"/>
    <x v="2"/>
    <x v="4"/>
    <x v="0"/>
    <x v="0"/>
    <x v="2"/>
    <x v="3"/>
    <n v="0"/>
    <n v="0"/>
    <n v="-1.4E-2"/>
    <n v="-1.4E-2"/>
    <n v="-1.4E-2"/>
    <n v="-1.4E-2"/>
    <n v="0"/>
    <s v="CATIVO"/>
    <n v="0"/>
    <n v="0"/>
    <n v="55"/>
    <n v="50"/>
    <n v="0"/>
    <n v="213.82"/>
    <n v="151.33000000000001"/>
    <m/>
    <n v="198.74110802590579"/>
    <n v="150.68341190389535"/>
    <n v="0"/>
    <n v="-3.4081600000000005"/>
    <n v="0"/>
    <n v="-3.2612955193448112"/>
    <x v="4"/>
  </r>
  <r>
    <s v="Sistema de Compensação"/>
    <x v="1"/>
    <x v="2"/>
    <x v="2"/>
    <x v="4"/>
    <x v="0"/>
    <x v="0"/>
    <x v="2"/>
    <x v="3"/>
    <n v="0"/>
    <n v="0"/>
    <n v="0.158"/>
    <n v="-0.53720000000000001"/>
    <n v="0.158"/>
    <n v="-0.53720000000000001"/>
    <n v="2"/>
    <s v="CATIVO"/>
    <n v="0"/>
    <n v="0"/>
    <n v="55"/>
    <n v="50"/>
    <n v="0"/>
    <n v="213.82"/>
    <n v="151.33000000000001"/>
    <m/>
    <n v="198.74110802590579"/>
    <n v="150.68341190389535"/>
    <n v="0"/>
    <n v="292.31580000000002"/>
    <n v="0"/>
    <n v="279.7259756878035"/>
    <x v="4"/>
  </r>
  <r>
    <s v="Regular"/>
    <x v="1"/>
    <x v="2"/>
    <x v="2"/>
    <x v="4"/>
    <x v="0"/>
    <x v="0"/>
    <x v="2"/>
    <x v="4"/>
    <n v="0"/>
    <n v="0"/>
    <n v="40.932000000000002"/>
    <n v="40.932000000000002"/>
    <n v="40.932000000000002"/>
    <n v="40.932000000000002"/>
    <n v="320"/>
    <s v="CATIVO"/>
    <n v="0"/>
    <n v="0"/>
    <n v="55"/>
    <n v="50"/>
    <n v="0"/>
    <n v="213.82"/>
    <n v="151.33000000000001"/>
    <m/>
    <n v="198.74110802590579"/>
    <n v="150.68341190389535"/>
    <n v="0"/>
    <n v="9964.4860800000024"/>
    <n v="0"/>
    <n v="9535.0962998444156"/>
    <x v="4"/>
  </r>
  <r>
    <s v="Sistema de Compensação"/>
    <x v="1"/>
    <x v="2"/>
    <x v="2"/>
    <x v="4"/>
    <x v="0"/>
    <x v="0"/>
    <x v="2"/>
    <x v="4"/>
    <n v="0"/>
    <n v="0"/>
    <n v="0.20200000000000001"/>
    <n v="-0.68679999999999997"/>
    <n v="0.20200000000000001"/>
    <n v="-0.68679999999999997"/>
    <n v="1"/>
    <s v="CATIVO"/>
    <n v="0"/>
    <n v="0"/>
    <n v="55"/>
    <n v="50"/>
    <n v="0"/>
    <n v="213.82"/>
    <n v="151.33000000000001"/>
    <m/>
    <n v="198.74110802590579"/>
    <n v="150.68341190389535"/>
    <n v="0"/>
    <n v="373.72020000000003"/>
    <n v="0"/>
    <n v="357.62434866415379"/>
    <x v="4"/>
  </r>
  <r>
    <s v="Regular"/>
    <x v="1"/>
    <x v="2"/>
    <x v="2"/>
    <x v="5"/>
    <x v="0"/>
    <x v="0"/>
    <x v="2"/>
    <x v="10"/>
    <n v="0"/>
    <n v="0"/>
    <n v="8.3789999999999996"/>
    <n v="8.3789999999999996"/>
    <n v="8.3789999999999996"/>
    <n v="8.3789999999999996"/>
    <n v="106"/>
    <s v="CATIVO"/>
    <n v="0"/>
    <n v="0"/>
    <n v="8"/>
    <n v="46"/>
    <n v="0"/>
    <n v="320.74"/>
    <n v="227"/>
    <m/>
    <n v="298.1116620388587"/>
    <n v="226.02511785584304"/>
    <n v="0"/>
    <n v="509.86215000000016"/>
    <n v="0"/>
    <n v="487.97134208196701"/>
    <x v="4"/>
  </r>
  <r>
    <s v="Regular"/>
    <x v="1"/>
    <x v="2"/>
    <x v="2"/>
    <x v="5"/>
    <x v="0"/>
    <x v="0"/>
    <x v="2"/>
    <x v="11"/>
    <n v="0"/>
    <n v="0"/>
    <n v="9.2449999999999992"/>
    <n v="9.2449999999999992"/>
    <n v="9.2449999999999992"/>
    <n v="9.2449999999999992"/>
    <n v="117"/>
    <s v="CATIVO"/>
    <n v="0"/>
    <n v="0"/>
    <n v="8"/>
    <n v="46"/>
    <n v="0"/>
    <n v="320.74"/>
    <n v="227"/>
    <m/>
    <n v="298.1116620388587"/>
    <n v="226.02511785584304"/>
    <n v="0"/>
    <n v="562.55825000000016"/>
    <n v="0"/>
    <n v="538.40494779183496"/>
    <x v="4"/>
  </r>
  <r>
    <s v="Regular"/>
    <x v="1"/>
    <x v="2"/>
    <x v="2"/>
    <x v="5"/>
    <x v="0"/>
    <x v="0"/>
    <x v="2"/>
    <x v="5"/>
    <n v="0"/>
    <n v="0"/>
    <n v="10.483000000000001"/>
    <n v="10.483000000000001"/>
    <n v="10.483000000000001"/>
    <n v="10.483000000000001"/>
    <n v="131"/>
    <s v="CATIVO"/>
    <n v="0"/>
    <n v="0"/>
    <n v="8"/>
    <n v="46"/>
    <n v="0"/>
    <n v="320.74"/>
    <n v="227"/>
    <m/>
    <n v="298.1116620388587"/>
    <n v="226.02511785584304"/>
    <n v="0"/>
    <n v="637.8905500000003"/>
    <n v="0"/>
    <n v="610.50287373735057"/>
    <x v="4"/>
  </r>
  <r>
    <s v="Regular"/>
    <x v="1"/>
    <x v="2"/>
    <x v="2"/>
    <x v="5"/>
    <x v="0"/>
    <x v="0"/>
    <x v="2"/>
    <x v="6"/>
    <n v="0"/>
    <n v="0"/>
    <n v="10.374000000000001"/>
    <n v="10.374000000000001"/>
    <n v="10.374000000000001"/>
    <n v="10.374000000000001"/>
    <n v="130"/>
    <s v="CATIVO"/>
    <n v="0"/>
    <n v="0"/>
    <n v="8"/>
    <n v="46"/>
    <n v="0"/>
    <n v="320.74"/>
    <n v="227"/>
    <m/>
    <n v="298.1116620388587"/>
    <n v="226.02511785584304"/>
    <n v="0"/>
    <n v="631.25790000000029"/>
    <n v="0"/>
    <n v="604.15499495862593"/>
    <x v="4"/>
  </r>
  <r>
    <s v="Regular"/>
    <x v="1"/>
    <x v="2"/>
    <x v="2"/>
    <x v="5"/>
    <x v="0"/>
    <x v="0"/>
    <x v="2"/>
    <x v="7"/>
    <n v="0"/>
    <n v="0"/>
    <n v="12.676"/>
    <n v="12.676"/>
    <n v="12.676"/>
    <n v="12.676"/>
    <n v="130"/>
    <s v="CATIVO"/>
    <n v="0"/>
    <n v="0"/>
    <n v="8"/>
    <n v="46"/>
    <n v="0"/>
    <n v="320.74"/>
    <n v="227"/>
    <m/>
    <n v="298.1116620388587"/>
    <n v="226.02511785584304"/>
    <n v="0"/>
    <n v="771.33460000000025"/>
    <n v="0"/>
    <n v="738.21753577169284"/>
    <x v="4"/>
  </r>
  <r>
    <s v="Regular"/>
    <x v="1"/>
    <x v="2"/>
    <x v="2"/>
    <x v="5"/>
    <x v="0"/>
    <x v="0"/>
    <x v="2"/>
    <x v="8"/>
    <n v="0"/>
    <n v="0"/>
    <n v="13.093"/>
    <n v="13.093"/>
    <n v="13.093"/>
    <n v="13.093"/>
    <n v="143"/>
    <s v="CATIVO"/>
    <n v="0"/>
    <n v="0"/>
    <n v="8"/>
    <n v="46"/>
    <n v="0"/>
    <n v="320.74"/>
    <n v="227"/>
    <m/>
    <n v="298.1116620388587"/>
    <n v="226.02511785584304"/>
    <n v="0"/>
    <n v="796.70905000000027"/>
    <n v="0"/>
    <n v="762.50253990681404"/>
    <x v="4"/>
  </r>
  <r>
    <s v="Sistema de Compensação"/>
    <x v="1"/>
    <x v="2"/>
    <x v="2"/>
    <x v="5"/>
    <x v="0"/>
    <x v="0"/>
    <x v="2"/>
    <x v="8"/>
    <n v="0"/>
    <n v="0"/>
    <n v="0.13"/>
    <n v="9.0999999999999998E-2"/>
    <n v="0.13"/>
    <n v="9.0999999999999998E-2"/>
    <n v="1"/>
    <s v="CATIVO"/>
    <n v="0"/>
    <n v="0"/>
    <n v="8"/>
    <n v="46"/>
    <n v="0"/>
    <n v="320.74"/>
    <n v="227"/>
    <m/>
    <n v="298.1116620388587"/>
    <n v="226.02511785584304"/>
    <n v="0"/>
    <n v="29.272360000000006"/>
    <n v="0"/>
    <n v="28.012199014372392"/>
    <x v="4"/>
  </r>
  <r>
    <s v="Regular"/>
    <x v="1"/>
    <x v="2"/>
    <x v="2"/>
    <x v="5"/>
    <x v="0"/>
    <x v="0"/>
    <x v="2"/>
    <x v="9"/>
    <n v="0"/>
    <n v="0"/>
    <n v="16.968"/>
    <n v="16.968"/>
    <n v="16.968"/>
    <n v="16.968"/>
    <n v="144"/>
    <s v="CATIVO"/>
    <n v="0"/>
    <n v="0"/>
    <n v="8"/>
    <n v="46"/>
    <n v="0"/>
    <n v="320.74"/>
    <n v="227"/>
    <m/>
    <n v="298.1116620388587"/>
    <n v="226.02511785584304"/>
    <n v="0"/>
    <n v="1032.5028000000004"/>
    <n v="0"/>
    <n v="988.1725423614771"/>
    <x v="4"/>
  </r>
  <r>
    <s v="Sistema de Compensação"/>
    <x v="1"/>
    <x v="2"/>
    <x v="2"/>
    <x v="5"/>
    <x v="0"/>
    <x v="0"/>
    <x v="2"/>
    <x v="9"/>
    <n v="0"/>
    <n v="0"/>
    <n v="0.18"/>
    <n v="0.126"/>
    <n v="0.18"/>
    <n v="0.126"/>
    <n v="0"/>
    <s v="CATIVO"/>
    <n v="0"/>
    <n v="0"/>
    <n v="8"/>
    <n v="46"/>
    <n v="0"/>
    <n v="320.74"/>
    <n v="227"/>
    <m/>
    <n v="298.1116620388587"/>
    <n v="226.02511785584304"/>
    <n v="0"/>
    <n v="40.53096"/>
    <n v="0"/>
    <n v="38.786121712207915"/>
    <x v="4"/>
  </r>
  <r>
    <s v="Regular"/>
    <x v="1"/>
    <x v="2"/>
    <x v="2"/>
    <x v="5"/>
    <x v="0"/>
    <x v="0"/>
    <x v="2"/>
    <x v="0"/>
    <n v="0"/>
    <n v="0"/>
    <n v="18.715"/>
    <n v="18.715"/>
    <n v="18.715"/>
    <n v="18.715"/>
    <n v="138"/>
    <s v="CATIVO"/>
    <n v="0"/>
    <n v="0"/>
    <n v="8"/>
    <n v="46"/>
    <n v="0"/>
    <n v="320.74"/>
    <n v="227"/>
    <m/>
    <n v="298.1116620388587"/>
    <n v="226.02511785584304"/>
    <n v="0"/>
    <n v="1138.8077500000004"/>
    <n v="0"/>
    <n v="1089.9133150810376"/>
    <x v="4"/>
  </r>
  <r>
    <s v="Sistema de Compensação"/>
    <x v="1"/>
    <x v="2"/>
    <x v="2"/>
    <x v="5"/>
    <x v="0"/>
    <x v="0"/>
    <x v="2"/>
    <x v="0"/>
    <n v="0"/>
    <n v="0"/>
    <n v="0.24"/>
    <n v="0.16800000000000001"/>
    <n v="0.24"/>
    <n v="0.16800000000000001"/>
    <n v="0"/>
    <s v="CATIVO"/>
    <n v="0"/>
    <n v="0"/>
    <n v="8"/>
    <n v="46"/>
    <n v="0"/>
    <n v="320.74"/>
    <n v="227"/>
    <m/>
    <n v="298.1116620388587"/>
    <n v="226.02511785584304"/>
    <n v="0"/>
    <n v="54.041279999999993"/>
    <n v="0"/>
    <n v="51.714828949610549"/>
    <x v="4"/>
  </r>
  <r>
    <s v="Regular"/>
    <x v="1"/>
    <x v="2"/>
    <x v="2"/>
    <x v="5"/>
    <x v="0"/>
    <x v="0"/>
    <x v="2"/>
    <x v="1"/>
    <n v="0"/>
    <n v="0"/>
    <n v="18.001999999999999"/>
    <n v="18.001999999999999"/>
    <n v="18.001999999999999"/>
    <n v="18.001999999999999"/>
    <n v="157"/>
    <s v="CATIVO"/>
    <n v="0"/>
    <n v="0"/>
    <n v="8"/>
    <n v="46"/>
    <n v="0"/>
    <n v="320.74"/>
    <n v="227"/>
    <m/>
    <n v="298.1116620388587"/>
    <n v="226.02511785584304"/>
    <n v="0"/>
    <n v="1095.4217000000003"/>
    <n v="0"/>
    <n v="1048.3900346293794"/>
    <x v="4"/>
  </r>
  <r>
    <s v="Sistema de Compensação"/>
    <x v="1"/>
    <x v="2"/>
    <x v="2"/>
    <x v="5"/>
    <x v="0"/>
    <x v="0"/>
    <x v="2"/>
    <x v="1"/>
    <n v="0"/>
    <n v="0"/>
    <n v="0.22800000000000001"/>
    <n v="0.1368"/>
    <n v="0.22800000000000001"/>
    <n v="0.1368"/>
    <n v="0"/>
    <s v="CATIVO"/>
    <n v="0"/>
    <n v="0"/>
    <n v="8"/>
    <n v="46"/>
    <n v="0"/>
    <n v="320.74"/>
    <n v="227"/>
    <m/>
    <n v="298.1116620388587"/>
    <n v="226.02511785584304"/>
    <n v="0"/>
    <n v="63.827688000000009"/>
    <n v="0"/>
    <n v="61.079406083729239"/>
    <x v="4"/>
  </r>
  <r>
    <s v="Regular"/>
    <x v="1"/>
    <x v="2"/>
    <x v="2"/>
    <x v="5"/>
    <x v="0"/>
    <x v="0"/>
    <x v="2"/>
    <x v="2"/>
    <n v="0"/>
    <n v="0"/>
    <n v="28.111999999999998"/>
    <n v="28.111999999999998"/>
    <n v="28.111999999999998"/>
    <n v="28.111999999999998"/>
    <n v="353"/>
    <s v="CATIVO"/>
    <n v="0"/>
    <n v="0"/>
    <n v="8"/>
    <n v="46"/>
    <n v="0"/>
    <n v="320.74"/>
    <n v="227"/>
    <m/>
    <n v="298.1116620388587"/>
    <n v="226.02511785584304"/>
    <n v="0"/>
    <n v="1710.6152000000006"/>
    <n v="0"/>
    <n v="1637.170350711094"/>
    <x v="4"/>
  </r>
  <r>
    <s v="Regular"/>
    <x v="1"/>
    <x v="2"/>
    <x v="2"/>
    <x v="5"/>
    <x v="0"/>
    <x v="0"/>
    <x v="2"/>
    <x v="3"/>
    <n v="0"/>
    <n v="0"/>
    <n v="25.114999999999998"/>
    <n v="25.114999999999998"/>
    <n v="25.114999999999998"/>
    <n v="25.114999999999998"/>
    <n v="363"/>
    <s v="CATIVO"/>
    <n v="0"/>
    <n v="0"/>
    <n v="8"/>
    <n v="46"/>
    <n v="0"/>
    <n v="320.74"/>
    <n v="227"/>
    <m/>
    <n v="298.1116620388587"/>
    <n v="226.02511785584304"/>
    <n v="0"/>
    <n v="1528.2477500000005"/>
    <n v="0"/>
    <n v="1462.6328030061584"/>
    <x v="4"/>
  </r>
  <r>
    <s v="Refaturamento - Regular"/>
    <x v="1"/>
    <x v="2"/>
    <x v="2"/>
    <x v="5"/>
    <x v="0"/>
    <x v="0"/>
    <x v="2"/>
    <x v="3"/>
    <n v="0"/>
    <n v="0"/>
    <n v="-0.12"/>
    <n v="-0.12"/>
    <n v="-0.12"/>
    <n v="-0.12"/>
    <n v="0"/>
    <s v="CATIVO"/>
    <n v="0"/>
    <n v="0"/>
    <n v="8"/>
    <n v="46"/>
    <n v="0"/>
    <n v="320.74"/>
    <n v="227"/>
    <m/>
    <n v="298.1116620388587"/>
    <n v="226.02511785584304"/>
    <n v="0"/>
    <n v="-7.3020000000000023"/>
    <n v="0"/>
    <n v="-6.9884903985960189"/>
    <x v="4"/>
  </r>
  <r>
    <s v="Sistema de Compensação"/>
    <x v="1"/>
    <x v="2"/>
    <x v="2"/>
    <x v="5"/>
    <x v="0"/>
    <x v="0"/>
    <x v="2"/>
    <x v="3"/>
    <n v="0"/>
    <n v="0"/>
    <n v="8.9999999999999993E-3"/>
    <n v="8.9999999999999998E-4"/>
    <n v="8.9999999999999993E-3"/>
    <n v="8.9999999999999998E-4"/>
    <n v="6"/>
    <s v="CATIVO"/>
    <n v="0"/>
    <n v="0"/>
    <n v="8"/>
    <n v="46"/>
    <n v="0"/>
    <n v="320.74"/>
    <n v="227"/>
    <m/>
    <n v="298.1116620388587"/>
    <n v="226.02511785584304"/>
    <n v="0"/>
    <n v="4.9843440000000001"/>
    <n v="0"/>
    <n v="4.7696446970417847"/>
    <x v="4"/>
  </r>
  <r>
    <s v="Regular"/>
    <x v="1"/>
    <x v="2"/>
    <x v="2"/>
    <x v="5"/>
    <x v="0"/>
    <x v="0"/>
    <x v="2"/>
    <x v="4"/>
    <n v="0"/>
    <n v="0"/>
    <n v="23.856999999999999"/>
    <n v="23.856999999999999"/>
    <n v="23.856999999999999"/>
    <n v="23.856999999999999"/>
    <n v="344"/>
    <s v="CATIVO"/>
    <n v="0"/>
    <n v="0"/>
    <n v="8"/>
    <n v="46"/>
    <n v="0"/>
    <n v="320.74"/>
    <n v="227"/>
    <m/>
    <n v="298.1116620388587"/>
    <n v="226.02511785584304"/>
    <n v="0"/>
    <n v="1451.6984500000005"/>
    <n v="0"/>
    <n v="1389.3701286608768"/>
    <x v="4"/>
  </r>
  <r>
    <s v="Sistema de Compensação"/>
    <x v="1"/>
    <x v="2"/>
    <x v="2"/>
    <x v="5"/>
    <x v="0"/>
    <x v="0"/>
    <x v="2"/>
    <x v="4"/>
    <n v="0"/>
    <n v="0"/>
    <n v="3.5999999999999997E-2"/>
    <n v="0"/>
    <n v="3.5999999999999997E-2"/>
    <n v="0"/>
    <n v="6"/>
    <s v="CATIVO"/>
    <n v="0"/>
    <n v="0"/>
    <n v="8"/>
    <n v="46"/>
    <n v="0"/>
    <n v="320.74"/>
    <n v="227"/>
    <m/>
    <n v="298.1116620388587"/>
    <n v="226.02511785584304"/>
    <n v="0"/>
    <n v="21.90924"/>
    <n v="0"/>
    <n v="20.965471195788066"/>
    <x v="4"/>
  </r>
  <r>
    <s v="Regular"/>
    <x v="1"/>
    <x v="2"/>
    <x v="2"/>
    <x v="6"/>
    <x v="0"/>
    <x v="0"/>
    <x v="2"/>
    <x v="10"/>
    <n v="0"/>
    <n v="0"/>
    <n v="1.22"/>
    <n v="1.22"/>
    <n v="1.22"/>
    <n v="1.22"/>
    <n v="24"/>
    <s v="CATIVO"/>
    <n v="0"/>
    <n v="0"/>
    <n v="14"/>
    <n v="86"/>
    <n v="0"/>
    <n v="356.37"/>
    <n v="252.22"/>
    <m/>
    <n v="331.23518004317634"/>
    <n v="251.13901983982558"/>
    <n v="0"/>
    <n v="3.4674485505092888E-14"/>
    <n v="0"/>
    <n v="-3.4674485505092888E-14"/>
    <x v="4"/>
  </r>
  <r>
    <s v="Regular"/>
    <x v="1"/>
    <x v="2"/>
    <x v="2"/>
    <x v="6"/>
    <x v="0"/>
    <x v="0"/>
    <x v="2"/>
    <x v="11"/>
    <n v="0"/>
    <n v="0"/>
    <n v="1.6419999999999999"/>
    <n v="1.6419999999999999"/>
    <n v="1.6419999999999999"/>
    <n v="1.6419999999999999"/>
    <n v="29"/>
    <s v="CATIVO"/>
    <n v="0"/>
    <n v="0"/>
    <n v="14"/>
    <n v="86"/>
    <n v="0"/>
    <n v="356.37"/>
    <n v="252.22"/>
    <m/>
    <n v="331.23518004317634"/>
    <n v="251.13901983982558"/>
    <n v="0"/>
    <n v="4.6668446884723377E-14"/>
    <n v="0"/>
    <n v="-4.6668446884723377E-14"/>
    <x v="4"/>
  </r>
  <r>
    <s v="Regular"/>
    <x v="1"/>
    <x v="2"/>
    <x v="2"/>
    <x v="6"/>
    <x v="0"/>
    <x v="0"/>
    <x v="2"/>
    <x v="5"/>
    <n v="0"/>
    <n v="0"/>
    <n v="2.2559999999999998"/>
    <n v="2.2559999999999998"/>
    <n v="2.2559999999999998"/>
    <n v="2.2559999999999998"/>
    <n v="27"/>
    <s v="CATIVO"/>
    <n v="0"/>
    <n v="0"/>
    <n v="14"/>
    <n v="86"/>
    <n v="0"/>
    <n v="356.37"/>
    <n v="252.22"/>
    <m/>
    <n v="331.23518004317634"/>
    <n v="251.13901983982558"/>
    <n v="0"/>
    <n v="6.4119376474991435E-14"/>
    <n v="0"/>
    <n v="-6.4119376474991435E-14"/>
    <x v="4"/>
  </r>
  <r>
    <s v="Regular"/>
    <x v="1"/>
    <x v="2"/>
    <x v="2"/>
    <x v="6"/>
    <x v="0"/>
    <x v="0"/>
    <x v="2"/>
    <x v="6"/>
    <n v="0"/>
    <n v="0"/>
    <n v="1.8440000000000001"/>
    <n v="1.8440000000000001"/>
    <n v="1.8440000000000001"/>
    <n v="1.8440000000000001"/>
    <n v="30"/>
    <s v="CATIVO"/>
    <n v="0"/>
    <n v="0"/>
    <n v="14"/>
    <n v="86"/>
    <n v="0"/>
    <n v="356.37"/>
    <n v="252.22"/>
    <m/>
    <n v="331.23518004317634"/>
    <n v="251.13901983982558"/>
    <n v="0"/>
    <n v="5.2409632189664992E-14"/>
    <n v="0"/>
    <n v="-5.2409632189664992E-14"/>
    <x v="4"/>
  </r>
  <r>
    <s v="Regular"/>
    <x v="1"/>
    <x v="2"/>
    <x v="2"/>
    <x v="6"/>
    <x v="0"/>
    <x v="0"/>
    <x v="2"/>
    <x v="7"/>
    <n v="0"/>
    <n v="0"/>
    <n v="3.5609999999999999"/>
    <n v="3.5609999999999999"/>
    <n v="3.5609999999999999"/>
    <n v="3.5609999999999999"/>
    <n v="50"/>
    <s v="CATIVO"/>
    <n v="0"/>
    <n v="0"/>
    <n v="14"/>
    <n v="86"/>
    <n v="0"/>
    <n v="356.37"/>
    <n v="252.22"/>
    <m/>
    <n v="331.23518004317634"/>
    <n v="251.13901983982558"/>
    <n v="0"/>
    <n v="1.0120970728166867E-13"/>
    <n v="0"/>
    <n v="-1.0120970728166867E-13"/>
    <x v="4"/>
  </r>
  <r>
    <s v="Regular"/>
    <x v="1"/>
    <x v="2"/>
    <x v="2"/>
    <x v="6"/>
    <x v="0"/>
    <x v="0"/>
    <x v="2"/>
    <x v="8"/>
    <n v="0"/>
    <n v="0"/>
    <n v="4.069"/>
    <n v="4.069"/>
    <n v="4.069"/>
    <n v="4.069"/>
    <n v="46"/>
    <s v="CATIVO"/>
    <n v="0"/>
    <n v="0"/>
    <n v="14"/>
    <n v="86"/>
    <n v="0"/>
    <n v="356.37"/>
    <n v="252.22"/>
    <m/>
    <n v="331.23518004317634"/>
    <n v="251.13901983982558"/>
    <n v="0"/>
    <n v="1.156479356723139E-13"/>
    <n v="0"/>
    <n v="-1.156479356723139E-13"/>
    <x v="4"/>
  </r>
  <r>
    <s v="Regular"/>
    <x v="1"/>
    <x v="2"/>
    <x v="2"/>
    <x v="6"/>
    <x v="0"/>
    <x v="0"/>
    <x v="2"/>
    <x v="9"/>
    <n v="0"/>
    <n v="0"/>
    <n v="8.1270000000000007"/>
    <n v="8.1270000000000007"/>
    <n v="8.1270000000000007"/>
    <n v="8.1270000000000007"/>
    <n v="74"/>
    <s v="CATIVO"/>
    <n v="0"/>
    <n v="0"/>
    <n v="14"/>
    <n v="86"/>
    <n v="0"/>
    <n v="356.37"/>
    <n v="252.22"/>
    <m/>
    <n v="331.23518004317634"/>
    <n v="251.13901983982558"/>
    <n v="0"/>
    <n v="2.3098323254089339E-13"/>
    <n v="0"/>
    <n v="-2.3098323254089339E-13"/>
    <x v="4"/>
  </r>
  <r>
    <s v="Sistema de Compensação"/>
    <x v="1"/>
    <x v="2"/>
    <x v="2"/>
    <x v="6"/>
    <x v="0"/>
    <x v="0"/>
    <x v="2"/>
    <x v="9"/>
    <n v="0"/>
    <n v="0"/>
    <n v="0.27900000000000003"/>
    <n v="0.27900000000000003"/>
    <n v="0.27900000000000003"/>
    <n v="0.27900000000000003"/>
    <n v="3"/>
    <s v="CATIVO"/>
    <n v="0"/>
    <n v="0"/>
    <n v="14"/>
    <n v="86"/>
    <n v="0"/>
    <n v="356.37"/>
    <n v="252.22"/>
    <m/>
    <n v="331.23518004317634"/>
    <n v="251.13901983982558"/>
    <n v="0"/>
    <n v="7.9296569310827188E-15"/>
    <n v="0"/>
    <n v="-7.9296569310827188E-15"/>
    <x v="4"/>
  </r>
  <r>
    <s v="Regular"/>
    <x v="1"/>
    <x v="2"/>
    <x v="2"/>
    <x v="6"/>
    <x v="0"/>
    <x v="0"/>
    <x v="2"/>
    <x v="0"/>
    <n v="0"/>
    <n v="0"/>
    <n v="8.9809999999999999"/>
    <n v="8.9809999999999999"/>
    <n v="8.9809999999999999"/>
    <n v="8.9809999999999999"/>
    <n v="95"/>
    <s v="CATIVO"/>
    <n v="0"/>
    <n v="0"/>
    <n v="14"/>
    <n v="86"/>
    <n v="0"/>
    <n v="356.37"/>
    <n v="252.22"/>
    <m/>
    <n v="331.23518004317634"/>
    <n v="251.13901983982558"/>
    <n v="0"/>
    <n v="2.5525537239445839E-13"/>
    <n v="0"/>
    <n v="-2.5525537239445839E-13"/>
    <x v="4"/>
  </r>
  <r>
    <s v="Sistema de Compensação"/>
    <x v="1"/>
    <x v="2"/>
    <x v="2"/>
    <x v="6"/>
    <x v="0"/>
    <x v="0"/>
    <x v="2"/>
    <x v="0"/>
    <n v="0"/>
    <n v="0"/>
    <n v="7.6999999999999999E-2"/>
    <n v="7.6999999999999999E-2"/>
    <n v="7.6999999999999999E-2"/>
    <n v="7.6999999999999999E-2"/>
    <n v="3"/>
    <s v="CATIVO"/>
    <n v="0"/>
    <n v="0"/>
    <n v="14"/>
    <n v="86"/>
    <n v="0"/>
    <n v="356.37"/>
    <n v="252.22"/>
    <m/>
    <n v="331.23518004317634"/>
    <n v="251.13901983982558"/>
    <n v="0"/>
    <n v="2.1884716261411085E-15"/>
    <n v="0"/>
    <n v="-2.1884716261411085E-15"/>
    <x v="4"/>
  </r>
  <r>
    <s v="Regular"/>
    <x v="1"/>
    <x v="2"/>
    <x v="2"/>
    <x v="6"/>
    <x v="0"/>
    <x v="0"/>
    <x v="2"/>
    <x v="1"/>
    <n v="0"/>
    <n v="0"/>
    <n v="5.7720000000000002"/>
    <n v="5.7720000000000002"/>
    <n v="5.7720000000000002"/>
    <n v="5.7720000000000002"/>
    <n v="77"/>
    <s v="CATIVO"/>
    <n v="0"/>
    <n v="0"/>
    <n v="14"/>
    <n v="86"/>
    <n v="0"/>
    <n v="356.37"/>
    <n v="252.22"/>
    <m/>
    <n v="331.23518004317634"/>
    <n v="251.13901983982558"/>
    <n v="0"/>
    <n v="1.6405010683229194E-13"/>
    <n v="0"/>
    <n v="-1.6405010683229194E-13"/>
    <x v="4"/>
  </r>
  <r>
    <s v="Regular"/>
    <x v="1"/>
    <x v="2"/>
    <x v="2"/>
    <x v="6"/>
    <x v="0"/>
    <x v="0"/>
    <x v="2"/>
    <x v="2"/>
    <n v="0"/>
    <n v="0"/>
    <n v="7.0389999999999997"/>
    <n v="7.0389999999999997"/>
    <n v="7.0389999999999997"/>
    <n v="7.0389999999999997"/>
    <n v="85"/>
    <s v="CATIVO"/>
    <n v="0"/>
    <n v="0"/>
    <n v="14"/>
    <n v="86"/>
    <n v="0"/>
    <n v="356.37"/>
    <n v="252.22"/>
    <m/>
    <n v="331.23518004317634"/>
    <n v="251.13901983982558"/>
    <n v="0"/>
    <n v="2.000604126806138E-13"/>
    <n v="0"/>
    <n v="-2.000604126806138E-13"/>
    <x v="4"/>
  </r>
  <r>
    <s v="Regular"/>
    <x v="1"/>
    <x v="2"/>
    <x v="2"/>
    <x v="6"/>
    <x v="0"/>
    <x v="0"/>
    <x v="2"/>
    <x v="3"/>
    <n v="0"/>
    <n v="0"/>
    <n v="6.0679999999999996"/>
    <n v="6.0679999999999996"/>
    <n v="6.0679999999999996"/>
    <n v="6.0679999999999996"/>
    <n v="66"/>
    <s v="CATIVO"/>
    <n v="0"/>
    <n v="0"/>
    <n v="14"/>
    <n v="86"/>
    <n v="0"/>
    <n v="356.37"/>
    <n v="252.22"/>
    <m/>
    <n v="331.23518004317634"/>
    <n v="251.13901983982558"/>
    <n v="0"/>
    <n v="1.7246293282369151E-13"/>
    <n v="0"/>
    <n v="-1.7246293282369151E-13"/>
    <x v="4"/>
  </r>
  <r>
    <s v="Refaturamento - Regular"/>
    <x v="1"/>
    <x v="2"/>
    <x v="2"/>
    <x v="6"/>
    <x v="0"/>
    <x v="0"/>
    <x v="2"/>
    <x v="3"/>
    <n v="0"/>
    <n v="0"/>
    <n v="-0.46600000000000003"/>
    <n v="-0.46600000000000003"/>
    <n v="-0.46600000000000003"/>
    <n v="-0.46600000000000003"/>
    <n v="0"/>
    <s v="CATIVO"/>
    <n v="0"/>
    <n v="0"/>
    <n v="14"/>
    <n v="86"/>
    <n v="0"/>
    <n v="356.37"/>
    <n v="252.22"/>
    <m/>
    <n v="331.23518004317634"/>
    <n v="251.13901983982558"/>
    <n v="0"/>
    <n v="-1.3244516594568268E-14"/>
    <n v="0"/>
    <n v="1.3244516594568268E-14"/>
    <x v="4"/>
  </r>
  <r>
    <s v="Regular"/>
    <x v="1"/>
    <x v="2"/>
    <x v="2"/>
    <x v="6"/>
    <x v="0"/>
    <x v="0"/>
    <x v="2"/>
    <x v="4"/>
    <n v="0"/>
    <n v="0"/>
    <n v="5.8520000000000003"/>
    <n v="5.8520000000000003"/>
    <n v="5.8520000000000003"/>
    <n v="5.8520000000000003"/>
    <n v="69"/>
    <s v="CATIVO"/>
    <n v="0"/>
    <n v="0"/>
    <n v="14"/>
    <n v="86"/>
    <n v="0"/>
    <n v="356.37"/>
    <n v="252.22"/>
    <m/>
    <n v="331.23518004317634"/>
    <n v="251.13901983982558"/>
    <n v="0"/>
    <n v="1.6632384358672426E-13"/>
    <n v="0"/>
    <n v="-1.6632384358672426E-13"/>
    <x v="4"/>
  </r>
  <r>
    <s v="Regular"/>
    <x v="2"/>
    <x v="2"/>
    <x v="0"/>
    <x v="1"/>
    <x v="3"/>
    <x v="0"/>
    <x v="2"/>
    <x v="10"/>
    <n v="0"/>
    <n v="0"/>
    <n v="4.234"/>
    <n v="4.234"/>
    <n v="4.234"/>
    <n v="4.234"/>
    <n v="0"/>
    <s v="CATIVO"/>
    <n v="0"/>
    <n v="0"/>
    <n v="61"/>
    <n v="72"/>
    <n v="0"/>
    <n v="374.66"/>
    <n v="221.96"/>
    <m/>
    <n v="406.66540696605466"/>
    <n v="236.07067864943602"/>
    <n v="0"/>
    <n v="344.43589999999995"/>
    <n v="0"/>
    <n v="173.70284594655246"/>
    <x v="0"/>
  </r>
  <r>
    <s v="Sistema de Compensação"/>
    <x v="2"/>
    <x v="2"/>
    <x v="0"/>
    <x v="1"/>
    <x v="3"/>
    <x v="0"/>
    <x v="2"/>
    <x v="10"/>
    <n v="0"/>
    <n v="0"/>
    <n v="0.04"/>
    <n v="0.04"/>
    <n v="0.04"/>
    <n v="0.04"/>
    <n v="0"/>
    <s v="CATIVO"/>
    <n v="0"/>
    <n v="0"/>
    <n v="61"/>
    <n v="72"/>
    <n v="0"/>
    <n v="374.66"/>
    <n v="221.96"/>
    <m/>
    <n v="406.66540696605466"/>
    <n v="236.07067864943602"/>
    <n v="0"/>
    <n v="3.254"/>
    <n v="0"/>
    <n v="1.6410283036991258"/>
    <x v="0"/>
  </r>
  <r>
    <s v="Regular"/>
    <x v="2"/>
    <x v="2"/>
    <x v="0"/>
    <x v="1"/>
    <x v="3"/>
    <x v="0"/>
    <x v="2"/>
    <x v="11"/>
    <n v="0"/>
    <n v="0"/>
    <n v="2.2959999999999998"/>
    <n v="2.2959999999999998"/>
    <n v="2.2959999999999998"/>
    <n v="2.2959999999999998"/>
    <n v="0"/>
    <s v="CATIVO"/>
    <n v="0"/>
    <n v="0"/>
    <n v="61"/>
    <n v="72"/>
    <n v="0"/>
    <n v="374.66"/>
    <n v="221.96"/>
    <m/>
    <n v="406.66540696605466"/>
    <n v="236.07067864943602"/>
    <n v="0"/>
    <n v="186.77959999999996"/>
    <n v="0"/>
    <n v="94.195024632329805"/>
    <x v="0"/>
  </r>
  <r>
    <s v="Sistema de Compensação"/>
    <x v="2"/>
    <x v="2"/>
    <x v="0"/>
    <x v="1"/>
    <x v="3"/>
    <x v="0"/>
    <x v="2"/>
    <x v="11"/>
    <n v="0"/>
    <n v="0"/>
    <n v="0.36599999999999999"/>
    <n v="0.36599999999999999"/>
    <n v="0.36599999999999999"/>
    <n v="0.36599999999999999"/>
    <n v="0"/>
    <s v="CATIVO"/>
    <n v="0"/>
    <n v="0"/>
    <n v="61"/>
    <n v="72"/>
    <n v="0"/>
    <n v="374.66"/>
    <n v="221.96"/>
    <m/>
    <n v="406.66540696605466"/>
    <n v="236.07067864943602"/>
    <n v="0"/>
    <n v="29.774099999999997"/>
    <n v="0"/>
    <n v="15.015408978846999"/>
    <x v="0"/>
  </r>
  <r>
    <s v="Regular"/>
    <x v="2"/>
    <x v="2"/>
    <x v="0"/>
    <x v="1"/>
    <x v="3"/>
    <x v="0"/>
    <x v="2"/>
    <x v="5"/>
    <n v="0"/>
    <n v="0"/>
    <n v="6.0069999999999997"/>
    <n v="6.0069999999999997"/>
    <n v="6.0069999999999997"/>
    <n v="6.0069999999999997"/>
    <n v="0"/>
    <s v="CATIVO"/>
    <n v="0"/>
    <n v="0"/>
    <n v="61"/>
    <n v="72"/>
    <n v="0"/>
    <n v="374.66"/>
    <n v="221.96"/>
    <m/>
    <n v="406.66540696605466"/>
    <n v="236.07067864943602"/>
    <n v="0"/>
    <n v="488.66944999999993"/>
    <n v="0"/>
    <n v="246.44142550801618"/>
    <x v="0"/>
  </r>
  <r>
    <s v="Sistema de Compensação"/>
    <x v="2"/>
    <x v="2"/>
    <x v="0"/>
    <x v="1"/>
    <x v="3"/>
    <x v="0"/>
    <x v="2"/>
    <x v="5"/>
    <n v="0"/>
    <n v="0"/>
    <n v="1.2909999999999999"/>
    <n v="1.2909999999999999"/>
    <n v="1.2909999999999999"/>
    <n v="1.2909999999999999"/>
    <n v="0"/>
    <s v="CATIVO"/>
    <n v="0"/>
    <n v="0"/>
    <n v="61"/>
    <n v="72"/>
    <n v="0"/>
    <n v="374.66"/>
    <n v="221.96"/>
    <m/>
    <n v="406.66540696605466"/>
    <n v="236.07067864943602"/>
    <n v="0"/>
    <n v="105.02284999999999"/>
    <n v="0"/>
    <n v="52.964188501889275"/>
    <x v="0"/>
  </r>
  <r>
    <s v="Regular"/>
    <x v="2"/>
    <x v="2"/>
    <x v="0"/>
    <x v="1"/>
    <x v="3"/>
    <x v="0"/>
    <x v="2"/>
    <x v="6"/>
    <n v="0"/>
    <n v="0"/>
    <n v="11.356999999999999"/>
    <n v="11.356999999999999"/>
    <n v="11.356999999999999"/>
    <n v="11.356999999999999"/>
    <n v="0"/>
    <s v="CATIVO"/>
    <n v="0"/>
    <n v="0"/>
    <n v="61"/>
    <n v="72"/>
    <n v="0"/>
    <n v="374.66"/>
    <n v="221.96"/>
    <m/>
    <n v="406.66540696605466"/>
    <n v="236.07067864943602"/>
    <n v="0"/>
    <n v="923.89194999999984"/>
    <n v="0"/>
    <n v="465.92896112777424"/>
    <x v="0"/>
  </r>
  <r>
    <s v="Sistema de Compensação"/>
    <x v="2"/>
    <x v="2"/>
    <x v="0"/>
    <x v="1"/>
    <x v="3"/>
    <x v="0"/>
    <x v="2"/>
    <x v="6"/>
    <n v="0"/>
    <n v="0"/>
    <n v="0.19"/>
    <n v="0.19"/>
    <n v="0.19"/>
    <n v="0.19"/>
    <n v="0"/>
    <s v="CATIVO"/>
    <n v="0"/>
    <n v="0"/>
    <n v="61"/>
    <n v="72"/>
    <n v="0"/>
    <n v="374.66"/>
    <n v="221.96"/>
    <m/>
    <n v="406.66540696605466"/>
    <n v="236.07067864943602"/>
    <n v="0"/>
    <n v="15.456499999999998"/>
    <n v="0"/>
    <n v="7.7948844425708472"/>
    <x v="0"/>
  </r>
  <r>
    <s v="Regular"/>
    <x v="2"/>
    <x v="2"/>
    <x v="0"/>
    <x v="1"/>
    <x v="3"/>
    <x v="0"/>
    <x v="2"/>
    <x v="7"/>
    <n v="0"/>
    <n v="0"/>
    <n v="83.301000000000002"/>
    <n v="83.301000000000002"/>
    <n v="83.301000000000002"/>
    <n v="83.301000000000002"/>
    <n v="0"/>
    <s v="CATIVO"/>
    <n v="0"/>
    <n v="0"/>
    <n v="61"/>
    <n v="72"/>
    <n v="0"/>
    <n v="374.66"/>
    <n v="221.96"/>
    <m/>
    <n v="406.66540696605466"/>
    <n v="236.07067864943602"/>
    <n v="0"/>
    <n v="6776.5363499999994"/>
    <n v="0"/>
    <n v="3417.4824681610216"/>
    <x v="0"/>
  </r>
  <r>
    <s v="Refaturamento - Regular"/>
    <x v="2"/>
    <x v="2"/>
    <x v="0"/>
    <x v="1"/>
    <x v="3"/>
    <x v="0"/>
    <x v="2"/>
    <x v="7"/>
    <n v="0"/>
    <n v="0"/>
    <n v="0.2"/>
    <n v="0.2"/>
    <n v="0.2"/>
    <n v="0.2"/>
    <n v="0"/>
    <s v="CATIVO"/>
    <n v="0"/>
    <n v="0"/>
    <n v="61"/>
    <n v="72"/>
    <n v="0"/>
    <n v="374.66"/>
    <n v="221.96"/>
    <m/>
    <n v="406.66540696605466"/>
    <n v="236.07067864943602"/>
    <n v="0"/>
    <n v="16.27"/>
    <n v="0"/>
    <n v="8.205141518495628"/>
    <x v="0"/>
  </r>
  <r>
    <s v="Sistema de Compensação"/>
    <x v="2"/>
    <x v="2"/>
    <x v="0"/>
    <x v="1"/>
    <x v="3"/>
    <x v="0"/>
    <x v="2"/>
    <x v="7"/>
    <n v="0"/>
    <n v="0"/>
    <n v="1.4670000000000001"/>
    <n v="1.4670000000000001"/>
    <n v="1.4670000000000001"/>
    <n v="1.4670000000000001"/>
    <n v="0"/>
    <s v="CATIVO"/>
    <n v="0"/>
    <n v="0"/>
    <n v="61"/>
    <n v="72"/>
    <n v="0"/>
    <n v="374.66"/>
    <n v="221.96"/>
    <m/>
    <n v="406.66540696605466"/>
    <n v="236.07067864943602"/>
    <n v="0"/>
    <n v="119.34045"/>
    <n v="0"/>
    <n v="60.184713038165441"/>
    <x v="0"/>
  </r>
  <r>
    <s v="Regular"/>
    <x v="2"/>
    <x v="2"/>
    <x v="0"/>
    <x v="1"/>
    <x v="3"/>
    <x v="0"/>
    <x v="2"/>
    <x v="8"/>
    <n v="0"/>
    <n v="0"/>
    <n v="209.755"/>
    <n v="209.755"/>
    <n v="209.755"/>
    <n v="209.755"/>
    <n v="0"/>
    <s v="CATIVO"/>
    <n v="0"/>
    <n v="0"/>
    <n v="61"/>
    <n v="72"/>
    <n v="0"/>
    <n v="374.66"/>
    <n v="221.96"/>
    <m/>
    <n v="406.66540696605466"/>
    <n v="236.07067864943602"/>
    <n v="0"/>
    <n v="17063.569249999997"/>
    <n v="0"/>
    <n v="8605.3472960602521"/>
    <x v="0"/>
  </r>
  <r>
    <s v="Sistema de Compensação"/>
    <x v="2"/>
    <x v="2"/>
    <x v="0"/>
    <x v="1"/>
    <x v="3"/>
    <x v="0"/>
    <x v="2"/>
    <x v="8"/>
    <n v="0"/>
    <n v="0"/>
    <n v="0.89200000000000002"/>
    <n v="0.89200000000000002"/>
    <n v="0.89200000000000002"/>
    <n v="0.89200000000000002"/>
    <n v="0"/>
    <s v="CATIVO"/>
    <n v="0"/>
    <n v="0"/>
    <n v="61"/>
    <n v="72"/>
    <n v="0"/>
    <n v="374.66"/>
    <n v="221.96"/>
    <m/>
    <n v="406.66540696605466"/>
    <n v="236.07067864943602"/>
    <n v="0"/>
    <n v="72.5642"/>
    <n v="0"/>
    <n v="36.594931172490504"/>
    <x v="0"/>
  </r>
  <r>
    <s v="Regular"/>
    <x v="2"/>
    <x v="2"/>
    <x v="0"/>
    <x v="1"/>
    <x v="3"/>
    <x v="0"/>
    <x v="2"/>
    <x v="9"/>
    <n v="0"/>
    <n v="0"/>
    <n v="243.178"/>
    <n v="243.178"/>
    <n v="243.178"/>
    <n v="243.178"/>
    <n v="0"/>
    <s v="CATIVO"/>
    <n v="0"/>
    <n v="0"/>
    <n v="61"/>
    <n v="72"/>
    <n v="0"/>
    <n v="374.66"/>
    <n v="221.96"/>
    <m/>
    <n v="406.66540696605466"/>
    <n v="236.07067864943602"/>
    <n v="0"/>
    <n v="19782.530299999999"/>
    <n v="0"/>
    <n v="9976.5495209236487"/>
    <x v="0"/>
  </r>
  <r>
    <s v="Sistema de Compensação"/>
    <x v="2"/>
    <x v="2"/>
    <x v="0"/>
    <x v="1"/>
    <x v="3"/>
    <x v="0"/>
    <x v="2"/>
    <x v="9"/>
    <n v="0"/>
    <n v="0"/>
    <n v="3.8889999999999998"/>
    <n v="3.8889999999999998"/>
    <n v="3.8889999999999998"/>
    <n v="3.8889999999999998"/>
    <n v="0"/>
    <s v="CATIVO"/>
    <n v="0"/>
    <n v="0"/>
    <n v="61"/>
    <n v="72"/>
    <n v="0"/>
    <n v="374.66"/>
    <n v="221.96"/>
    <m/>
    <n v="406.66540696605466"/>
    <n v="236.07067864943602"/>
    <n v="0"/>
    <n v="316.37014999999997"/>
    <n v="0"/>
    <n v="159.5489768271475"/>
    <x v="0"/>
  </r>
  <r>
    <s v="Regular"/>
    <x v="2"/>
    <x v="2"/>
    <x v="0"/>
    <x v="1"/>
    <x v="3"/>
    <x v="0"/>
    <x v="2"/>
    <x v="0"/>
    <n v="0"/>
    <n v="0"/>
    <n v="220.43299999999999"/>
    <n v="220.43299999999999"/>
    <n v="220.43299999999999"/>
    <n v="220.43299999999999"/>
    <n v="0"/>
    <s v="CATIVO"/>
    <n v="0"/>
    <n v="0"/>
    <n v="61"/>
    <n v="72"/>
    <n v="0"/>
    <n v="374.66"/>
    <n v="221.96"/>
    <m/>
    <n v="406.66540696605466"/>
    <n v="236.07067864943602"/>
    <n v="0"/>
    <n v="17932.224549999999"/>
    <n v="0"/>
    <n v="9043.4198017327344"/>
    <x v="0"/>
  </r>
  <r>
    <s v="Sistema de Compensação"/>
    <x v="2"/>
    <x v="2"/>
    <x v="0"/>
    <x v="1"/>
    <x v="3"/>
    <x v="0"/>
    <x v="2"/>
    <x v="0"/>
    <n v="0"/>
    <n v="0"/>
    <n v="0.1"/>
    <n v="0.1"/>
    <n v="0.1"/>
    <n v="0.1"/>
    <n v="0"/>
    <s v="CATIVO"/>
    <n v="0"/>
    <n v="0"/>
    <n v="61"/>
    <n v="72"/>
    <n v="0"/>
    <n v="374.66"/>
    <n v="221.96"/>
    <m/>
    <n v="406.66540696605466"/>
    <n v="236.07067864943602"/>
    <n v="0"/>
    <n v="8.1349999999999998"/>
    <n v="0"/>
    <n v="4.102570759247814"/>
    <x v="0"/>
  </r>
  <r>
    <s v="Regular"/>
    <x v="2"/>
    <x v="2"/>
    <x v="0"/>
    <x v="1"/>
    <x v="3"/>
    <x v="0"/>
    <x v="2"/>
    <x v="1"/>
    <n v="0"/>
    <n v="0"/>
    <n v="139.81899999999999"/>
    <n v="139.81899999999999"/>
    <n v="139.81899999999999"/>
    <n v="139.81899999999999"/>
    <n v="0"/>
    <s v="CATIVO"/>
    <n v="0"/>
    <n v="0"/>
    <n v="61"/>
    <n v="72"/>
    <n v="0"/>
    <n v="374.66"/>
    <n v="221.96"/>
    <m/>
    <n v="406.66540696605466"/>
    <n v="236.07067864943602"/>
    <n v="0"/>
    <n v="11374.275649999998"/>
    <n v="0"/>
    <n v="5736.1734098727011"/>
    <x v="0"/>
  </r>
  <r>
    <s v="Sistema de Compensação"/>
    <x v="2"/>
    <x v="2"/>
    <x v="0"/>
    <x v="1"/>
    <x v="3"/>
    <x v="0"/>
    <x v="2"/>
    <x v="1"/>
    <n v="0"/>
    <n v="0"/>
    <n v="10.055"/>
    <n v="10.055"/>
    <n v="10.055"/>
    <n v="10.055"/>
    <n v="0"/>
    <s v="CATIVO"/>
    <n v="0"/>
    <n v="0"/>
    <n v="61"/>
    <n v="72"/>
    <n v="0"/>
    <n v="374.66"/>
    <n v="221.96"/>
    <m/>
    <n v="406.66540696605466"/>
    <n v="236.07067864943602"/>
    <n v="0"/>
    <n v="817.97424999999987"/>
    <n v="0"/>
    <n v="412.51348984236768"/>
    <x v="0"/>
  </r>
  <r>
    <s v="Regular"/>
    <x v="2"/>
    <x v="2"/>
    <x v="0"/>
    <x v="1"/>
    <x v="3"/>
    <x v="0"/>
    <x v="2"/>
    <x v="2"/>
    <n v="0"/>
    <n v="0"/>
    <n v="27.771999999999998"/>
    <n v="27.771999999999998"/>
    <n v="27.771999999999998"/>
    <n v="27.771999999999998"/>
    <n v="0"/>
    <s v="CATIVO"/>
    <n v="0"/>
    <n v="0"/>
    <n v="61"/>
    <n v="72"/>
    <n v="0"/>
    <n v="374.66"/>
    <n v="221.96"/>
    <m/>
    <n v="406.66540696605466"/>
    <n v="236.07067864943602"/>
    <n v="0"/>
    <n v="2259.2521999999999"/>
    <n v="0"/>
    <n v="1139.3659512583029"/>
    <x v="0"/>
  </r>
  <r>
    <s v="Sistema de Compensação"/>
    <x v="2"/>
    <x v="2"/>
    <x v="0"/>
    <x v="1"/>
    <x v="3"/>
    <x v="0"/>
    <x v="2"/>
    <x v="2"/>
    <n v="0"/>
    <n v="0"/>
    <n v="0.2"/>
    <n v="0.2"/>
    <n v="0.2"/>
    <n v="0.2"/>
    <n v="0"/>
    <s v="CATIVO"/>
    <n v="0"/>
    <n v="0"/>
    <n v="61"/>
    <n v="72"/>
    <n v="0"/>
    <n v="374.66"/>
    <n v="221.96"/>
    <m/>
    <n v="406.66540696605466"/>
    <n v="236.07067864943602"/>
    <n v="0"/>
    <n v="16.27"/>
    <n v="0"/>
    <n v="8.205141518495628"/>
    <x v="0"/>
  </r>
  <r>
    <s v="Regular"/>
    <x v="2"/>
    <x v="2"/>
    <x v="0"/>
    <x v="1"/>
    <x v="3"/>
    <x v="0"/>
    <x v="2"/>
    <x v="3"/>
    <n v="0"/>
    <n v="0"/>
    <n v="5.6420000000000003"/>
    <n v="5.6420000000000003"/>
    <n v="5.6420000000000003"/>
    <n v="5.6420000000000003"/>
    <n v="0"/>
    <s v="CATIVO"/>
    <n v="0"/>
    <n v="0"/>
    <n v="61"/>
    <n v="72"/>
    <n v="0"/>
    <n v="374.66"/>
    <n v="221.96"/>
    <m/>
    <n v="406.66540696605466"/>
    <n v="236.07067864943602"/>
    <n v="0"/>
    <n v="458.97669999999999"/>
    <n v="0"/>
    <n v="231.4670422367617"/>
    <x v="0"/>
  </r>
  <r>
    <s v="Refaturamento - Regular"/>
    <x v="2"/>
    <x v="2"/>
    <x v="0"/>
    <x v="1"/>
    <x v="3"/>
    <x v="0"/>
    <x v="2"/>
    <x v="3"/>
    <n v="0"/>
    <n v="0"/>
    <n v="3.2040000000000002"/>
    <n v="3.2040000000000002"/>
    <n v="3.2040000000000002"/>
    <n v="3.2040000000000002"/>
    <n v="0"/>
    <s v="CATIVO"/>
    <n v="0"/>
    <n v="0"/>
    <n v="61"/>
    <n v="72"/>
    <n v="0"/>
    <n v="374.66"/>
    <n v="221.96"/>
    <m/>
    <n v="406.66540696605466"/>
    <n v="236.07067864943602"/>
    <n v="0"/>
    <n v="260.6454"/>
    <n v="0"/>
    <n v="131.44636712629998"/>
    <x v="0"/>
  </r>
  <r>
    <s v="Sistema de Compensação"/>
    <x v="2"/>
    <x v="2"/>
    <x v="0"/>
    <x v="1"/>
    <x v="3"/>
    <x v="0"/>
    <x v="2"/>
    <x v="3"/>
    <n v="0"/>
    <n v="0"/>
    <n v="0.16"/>
    <n v="0.16"/>
    <n v="0.16"/>
    <n v="0.16"/>
    <n v="0"/>
    <s v="CATIVO"/>
    <n v="0"/>
    <n v="0"/>
    <n v="61"/>
    <n v="72"/>
    <n v="0"/>
    <n v="374.66"/>
    <n v="221.96"/>
    <m/>
    <n v="406.66540696605466"/>
    <n v="236.07067864943602"/>
    <n v="0"/>
    <n v="13.016"/>
    <n v="0"/>
    <n v="6.5641132147965031"/>
    <x v="0"/>
  </r>
  <r>
    <s v="Regular"/>
    <x v="2"/>
    <x v="2"/>
    <x v="0"/>
    <x v="1"/>
    <x v="3"/>
    <x v="0"/>
    <x v="2"/>
    <x v="4"/>
    <n v="0"/>
    <n v="0"/>
    <n v="3.7"/>
    <n v="3.7"/>
    <n v="3.7"/>
    <n v="3.7"/>
    <n v="0"/>
    <s v="CATIVO"/>
    <n v="0"/>
    <n v="0"/>
    <n v="61"/>
    <n v="72"/>
    <n v="0"/>
    <n v="374.66"/>
    <n v="221.96"/>
    <m/>
    <n v="406.66540696605466"/>
    <n v="236.07067864943602"/>
    <n v="0"/>
    <n v="300.995"/>
    <n v="0"/>
    <n v="151.79511809216913"/>
    <x v="0"/>
  </r>
  <r>
    <s v="Sistema de Compensação"/>
    <x v="2"/>
    <x v="2"/>
    <x v="0"/>
    <x v="1"/>
    <x v="3"/>
    <x v="0"/>
    <x v="2"/>
    <x v="4"/>
    <n v="0"/>
    <n v="0"/>
    <n v="0.16"/>
    <n v="0.16"/>
    <n v="0.16"/>
    <n v="0.16"/>
    <n v="0"/>
    <s v="CATIVO"/>
    <n v="0"/>
    <n v="0"/>
    <n v="61"/>
    <n v="72"/>
    <n v="0"/>
    <n v="374.66"/>
    <n v="221.96"/>
    <m/>
    <n v="406.66540696605466"/>
    <n v="236.07067864943602"/>
    <n v="0"/>
    <n v="13.016"/>
    <n v="0"/>
    <n v="6.5641132147965031"/>
    <x v="0"/>
  </r>
  <r>
    <s v="Regular"/>
    <x v="2"/>
    <x v="2"/>
    <x v="0"/>
    <x v="1"/>
    <x v="2"/>
    <x v="0"/>
    <x v="2"/>
    <x v="10"/>
    <n v="0"/>
    <n v="0"/>
    <n v="0.55600000000000005"/>
    <n v="0.22239999999999999"/>
    <n v="0.55600000000000005"/>
    <n v="0.22239999999999999"/>
    <n v="0"/>
    <s v="CATIVO"/>
    <n v="0"/>
    <n v="0"/>
    <n v="33"/>
    <n v="72"/>
    <n v="0"/>
    <n v="374.66"/>
    <n v="221.96"/>
    <m/>
    <n v="406.66540696605466"/>
    <n v="236.07067864943602"/>
    <n v="0"/>
    <n v="244.26303200000004"/>
    <n v="0"/>
    <n v="237.22705158274556"/>
    <x v="2"/>
  </r>
  <r>
    <s v="Sistema de Compensação"/>
    <x v="2"/>
    <x v="2"/>
    <x v="0"/>
    <x v="1"/>
    <x v="2"/>
    <x v="0"/>
    <x v="2"/>
    <x v="10"/>
    <n v="0"/>
    <n v="0"/>
    <n v="0.247"/>
    <n v="0.247"/>
    <n v="0.247"/>
    <n v="0.247"/>
    <n v="0"/>
    <s v="CATIVO"/>
    <n v="0"/>
    <n v="0"/>
    <n v="33"/>
    <n v="72"/>
    <n v="0"/>
    <n v="374.66"/>
    <n v="221.96"/>
    <m/>
    <n v="406.66540696605466"/>
    <n v="236.07067864943602"/>
    <n v="0"/>
    <n v="20.093449999999997"/>
    <n v="0"/>
    <n v="10.133349775342101"/>
    <x v="0"/>
  </r>
  <r>
    <s v="Regular"/>
    <x v="2"/>
    <x v="2"/>
    <x v="0"/>
    <x v="1"/>
    <x v="2"/>
    <x v="0"/>
    <x v="2"/>
    <x v="11"/>
    <n v="0"/>
    <n v="0"/>
    <n v="1.163"/>
    <n v="0.4652"/>
    <n v="1.163"/>
    <n v="0.4652"/>
    <n v="0"/>
    <s v="CATIVO"/>
    <n v="0"/>
    <n v="0"/>
    <n v="33"/>
    <n v="72"/>
    <n v="0"/>
    <n v="374.66"/>
    <n v="221.96"/>
    <m/>
    <n v="406.66540696605466"/>
    <n v="236.07067864943602"/>
    <n v="0"/>
    <n v="510.93148600000001"/>
    <n v="0"/>
    <n v="496.21413847254144"/>
    <x v="2"/>
  </r>
  <r>
    <s v="Sistema de Compensação"/>
    <x v="2"/>
    <x v="2"/>
    <x v="0"/>
    <x v="1"/>
    <x v="2"/>
    <x v="0"/>
    <x v="2"/>
    <x v="11"/>
    <n v="0"/>
    <n v="0"/>
    <n v="0.317"/>
    <n v="0.317"/>
    <n v="0.317"/>
    <n v="0.317"/>
    <n v="0"/>
    <s v="CATIVO"/>
    <n v="0"/>
    <n v="0"/>
    <n v="33"/>
    <n v="72"/>
    <n v="0"/>
    <n v="374.66"/>
    <n v="221.96"/>
    <m/>
    <n v="406.66540696605466"/>
    <n v="236.07067864943602"/>
    <n v="0"/>
    <n v="25.787949999999999"/>
    <n v="0"/>
    <n v="13.005149306815571"/>
    <x v="0"/>
  </r>
  <r>
    <s v="Regular"/>
    <x v="2"/>
    <x v="2"/>
    <x v="0"/>
    <x v="1"/>
    <x v="2"/>
    <x v="0"/>
    <x v="2"/>
    <x v="5"/>
    <n v="0"/>
    <n v="0"/>
    <n v="5.7380000000000004"/>
    <n v="2.2951999999999999"/>
    <n v="5.7380000000000004"/>
    <n v="2.2951999999999999"/>
    <n v="0"/>
    <s v="CATIVO"/>
    <n v="0"/>
    <n v="0"/>
    <n v="33"/>
    <n v="72"/>
    <n v="0"/>
    <n v="374.66"/>
    <n v="221.96"/>
    <m/>
    <n v="406.66540696605466"/>
    <n v="236.07067864943602"/>
    <n v="0"/>
    <n v="2520.8296360000004"/>
    <n v="0"/>
    <n v="2448.217305722651"/>
    <x v="2"/>
  </r>
  <r>
    <s v="Sistema de Compensação"/>
    <x v="2"/>
    <x v="2"/>
    <x v="0"/>
    <x v="1"/>
    <x v="2"/>
    <x v="0"/>
    <x v="2"/>
    <x v="5"/>
    <n v="0"/>
    <n v="0"/>
    <n v="1.1499999999999999"/>
    <n v="1.1499999999999999"/>
    <n v="1.1499999999999999"/>
    <n v="1.1499999999999999"/>
    <n v="0"/>
    <s v="CATIVO"/>
    <n v="0"/>
    <n v="0"/>
    <n v="33"/>
    <n v="72"/>
    <n v="0"/>
    <n v="374.66"/>
    <n v="221.96"/>
    <m/>
    <n v="406.66540696605466"/>
    <n v="236.07067864943602"/>
    <n v="0"/>
    <n v="93.552499999999981"/>
    <n v="0"/>
    <n v="47.179563731349859"/>
    <x v="0"/>
  </r>
  <r>
    <s v="Regular"/>
    <x v="2"/>
    <x v="2"/>
    <x v="0"/>
    <x v="1"/>
    <x v="2"/>
    <x v="0"/>
    <x v="2"/>
    <x v="6"/>
    <n v="0"/>
    <n v="0"/>
    <n v="19.593"/>
    <n v="7.8372000000000002"/>
    <n v="19.593"/>
    <n v="7.8372000000000002"/>
    <n v="0"/>
    <s v="CATIVO"/>
    <n v="0"/>
    <n v="0"/>
    <n v="33"/>
    <n v="72"/>
    <n v="0"/>
    <n v="374.66"/>
    <n v="221.96"/>
    <m/>
    <n v="406.66540696605466"/>
    <n v="236.07067864943602"/>
    <n v="0"/>
    <n v="8607.6359460000003"/>
    <n v="0"/>
    <n v="8359.6935641380096"/>
    <x v="2"/>
  </r>
  <r>
    <s v="Sistema de Compensação"/>
    <x v="2"/>
    <x v="2"/>
    <x v="0"/>
    <x v="1"/>
    <x v="2"/>
    <x v="0"/>
    <x v="2"/>
    <x v="6"/>
    <n v="0"/>
    <n v="0"/>
    <n v="0.01"/>
    <n v="0.01"/>
    <n v="0.01"/>
    <n v="0.01"/>
    <n v="0"/>
    <s v="CATIVO"/>
    <n v="0"/>
    <n v="0"/>
    <n v="33"/>
    <n v="72"/>
    <n v="0"/>
    <n v="374.66"/>
    <n v="221.96"/>
    <m/>
    <n v="406.66540696605466"/>
    <n v="236.07067864943602"/>
    <n v="0"/>
    <n v="0.8135"/>
    <n v="0"/>
    <n v="0.41025707592478144"/>
    <x v="0"/>
  </r>
  <r>
    <s v="Regular"/>
    <x v="2"/>
    <x v="2"/>
    <x v="0"/>
    <x v="1"/>
    <x v="2"/>
    <x v="0"/>
    <x v="2"/>
    <x v="7"/>
    <n v="0"/>
    <n v="0"/>
    <n v="103.77800000000001"/>
    <n v="41.511200000000002"/>
    <n v="103.77800000000001"/>
    <n v="41.511200000000002"/>
    <n v="0"/>
    <s v="CATIVO"/>
    <n v="0"/>
    <n v="0"/>
    <n v="33"/>
    <n v="72"/>
    <n v="0"/>
    <n v="374.66"/>
    <n v="221.96"/>
    <m/>
    <n v="406.66540696605466"/>
    <n v="236.07067864943602"/>
    <n v="0"/>
    <n v="45591.958515999999"/>
    <n v="0"/>
    <n v="44278.685178334832"/>
    <x v="2"/>
  </r>
  <r>
    <s v="Refaturamento - Regular"/>
    <x v="2"/>
    <x v="2"/>
    <x v="0"/>
    <x v="1"/>
    <x v="2"/>
    <x v="0"/>
    <x v="2"/>
    <x v="7"/>
    <n v="0"/>
    <n v="0"/>
    <n v="-12.36"/>
    <n v="-4.944"/>
    <n v="-12.36"/>
    <n v="-4.944"/>
    <n v="0"/>
    <s v="CATIVO"/>
    <n v="0"/>
    <n v="0"/>
    <n v="33"/>
    <n v="72"/>
    <n v="0"/>
    <n v="374.66"/>
    <n v="221.96"/>
    <m/>
    <n v="406.66540696605466"/>
    <n v="236.07067864943602"/>
    <n v="0"/>
    <n v="-5430.0199199999997"/>
    <n v="0"/>
    <n v="-5273.6085567675073"/>
    <x v="2"/>
  </r>
  <r>
    <s v="Sistema de Compensação"/>
    <x v="2"/>
    <x v="2"/>
    <x v="0"/>
    <x v="1"/>
    <x v="2"/>
    <x v="0"/>
    <x v="2"/>
    <x v="7"/>
    <n v="0"/>
    <n v="0"/>
    <n v="8.2799999999999994"/>
    <n v="8.2799999999999994"/>
    <n v="8.2799999999999994"/>
    <n v="8.2799999999999994"/>
    <n v="0"/>
    <s v="CATIVO"/>
    <n v="0"/>
    <n v="0"/>
    <n v="33"/>
    <n v="72"/>
    <n v="0"/>
    <n v="374.66"/>
    <n v="221.96"/>
    <m/>
    <n v="406.66540696605466"/>
    <n v="236.07067864943602"/>
    <n v="0"/>
    <n v="673.57799999999986"/>
    <n v="0"/>
    <n v="339.69285886571896"/>
    <x v="0"/>
  </r>
  <r>
    <s v="Regular"/>
    <x v="2"/>
    <x v="2"/>
    <x v="0"/>
    <x v="1"/>
    <x v="2"/>
    <x v="0"/>
    <x v="2"/>
    <x v="8"/>
    <n v="0"/>
    <n v="0"/>
    <n v="262.84800000000001"/>
    <n v="105.1392"/>
    <n v="262.84800000000001"/>
    <n v="105.1392"/>
    <n v="0"/>
    <s v="CATIVO"/>
    <n v="0"/>
    <n v="0"/>
    <n v="33"/>
    <n v="72"/>
    <n v="0"/>
    <n v="374.66"/>
    <n v="221.96"/>
    <m/>
    <n v="406.66540696605466"/>
    <n v="236.07067864943602"/>
    <n v="0"/>
    <n v="115474.909056"/>
    <n v="0"/>
    <n v="112148.66196838398"/>
    <x v="2"/>
  </r>
  <r>
    <s v="Sistema de Compensação"/>
    <x v="2"/>
    <x v="2"/>
    <x v="0"/>
    <x v="1"/>
    <x v="2"/>
    <x v="0"/>
    <x v="2"/>
    <x v="8"/>
    <n v="0"/>
    <n v="0"/>
    <n v="17.352"/>
    <n v="17.352"/>
    <n v="17.352"/>
    <n v="17.352"/>
    <n v="0"/>
    <s v="CATIVO"/>
    <n v="0"/>
    <n v="0"/>
    <n v="33"/>
    <n v="72"/>
    <n v="0"/>
    <n v="374.66"/>
    <n v="221.96"/>
    <m/>
    <n v="406.66540696605466"/>
    <n v="236.07067864943602"/>
    <n v="0"/>
    <n v="1411.5852"/>
    <n v="0"/>
    <n v="711.87807814468079"/>
    <x v="0"/>
  </r>
  <r>
    <s v="Regular"/>
    <x v="2"/>
    <x v="2"/>
    <x v="0"/>
    <x v="1"/>
    <x v="2"/>
    <x v="0"/>
    <x v="2"/>
    <x v="9"/>
    <n v="0"/>
    <n v="0"/>
    <n v="273.72500000000002"/>
    <n v="109.49"/>
    <n v="273.72500000000002"/>
    <n v="109.49"/>
    <n v="0"/>
    <s v="CATIVO"/>
    <n v="0"/>
    <n v="0"/>
    <n v="33"/>
    <n v="72"/>
    <n v="0"/>
    <n v="374.66"/>
    <n v="221.96"/>
    <m/>
    <n v="406.66540696605466"/>
    <n v="236.07067864943602"/>
    <n v="0"/>
    <n v="120253.41445000001"/>
    <n v="0"/>
    <n v="116789.52283181119"/>
    <x v="2"/>
  </r>
  <r>
    <s v="Sistema de Compensação"/>
    <x v="2"/>
    <x v="2"/>
    <x v="0"/>
    <x v="1"/>
    <x v="2"/>
    <x v="0"/>
    <x v="2"/>
    <x v="9"/>
    <n v="0"/>
    <n v="0"/>
    <n v="26.376999999999999"/>
    <n v="26.376999999999999"/>
    <n v="26.376999999999999"/>
    <n v="26.376999999999999"/>
    <n v="0"/>
    <s v="CATIVO"/>
    <n v="0"/>
    <n v="0"/>
    <n v="33"/>
    <n v="72"/>
    <n v="0"/>
    <n v="374.66"/>
    <n v="221.96"/>
    <m/>
    <n v="406.66540696605466"/>
    <n v="236.07067864943602"/>
    <n v="0"/>
    <n v="2145.7689499999997"/>
    <n v="0"/>
    <n v="1082.135089166796"/>
    <x v="0"/>
  </r>
  <r>
    <s v="Regular"/>
    <x v="2"/>
    <x v="2"/>
    <x v="0"/>
    <x v="1"/>
    <x v="2"/>
    <x v="0"/>
    <x v="2"/>
    <x v="0"/>
    <n v="0"/>
    <n v="0"/>
    <n v="101.414"/>
    <n v="40.565600000000003"/>
    <n v="101.414"/>
    <n v="40.565600000000003"/>
    <n v="0"/>
    <s v="CATIVO"/>
    <n v="0"/>
    <n v="0"/>
    <n v="33"/>
    <n v="72"/>
    <n v="0"/>
    <n v="374.66"/>
    <n v="221.96"/>
    <m/>
    <n v="406.66540696605466"/>
    <n v="236.07067864943602"/>
    <n v="0"/>
    <n v="44553.401307999993"/>
    <n v="0"/>
    <n v="43270.043541749197"/>
    <x v="2"/>
  </r>
  <r>
    <s v="Regular"/>
    <x v="2"/>
    <x v="2"/>
    <x v="0"/>
    <x v="1"/>
    <x v="2"/>
    <x v="0"/>
    <x v="2"/>
    <x v="1"/>
    <n v="0"/>
    <n v="0"/>
    <n v="67.37"/>
    <n v="26.948"/>
    <n v="67.37"/>
    <n v="26.948"/>
    <n v="0"/>
    <s v="CATIVO"/>
    <n v="0"/>
    <n v="0"/>
    <n v="33"/>
    <n v="72"/>
    <n v="0"/>
    <n v="374.66"/>
    <n v="221.96"/>
    <m/>
    <n v="406.66540696605466"/>
    <n v="236.07067864943602"/>
    <n v="0"/>
    <n v="29597.123140000003"/>
    <n v="0"/>
    <n v="28744.579973254618"/>
    <x v="2"/>
  </r>
  <r>
    <s v="Sistema de Compensação"/>
    <x v="2"/>
    <x v="2"/>
    <x v="0"/>
    <x v="1"/>
    <x v="2"/>
    <x v="0"/>
    <x v="2"/>
    <x v="1"/>
    <n v="0"/>
    <n v="0"/>
    <n v="6.4210000000000003"/>
    <n v="6.4210000000000003"/>
    <n v="6.4210000000000003"/>
    <n v="6.4210000000000003"/>
    <n v="0"/>
    <s v="CATIVO"/>
    <n v="0"/>
    <n v="0"/>
    <n v="33"/>
    <n v="72"/>
    <n v="0"/>
    <n v="374.66"/>
    <n v="221.96"/>
    <m/>
    <n v="406.66540696605466"/>
    <n v="236.07067864943602"/>
    <n v="0"/>
    <n v="522.34834999999998"/>
    <n v="0"/>
    <n v="263.42606845130217"/>
    <x v="0"/>
  </r>
  <r>
    <s v="Regular"/>
    <x v="2"/>
    <x v="2"/>
    <x v="0"/>
    <x v="1"/>
    <x v="2"/>
    <x v="0"/>
    <x v="2"/>
    <x v="2"/>
    <n v="0"/>
    <n v="0"/>
    <n v="26.43"/>
    <n v="10.571999999999999"/>
    <n v="26.43"/>
    <n v="10.571999999999999"/>
    <n v="0"/>
    <s v="CATIVO"/>
    <n v="0"/>
    <n v="0"/>
    <n v="33"/>
    <n v="72"/>
    <n v="0"/>
    <n v="374.66"/>
    <n v="221.96"/>
    <m/>
    <n v="406.66540696605466"/>
    <n v="236.07067864943602"/>
    <n v="0"/>
    <n v="11611.28046"/>
    <n v="0"/>
    <n v="11276.818297359649"/>
    <x v="2"/>
  </r>
  <r>
    <s v="Sistema de Compensação"/>
    <x v="2"/>
    <x v="2"/>
    <x v="0"/>
    <x v="1"/>
    <x v="2"/>
    <x v="0"/>
    <x v="2"/>
    <x v="2"/>
    <n v="0"/>
    <n v="0"/>
    <n v="0.2"/>
    <n v="0.2"/>
    <n v="0.2"/>
    <n v="0.2"/>
    <n v="0"/>
    <s v="CATIVO"/>
    <n v="0"/>
    <n v="0"/>
    <n v="33"/>
    <n v="72"/>
    <n v="0"/>
    <n v="374.66"/>
    <n v="221.96"/>
    <m/>
    <n v="406.66540696605466"/>
    <n v="236.07067864943602"/>
    <n v="0"/>
    <n v="16.27"/>
    <n v="0"/>
    <n v="8.205141518495628"/>
    <x v="0"/>
  </r>
  <r>
    <s v="Regular"/>
    <x v="2"/>
    <x v="2"/>
    <x v="0"/>
    <x v="1"/>
    <x v="2"/>
    <x v="0"/>
    <x v="2"/>
    <x v="3"/>
    <n v="0"/>
    <n v="0"/>
    <n v="2.2999999999999998"/>
    <n v="0.92"/>
    <n v="2.2999999999999998"/>
    <n v="0.92"/>
    <n v="0"/>
    <s v="CATIVO"/>
    <n v="0"/>
    <n v="0"/>
    <n v="33"/>
    <n v="72"/>
    <n v="0"/>
    <n v="374.66"/>
    <n v="221.96"/>
    <m/>
    <n v="406.66540696605466"/>
    <n v="236.07067864943602"/>
    <n v="0"/>
    <n v="1010.4405999999999"/>
    <n v="0"/>
    <n v="981.33492561207674"/>
    <x v="2"/>
  </r>
  <r>
    <s v="Refaturamento - Regular"/>
    <x v="2"/>
    <x v="2"/>
    <x v="0"/>
    <x v="1"/>
    <x v="2"/>
    <x v="0"/>
    <x v="2"/>
    <x v="3"/>
    <n v="0"/>
    <n v="0"/>
    <n v="-3.1019999999999999"/>
    <n v="-1.2407999999999999"/>
    <n v="-3.1019999999999999"/>
    <n v="-1.2407999999999999"/>
    <n v="0"/>
    <s v="CATIVO"/>
    <n v="0"/>
    <n v="0"/>
    <n v="33"/>
    <n v="72"/>
    <n v="0"/>
    <n v="374.66"/>
    <n v="221.96"/>
    <m/>
    <n v="406.66540696605466"/>
    <n v="236.07067864943602"/>
    <n v="0"/>
    <n v="-1362.776844"/>
    <n v="0"/>
    <n v="-1323.5221474994185"/>
    <x v="2"/>
  </r>
  <r>
    <s v="Sistema de Compensação"/>
    <x v="2"/>
    <x v="2"/>
    <x v="0"/>
    <x v="1"/>
    <x v="2"/>
    <x v="0"/>
    <x v="2"/>
    <x v="3"/>
    <n v="0"/>
    <n v="0"/>
    <n v="0.04"/>
    <n v="0.04"/>
    <n v="0.04"/>
    <n v="0.04"/>
    <n v="0"/>
    <s v="CATIVO"/>
    <n v="0"/>
    <n v="0"/>
    <n v="33"/>
    <n v="72"/>
    <n v="0"/>
    <n v="374.66"/>
    <n v="221.96"/>
    <m/>
    <n v="406.66540696605466"/>
    <n v="236.07067864943602"/>
    <n v="0"/>
    <n v="3.254"/>
    <n v="0"/>
    <n v="1.6410283036991258"/>
    <x v="0"/>
  </r>
  <r>
    <s v="Regular"/>
    <x v="2"/>
    <x v="2"/>
    <x v="0"/>
    <x v="1"/>
    <x v="2"/>
    <x v="0"/>
    <x v="2"/>
    <x v="4"/>
    <n v="0"/>
    <n v="0"/>
    <n v="0.42"/>
    <n v="0.16800000000000001"/>
    <n v="0.42"/>
    <n v="0.16800000000000001"/>
    <n v="0"/>
    <s v="CATIVO"/>
    <n v="0"/>
    <n v="0"/>
    <n v="33"/>
    <n v="72"/>
    <n v="0"/>
    <n v="374.66"/>
    <n v="221.96"/>
    <m/>
    <n v="406.66540696605466"/>
    <n v="236.07067864943602"/>
    <n v="0"/>
    <n v="184.51524000000001"/>
    <n v="0"/>
    <n v="179.20029076394448"/>
    <x v="2"/>
  </r>
  <r>
    <s v="Sistema de Compensação"/>
    <x v="2"/>
    <x v="2"/>
    <x v="0"/>
    <x v="1"/>
    <x v="2"/>
    <x v="0"/>
    <x v="2"/>
    <x v="4"/>
    <n v="0"/>
    <n v="0"/>
    <n v="0.04"/>
    <n v="1.6E-2"/>
    <n v="0.04"/>
    <n v="1.6E-2"/>
    <n v="0"/>
    <s v="CATIVO"/>
    <n v="0"/>
    <n v="0"/>
    <n v="33"/>
    <n v="72"/>
    <n v="0"/>
    <n v="374.66"/>
    <n v="221.96"/>
    <m/>
    <n v="406.66540696605466"/>
    <n v="236.07067864943602"/>
    <n v="0"/>
    <n v="17.572880000000001"/>
    <n v="0"/>
    <n v="17.066694358470901"/>
    <x v="2"/>
  </r>
  <r>
    <s v="Regular"/>
    <x v="2"/>
    <x v="2"/>
    <x v="0"/>
    <x v="0"/>
    <x v="0"/>
    <x v="0"/>
    <x v="2"/>
    <x v="10"/>
    <n v="0"/>
    <n v="0"/>
    <n v="2436.2240000000002"/>
    <n v="2436.2240000000002"/>
    <n v="2436.2240000000002"/>
    <n v="2436.2240000000002"/>
    <n v="12117"/>
    <s v="CATIVO"/>
    <n v="0"/>
    <n v="0"/>
    <n v="61"/>
    <n v="72"/>
    <n v="0"/>
    <n v="374.66"/>
    <n v="221.96"/>
    <m/>
    <n v="406.66540696605466"/>
    <n v="236.07067864943602"/>
    <n v="0"/>
    <n v="198186.8224"/>
    <n v="0"/>
    <n v="99947.813453777475"/>
    <x v="0"/>
  </r>
  <r>
    <s v="Refaturamento - Regular"/>
    <x v="2"/>
    <x v="2"/>
    <x v="0"/>
    <x v="0"/>
    <x v="0"/>
    <x v="0"/>
    <x v="2"/>
    <x v="10"/>
    <n v="0"/>
    <n v="0"/>
    <n v="-8.2919999999999998"/>
    <n v="-8.2919999999999998"/>
    <n v="-8.2919999999999998"/>
    <n v="-8.2919999999999998"/>
    <n v="0"/>
    <s v="CATIVO"/>
    <n v="0"/>
    <n v="0"/>
    <n v="61"/>
    <n v="72"/>
    <n v="0"/>
    <n v="374.66"/>
    <n v="221.96"/>
    <m/>
    <n v="406.66540696605466"/>
    <n v="236.07067864943602"/>
    <n v="0"/>
    <n v="-674.55419999999992"/>
    <n v="0"/>
    <n v="-340.18516735682874"/>
    <x v="0"/>
  </r>
  <r>
    <s v="Sistema de Compensação"/>
    <x v="2"/>
    <x v="2"/>
    <x v="0"/>
    <x v="0"/>
    <x v="0"/>
    <x v="0"/>
    <x v="2"/>
    <x v="10"/>
    <n v="0"/>
    <n v="0"/>
    <n v="119.592"/>
    <n v="119.592"/>
    <n v="119.592"/>
    <n v="119.592"/>
    <n v="747"/>
    <s v="CATIVO"/>
    <n v="0"/>
    <n v="0"/>
    <n v="61"/>
    <n v="72"/>
    <n v="0"/>
    <n v="374.66"/>
    <n v="221.96"/>
    <m/>
    <n v="406.66540696605466"/>
    <n v="236.07067864943602"/>
    <n v="0"/>
    <n v="9728.8091999999997"/>
    <n v="0"/>
    <n v="4906.3464223996461"/>
    <x v="0"/>
  </r>
  <r>
    <s v="Regular"/>
    <x v="2"/>
    <x v="2"/>
    <x v="0"/>
    <x v="0"/>
    <x v="0"/>
    <x v="0"/>
    <x v="2"/>
    <x v="11"/>
    <n v="0"/>
    <n v="0"/>
    <n v="2560.5230000000001"/>
    <n v="2560.5230000000001"/>
    <n v="2560.5230000000001"/>
    <n v="2560.5230000000001"/>
    <n v="12097"/>
    <s v="CATIVO"/>
    <n v="0"/>
    <n v="0"/>
    <n v="61"/>
    <n v="72"/>
    <n v="0"/>
    <n v="374.66"/>
    <n v="221.96"/>
    <m/>
    <n v="406.66540696605466"/>
    <n v="236.07067864943602"/>
    <n v="0"/>
    <n v="208298.54605"/>
    <n v="0"/>
    <n v="105047.26788181491"/>
    <x v="0"/>
  </r>
  <r>
    <s v="Refaturamento - Regular"/>
    <x v="2"/>
    <x v="2"/>
    <x v="0"/>
    <x v="0"/>
    <x v="0"/>
    <x v="0"/>
    <x v="2"/>
    <x v="11"/>
    <n v="0"/>
    <n v="0"/>
    <n v="-2.149"/>
    <n v="-2.149"/>
    <n v="-2.149"/>
    <n v="-2.149"/>
    <n v="0"/>
    <s v="CATIVO"/>
    <n v="0"/>
    <n v="0"/>
    <n v="61"/>
    <n v="72"/>
    <n v="0"/>
    <n v="374.66"/>
    <n v="221.96"/>
    <m/>
    <n v="406.66540696605466"/>
    <n v="236.07067864943602"/>
    <n v="0"/>
    <n v="-174.82114999999999"/>
    <n v="0"/>
    <n v="-88.164245616235533"/>
    <x v="0"/>
  </r>
  <r>
    <s v="Sistema de Compensação"/>
    <x v="2"/>
    <x v="2"/>
    <x v="0"/>
    <x v="0"/>
    <x v="0"/>
    <x v="0"/>
    <x v="2"/>
    <x v="11"/>
    <n v="0"/>
    <n v="0"/>
    <n v="102.249"/>
    <n v="102.249"/>
    <n v="102.249"/>
    <n v="102.249"/>
    <n v="775"/>
    <s v="CATIVO"/>
    <n v="0"/>
    <n v="0"/>
    <n v="61"/>
    <n v="72"/>
    <n v="0"/>
    <n v="374.66"/>
    <n v="221.96"/>
    <m/>
    <n v="406.66540696605466"/>
    <n v="236.07067864943602"/>
    <n v="0"/>
    <n v="8317.9561499999982"/>
    <n v="0"/>
    <n v="4194.8375756232972"/>
    <x v="0"/>
  </r>
  <r>
    <s v="Sistema de Compensação"/>
    <x v="2"/>
    <x v="2"/>
    <x v="0"/>
    <x v="0"/>
    <x v="0"/>
    <x v="0"/>
    <x v="2"/>
    <x v="11"/>
    <n v="0"/>
    <n v="0"/>
    <n v="-0.85499999999999998"/>
    <n v="-0.85499999999999998"/>
    <n v="-0.85499999999999998"/>
    <n v="-0.85499999999999998"/>
    <n v="2"/>
    <s v="CATIVO"/>
    <n v="0"/>
    <n v="0"/>
    <n v="61"/>
    <n v="72"/>
    <n v="0"/>
    <n v="374.66"/>
    <n v="221.96"/>
    <m/>
    <n v="406.66540696605466"/>
    <n v="236.07067864943602"/>
    <n v="0"/>
    <n v="-69.554249999999996"/>
    <n v="0"/>
    <n v="-35.076979991568813"/>
    <x v="0"/>
  </r>
  <r>
    <s v="Regular"/>
    <x v="2"/>
    <x v="2"/>
    <x v="0"/>
    <x v="0"/>
    <x v="0"/>
    <x v="0"/>
    <x v="2"/>
    <x v="5"/>
    <n v="0"/>
    <n v="0"/>
    <n v="2550.3969999999999"/>
    <n v="2550.3969999999999"/>
    <n v="2550.3969999999999"/>
    <n v="2550.3969999999999"/>
    <n v="12093"/>
    <s v="CATIVO"/>
    <n v="0"/>
    <n v="0"/>
    <n v="61"/>
    <n v="72"/>
    <n v="0"/>
    <n v="374.66"/>
    <n v="221.96"/>
    <m/>
    <n v="406.66540696605466"/>
    <n v="236.07067864943602"/>
    <n v="0"/>
    <n v="207474.79594999997"/>
    <n v="0"/>
    <n v="104631.84156673348"/>
    <x v="0"/>
  </r>
  <r>
    <s v="Refaturamento - Regular"/>
    <x v="2"/>
    <x v="2"/>
    <x v="0"/>
    <x v="0"/>
    <x v="0"/>
    <x v="0"/>
    <x v="2"/>
    <x v="5"/>
    <n v="0"/>
    <n v="0"/>
    <n v="-0.878"/>
    <n v="-0.878"/>
    <n v="-0.878"/>
    <n v="-0.878"/>
    <n v="0"/>
    <s v="CATIVO"/>
    <n v="0"/>
    <n v="0"/>
    <n v="61"/>
    <n v="72"/>
    <n v="0"/>
    <n v="374.66"/>
    <n v="221.96"/>
    <m/>
    <n v="406.66540696605466"/>
    <n v="236.07067864943602"/>
    <n v="0"/>
    <n v="-71.425299999999993"/>
    <n v="0"/>
    <n v="-36.020571266195809"/>
    <x v="0"/>
  </r>
  <r>
    <s v="Sistema de Compensação"/>
    <x v="2"/>
    <x v="2"/>
    <x v="0"/>
    <x v="0"/>
    <x v="0"/>
    <x v="0"/>
    <x v="2"/>
    <x v="5"/>
    <n v="0"/>
    <n v="0"/>
    <n v="96.396000000000001"/>
    <n v="96.396000000000001"/>
    <n v="96.396000000000001"/>
    <n v="96.396000000000001"/>
    <n v="816"/>
    <s v="CATIVO"/>
    <n v="0"/>
    <n v="0"/>
    <n v="61"/>
    <n v="72"/>
    <n v="0"/>
    <n v="374.66"/>
    <n v="221.96"/>
    <m/>
    <n v="406.66540696605466"/>
    <n v="236.07067864943602"/>
    <n v="0"/>
    <n v="7841.8145999999997"/>
    <n v="0"/>
    <n v="3954.714109084523"/>
    <x v="0"/>
  </r>
  <r>
    <s v="Sistema de Compensação"/>
    <x v="2"/>
    <x v="2"/>
    <x v="0"/>
    <x v="0"/>
    <x v="0"/>
    <x v="0"/>
    <x v="2"/>
    <x v="5"/>
    <n v="0"/>
    <n v="0"/>
    <n v="-0.71099999999999997"/>
    <n v="-0.71099999999999997"/>
    <n v="-0.71099999999999997"/>
    <n v="-0.71099999999999997"/>
    <n v="4"/>
    <s v="CATIVO"/>
    <n v="0"/>
    <n v="0"/>
    <n v="61"/>
    <n v="72"/>
    <n v="0"/>
    <n v="374.66"/>
    <n v="221.96"/>
    <m/>
    <n v="406.66540696605466"/>
    <n v="236.07067864943602"/>
    <n v="0"/>
    <n v="-57.839849999999991"/>
    <n v="0"/>
    <n v="-29.169278098251958"/>
    <x v="0"/>
  </r>
  <r>
    <s v="Regular"/>
    <x v="2"/>
    <x v="2"/>
    <x v="0"/>
    <x v="0"/>
    <x v="0"/>
    <x v="0"/>
    <x v="2"/>
    <x v="6"/>
    <n v="0"/>
    <n v="0"/>
    <n v="2682.5039999999999"/>
    <n v="2682.5039999999999"/>
    <n v="2682.5039999999999"/>
    <n v="2682.5039999999999"/>
    <n v="12094"/>
    <s v="CATIVO"/>
    <n v="0"/>
    <n v="0"/>
    <n v="61"/>
    <n v="72"/>
    <n v="0"/>
    <n v="374.66"/>
    <n v="221.96"/>
    <m/>
    <n v="406.66540696605466"/>
    <n v="236.07067864943602"/>
    <n v="0"/>
    <n v="218221.70039999997"/>
    <n v="0"/>
    <n v="110051.62471965299"/>
    <x v="0"/>
  </r>
  <r>
    <s v="Refaturamento - Regular"/>
    <x v="2"/>
    <x v="2"/>
    <x v="0"/>
    <x v="0"/>
    <x v="0"/>
    <x v="0"/>
    <x v="2"/>
    <x v="6"/>
    <n v="0"/>
    <n v="0"/>
    <n v="-3.08"/>
    <n v="-3.08"/>
    <n v="-3.08"/>
    <n v="-3.08"/>
    <n v="0"/>
    <s v="CATIVO"/>
    <n v="0"/>
    <n v="0"/>
    <n v="61"/>
    <n v="72"/>
    <n v="0"/>
    <n v="374.66"/>
    <n v="221.96"/>
    <m/>
    <n v="406.66540696605466"/>
    <n v="236.07067864943602"/>
    <n v="0"/>
    <n v="-250.55799999999999"/>
    <n v="0"/>
    <n v="-126.35917938483269"/>
    <x v="0"/>
  </r>
  <r>
    <s v="Sistema de Compensação"/>
    <x v="2"/>
    <x v="2"/>
    <x v="0"/>
    <x v="0"/>
    <x v="0"/>
    <x v="0"/>
    <x v="2"/>
    <x v="6"/>
    <n v="0"/>
    <n v="0"/>
    <n v="83.722999999999999"/>
    <n v="83.722999999999999"/>
    <n v="83.722999999999999"/>
    <n v="83.722999999999999"/>
    <n v="843"/>
    <s v="CATIVO"/>
    <n v="0"/>
    <n v="0"/>
    <n v="61"/>
    <n v="72"/>
    <n v="0"/>
    <n v="374.66"/>
    <n v="221.96"/>
    <m/>
    <n v="406.66540696605466"/>
    <n v="236.07067864943602"/>
    <n v="0"/>
    <n v="6810.8660499999996"/>
    <n v="0"/>
    <n v="3434.7953167650476"/>
    <x v="0"/>
  </r>
  <r>
    <s v="Regular"/>
    <x v="2"/>
    <x v="2"/>
    <x v="0"/>
    <x v="0"/>
    <x v="0"/>
    <x v="0"/>
    <x v="2"/>
    <x v="7"/>
    <n v="0"/>
    <n v="0"/>
    <n v="3795.2049999999999"/>
    <n v="3795.2049999999999"/>
    <n v="3795.2049999999999"/>
    <n v="3795.2049999999999"/>
    <n v="12103"/>
    <s v="CATIVO"/>
    <n v="0"/>
    <n v="0"/>
    <n v="61"/>
    <n v="72"/>
    <n v="0"/>
    <n v="374.66"/>
    <n v="221.96"/>
    <m/>
    <n v="406.66540696605466"/>
    <n v="236.07067864943602"/>
    <n v="0"/>
    <n v="308739.92674999998"/>
    <n v="0"/>
    <n v="155700.97058351099"/>
    <x v="0"/>
  </r>
  <r>
    <s v="Refaturamento - Regular"/>
    <x v="2"/>
    <x v="2"/>
    <x v="0"/>
    <x v="0"/>
    <x v="0"/>
    <x v="0"/>
    <x v="2"/>
    <x v="7"/>
    <n v="0"/>
    <n v="0"/>
    <n v="-8.1120000000000001"/>
    <n v="-8.1120000000000001"/>
    <n v="-8.1120000000000001"/>
    <n v="-8.1120000000000001"/>
    <n v="0"/>
    <s v="CATIVO"/>
    <n v="0"/>
    <n v="0"/>
    <n v="61"/>
    <n v="72"/>
    <n v="0"/>
    <n v="374.66"/>
    <n v="221.96"/>
    <m/>
    <n v="406.66540696605466"/>
    <n v="236.07067864943602"/>
    <n v="0"/>
    <n v="-659.91120000000001"/>
    <n v="0"/>
    <n v="-332.8005399901827"/>
    <x v="0"/>
  </r>
  <r>
    <s v="Sistema de Compensação"/>
    <x v="2"/>
    <x v="2"/>
    <x v="0"/>
    <x v="0"/>
    <x v="0"/>
    <x v="0"/>
    <x v="2"/>
    <x v="7"/>
    <n v="0"/>
    <n v="0"/>
    <n v="108.008"/>
    <n v="108.008"/>
    <n v="108.008"/>
    <n v="108.008"/>
    <n v="878"/>
    <s v="CATIVO"/>
    <n v="0"/>
    <n v="0"/>
    <n v="61"/>
    <n v="72"/>
    <n v="0"/>
    <n v="374.66"/>
    <n v="221.96"/>
    <m/>
    <n v="406.66540696605466"/>
    <n v="236.07067864943602"/>
    <n v="0"/>
    <n v="8786.4507999999987"/>
    <n v="0"/>
    <n v="4431.1046256483787"/>
    <x v="0"/>
  </r>
  <r>
    <s v="Regular"/>
    <x v="2"/>
    <x v="2"/>
    <x v="0"/>
    <x v="0"/>
    <x v="0"/>
    <x v="0"/>
    <x v="2"/>
    <x v="8"/>
    <n v="0"/>
    <n v="0"/>
    <n v="4691.0370000000003"/>
    <n v="4691.0370000000003"/>
    <n v="4691.0370000000003"/>
    <n v="4691.0370000000003"/>
    <n v="12147"/>
    <s v="CATIVO"/>
    <n v="0"/>
    <n v="0"/>
    <n v="61"/>
    <n v="72"/>
    <n v="0"/>
    <n v="374.66"/>
    <n v="221.96"/>
    <m/>
    <n v="406.66540696605466"/>
    <n v="236.07067864943602"/>
    <n v="0"/>
    <n v="381615.85995000001"/>
    <n v="0"/>
    <n v="192453.11226749589"/>
    <x v="0"/>
  </r>
  <r>
    <s v="Refaturamento - Regular"/>
    <x v="2"/>
    <x v="2"/>
    <x v="0"/>
    <x v="0"/>
    <x v="0"/>
    <x v="0"/>
    <x v="2"/>
    <x v="8"/>
    <n v="0"/>
    <n v="0"/>
    <n v="-2.028"/>
    <n v="-2.028"/>
    <n v="-2.028"/>
    <n v="-2.028"/>
    <n v="0"/>
    <s v="CATIVO"/>
    <n v="0"/>
    <n v="0"/>
    <n v="61"/>
    <n v="72"/>
    <n v="0"/>
    <n v="374.66"/>
    <n v="221.96"/>
    <m/>
    <n v="406.66540696605466"/>
    <n v="236.07067864943602"/>
    <n v="0"/>
    <n v="-164.9778"/>
    <n v="0"/>
    <n v="-83.200134997545675"/>
    <x v="0"/>
  </r>
  <r>
    <s v="Sistema de Compensação"/>
    <x v="2"/>
    <x v="2"/>
    <x v="0"/>
    <x v="0"/>
    <x v="0"/>
    <x v="0"/>
    <x v="2"/>
    <x v="8"/>
    <n v="0"/>
    <n v="0"/>
    <n v="162.435"/>
    <n v="162.435"/>
    <n v="162.435"/>
    <n v="162.435"/>
    <n v="895"/>
    <s v="CATIVO"/>
    <n v="0"/>
    <n v="0"/>
    <n v="61"/>
    <n v="72"/>
    <n v="0"/>
    <n v="374.66"/>
    <n v="221.96"/>
    <m/>
    <n v="406.66540696605466"/>
    <n v="236.07067864943602"/>
    <n v="0"/>
    <n v="13214.087249999999"/>
    <n v="0"/>
    <n v="6664.0108127841868"/>
    <x v="0"/>
  </r>
  <r>
    <s v="Regular"/>
    <x v="2"/>
    <x v="2"/>
    <x v="0"/>
    <x v="0"/>
    <x v="0"/>
    <x v="0"/>
    <x v="2"/>
    <x v="9"/>
    <n v="0"/>
    <n v="0"/>
    <n v="6116.61"/>
    <n v="6116.61"/>
    <n v="6116.61"/>
    <n v="6116.61"/>
    <n v="12138"/>
    <s v="CATIVO"/>
    <n v="0"/>
    <n v="0"/>
    <n v="61"/>
    <n v="72"/>
    <n v="0"/>
    <n v="374.66"/>
    <n v="221.96"/>
    <m/>
    <n v="406.66540696605466"/>
    <n v="236.07067864943602"/>
    <n v="0"/>
    <n v="497586.22349999996"/>
    <n v="0"/>
    <n v="250938.2533172277"/>
    <x v="0"/>
  </r>
  <r>
    <s v="Refaturamento - Regular"/>
    <x v="2"/>
    <x v="2"/>
    <x v="0"/>
    <x v="0"/>
    <x v="0"/>
    <x v="0"/>
    <x v="2"/>
    <x v="9"/>
    <n v="0"/>
    <n v="0"/>
    <n v="-0.21199999999999999"/>
    <n v="-0.21199999999999999"/>
    <n v="-0.21199999999999999"/>
    <n v="-0.21199999999999999"/>
    <n v="0"/>
    <s v="CATIVO"/>
    <n v="0"/>
    <n v="0"/>
    <n v="61"/>
    <n v="72"/>
    <n v="0"/>
    <n v="374.66"/>
    <n v="221.96"/>
    <m/>
    <n v="406.66540696605466"/>
    <n v="236.07067864943602"/>
    <n v="0"/>
    <n v="-17.246199999999998"/>
    <n v="0"/>
    <n v="-8.6974500096053653"/>
    <x v="0"/>
  </r>
  <r>
    <s v="Sistema de Compensação"/>
    <x v="2"/>
    <x v="2"/>
    <x v="0"/>
    <x v="0"/>
    <x v="0"/>
    <x v="0"/>
    <x v="2"/>
    <x v="9"/>
    <n v="0"/>
    <n v="0"/>
    <n v="227.94"/>
    <n v="227.94"/>
    <n v="227.94"/>
    <n v="227.94"/>
    <n v="925"/>
    <s v="CATIVO"/>
    <n v="0"/>
    <n v="0"/>
    <n v="61"/>
    <n v="72"/>
    <n v="0"/>
    <n v="374.66"/>
    <n v="221.96"/>
    <m/>
    <n v="406.66540696605466"/>
    <n v="236.07067864943602"/>
    <n v="0"/>
    <n v="18542.918999999998"/>
    <n v="0"/>
    <n v="9351.3997886294674"/>
    <x v="0"/>
  </r>
  <r>
    <s v="Regular"/>
    <x v="2"/>
    <x v="2"/>
    <x v="0"/>
    <x v="0"/>
    <x v="0"/>
    <x v="0"/>
    <x v="2"/>
    <x v="0"/>
    <n v="0"/>
    <n v="0"/>
    <n v="5582.9470000000001"/>
    <n v="5582.9470000000001"/>
    <n v="5582.9470000000001"/>
    <n v="5582.9470000000001"/>
    <n v="12170"/>
    <s v="CATIVO"/>
    <n v="0"/>
    <n v="0"/>
    <n v="61"/>
    <n v="72"/>
    <n v="0"/>
    <n v="374.66"/>
    <n v="221.96"/>
    <m/>
    <n v="406.66540696605466"/>
    <n v="236.07067864943602"/>
    <n v="0"/>
    <n v="454172.73845"/>
    <n v="0"/>
    <n v="229044.35112630308"/>
    <x v="0"/>
  </r>
  <r>
    <s v="Sistema de Compensação"/>
    <x v="2"/>
    <x v="2"/>
    <x v="0"/>
    <x v="0"/>
    <x v="0"/>
    <x v="0"/>
    <x v="2"/>
    <x v="0"/>
    <n v="0"/>
    <n v="0"/>
    <n v="167.898"/>
    <n v="167.898"/>
    <n v="167.898"/>
    <n v="167.898"/>
    <n v="889"/>
    <s v="CATIVO"/>
    <n v="0"/>
    <n v="0"/>
    <n v="61"/>
    <n v="72"/>
    <n v="0"/>
    <n v="374.66"/>
    <n v="221.96"/>
    <m/>
    <n v="406.66540696605466"/>
    <n v="236.07067864943602"/>
    <n v="0"/>
    <n v="13658.502299999998"/>
    <n v="0"/>
    <n v="6888.1342533618945"/>
    <x v="0"/>
  </r>
  <r>
    <s v="Regular"/>
    <x v="2"/>
    <x v="2"/>
    <x v="0"/>
    <x v="0"/>
    <x v="0"/>
    <x v="0"/>
    <x v="2"/>
    <x v="1"/>
    <n v="0"/>
    <n v="0"/>
    <n v="4474.9430000000002"/>
    <n v="4474.9430000000002"/>
    <n v="4474.9430000000002"/>
    <n v="4474.9430000000002"/>
    <n v="12092"/>
    <s v="CATIVO"/>
    <n v="0"/>
    <n v="0"/>
    <n v="61"/>
    <n v="72"/>
    <n v="0"/>
    <n v="374.66"/>
    <n v="221.96"/>
    <m/>
    <n v="406.66540696605466"/>
    <n v="236.07067864943602"/>
    <n v="0"/>
    <n v="364036.61304999999"/>
    <n v="0"/>
    <n v="183587.70301100693"/>
    <x v="0"/>
  </r>
  <r>
    <s v="Refaturamento - Regular"/>
    <x v="2"/>
    <x v="2"/>
    <x v="0"/>
    <x v="0"/>
    <x v="0"/>
    <x v="0"/>
    <x v="2"/>
    <x v="1"/>
    <n v="0"/>
    <n v="0"/>
    <n v="15.605"/>
    <n v="15.605"/>
    <n v="15.605"/>
    <n v="15.605"/>
    <n v="0"/>
    <s v="CATIVO"/>
    <n v="0"/>
    <n v="0"/>
    <n v="61"/>
    <n v="72"/>
    <n v="0"/>
    <n v="374.66"/>
    <n v="221.96"/>
    <m/>
    <n v="406.66540696605466"/>
    <n v="236.07067864943602"/>
    <n v="0"/>
    <n v="1269.46675"/>
    <n v="0"/>
    <n v="640.20616698062145"/>
    <x v="0"/>
  </r>
  <r>
    <s v="Sistema de Compensação"/>
    <x v="2"/>
    <x v="2"/>
    <x v="0"/>
    <x v="0"/>
    <x v="0"/>
    <x v="0"/>
    <x v="2"/>
    <x v="1"/>
    <n v="0"/>
    <n v="0"/>
    <n v="194.76499999999999"/>
    <n v="194.76499999999999"/>
    <n v="194.76499999999999"/>
    <n v="194.76499999999999"/>
    <n v="968"/>
    <s v="CATIVO"/>
    <n v="0"/>
    <n v="0"/>
    <n v="61"/>
    <n v="72"/>
    <n v="0"/>
    <n v="374.66"/>
    <n v="221.96"/>
    <m/>
    <n v="406.66540696605466"/>
    <n v="236.07067864943602"/>
    <n v="0"/>
    <n v="15844.132749999997"/>
    <n v="0"/>
    <n v="7990.3719392490048"/>
    <x v="0"/>
  </r>
  <r>
    <s v="Sistema de Compensação"/>
    <x v="2"/>
    <x v="2"/>
    <x v="0"/>
    <x v="0"/>
    <x v="0"/>
    <x v="0"/>
    <x v="2"/>
    <x v="1"/>
    <n v="0"/>
    <n v="0"/>
    <n v="86.06"/>
    <n v="86.06"/>
    <n v="86.06"/>
    <n v="86.06"/>
    <n v="2"/>
    <s v="CATIVO"/>
    <n v="0"/>
    <n v="0"/>
    <n v="61"/>
    <n v="72"/>
    <n v="0"/>
    <n v="374.66"/>
    <n v="221.96"/>
    <m/>
    <n v="406.66540696605466"/>
    <n v="236.07067864943602"/>
    <n v="0"/>
    <n v="7000.9809999999998"/>
    <n v="0"/>
    <n v="3530.6723954086688"/>
    <x v="0"/>
  </r>
  <r>
    <s v="Regular"/>
    <x v="2"/>
    <x v="2"/>
    <x v="0"/>
    <x v="0"/>
    <x v="0"/>
    <x v="0"/>
    <x v="2"/>
    <x v="2"/>
    <n v="0"/>
    <n v="0"/>
    <n v="3507.4749999999999"/>
    <n v="3507.4749999999999"/>
    <n v="3507.4749999999999"/>
    <n v="3507.4749999999999"/>
    <n v="12048"/>
    <s v="CATIVO"/>
    <n v="0"/>
    <n v="0"/>
    <n v="61"/>
    <n v="72"/>
    <n v="0"/>
    <n v="374.66"/>
    <n v="221.96"/>
    <m/>
    <n v="406.66540696605466"/>
    <n v="236.07067864943602"/>
    <n v="0"/>
    <n v="285333.09125"/>
    <n v="0"/>
    <n v="143896.64373792725"/>
    <x v="0"/>
  </r>
  <r>
    <s v="Refaturamento - Regular"/>
    <x v="2"/>
    <x v="2"/>
    <x v="0"/>
    <x v="0"/>
    <x v="0"/>
    <x v="0"/>
    <x v="2"/>
    <x v="2"/>
    <n v="0"/>
    <n v="0"/>
    <n v="-5.1719999999999997"/>
    <n v="-5.1719999999999997"/>
    <n v="-5.1719999999999997"/>
    <n v="-5.1719999999999997"/>
    <n v="0"/>
    <s v="CATIVO"/>
    <n v="0"/>
    <n v="0"/>
    <n v="61"/>
    <n v="72"/>
    <n v="0"/>
    <n v="374.66"/>
    <n v="221.96"/>
    <m/>
    <n v="406.66540696605466"/>
    <n v="236.07067864943602"/>
    <n v="0"/>
    <n v="-420.74219999999997"/>
    <n v="0"/>
    <n v="-212.18495966829693"/>
    <x v="0"/>
  </r>
  <r>
    <s v="Sistema de Compensação"/>
    <x v="2"/>
    <x v="2"/>
    <x v="0"/>
    <x v="0"/>
    <x v="0"/>
    <x v="0"/>
    <x v="2"/>
    <x v="2"/>
    <n v="0"/>
    <n v="0"/>
    <n v="178.11600000000001"/>
    <n v="178.11600000000001"/>
    <n v="178.11600000000001"/>
    <n v="178.11600000000001"/>
    <n v="957"/>
    <s v="CATIVO"/>
    <n v="0"/>
    <n v="0"/>
    <n v="61"/>
    <n v="72"/>
    <n v="0"/>
    <n v="374.66"/>
    <n v="221.96"/>
    <m/>
    <n v="406.66540696605466"/>
    <n v="236.07067864943602"/>
    <n v="0"/>
    <n v="14489.7366"/>
    <n v="0"/>
    <n v="7307.334933541837"/>
    <x v="0"/>
  </r>
  <r>
    <s v="Sistema de Compensação"/>
    <x v="2"/>
    <x v="2"/>
    <x v="0"/>
    <x v="0"/>
    <x v="0"/>
    <x v="0"/>
    <x v="2"/>
    <x v="2"/>
    <n v="0"/>
    <n v="0"/>
    <n v="-0.439"/>
    <n v="-0.439"/>
    <n v="-0.439"/>
    <n v="-0.439"/>
    <n v="2"/>
    <s v="CATIVO"/>
    <n v="0"/>
    <n v="0"/>
    <n v="61"/>
    <n v="72"/>
    <n v="0"/>
    <n v="374.66"/>
    <n v="221.96"/>
    <m/>
    <n v="406.66540696605466"/>
    <n v="236.07067864943602"/>
    <n v="0"/>
    <n v="-35.712649999999996"/>
    <n v="0"/>
    <n v="-18.010285633097904"/>
    <x v="0"/>
  </r>
  <r>
    <s v="Regular"/>
    <x v="2"/>
    <x v="2"/>
    <x v="0"/>
    <x v="0"/>
    <x v="0"/>
    <x v="0"/>
    <x v="2"/>
    <x v="3"/>
    <n v="0"/>
    <n v="0"/>
    <n v="2998.78"/>
    <n v="2998.78"/>
    <n v="2998.78"/>
    <n v="2998.78"/>
    <n v="12028"/>
    <s v="CATIVO"/>
    <n v="0"/>
    <n v="0"/>
    <n v="61"/>
    <n v="72"/>
    <n v="0"/>
    <n v="374.66"/>
    <n v="221.96"/>
    <m/>
    <n v="406.66540696605466"/>
    <n v="236.07067864943602"/>
    <n v="0"/>
    <n v="243950.753"/>
    <n v="0"/>
    <n v="123027.07141417162"/>
    <x v="0"/>
  </r>
  <r>
    <s v="Refaturamento - Regular"/>
    <x v="2"/>
    <x v="2"/>
    <x v="0"/>
    <x v="0"/>
    <x v="0"/>
    <x v="0"/>
    <x v="2"/>
    <x v="3"/>
    <n v="0"/>
    <n v="0"/>
    <n v="-3.1880000000000002"/>
    <n v="-3.1880000000000002"/>
    <n v="-3.1880000000000002"/>
    <n v="-3.1880000000000002"/>
    <n v="0"/>
    <s v="CATIVO"/>
    <n v="0"/>
    <n v="0"/>
    <n v="61"/>
    <n v="72"/>
    <n v="0"/>
    <n v="374.66"/>
    <n v="221.96"/>
    <m/>
    <n v="406.66540696605466"/>
    <n v="236.07067864943602"/>
    <n v="0"/>
    <n v="-259.34379999999999"/>
    <n v="0"/>
    <n v="-130.78995580482032"/>
    <x v="0"/>
  </r>
  <r>
    <s v="Sistema de Compensação"/>
    <x v="2"/>
    <x v="2"/>
    <x v="0"/>
    <x v="0"/>
    <x v="0"/>
    <x v="0"/>
    <x v="2"/>
    <x v="3"/>
    <n v="0"/>
    <n v="0"/>
    <n v="168.28399999999999"/>
    <n v="168.28399999999999"/>
    <n v="168.28399999999999"/>
    <n v="168.28399999999999"/>
    <n v="954"/>
    <s v="CATIVO"/>
    <n v="0"/>
    <n v="0"/>
    <n v="61"/>
    <n v="72"/>
    <n v="0"/>
    <n v="374.66"/>
    <n v="221.96"/>
    <m/>
    <n v="406.66540696605466"/>
    <n v="236.07067864943602"/>
    <n v="0"/>
    <n v="13689.903399999999"/>
    <n v="0"/>
    <n v="6903.9701764925912"/>
    <x v="0"/>
  </r>
  <r>
    <s v="Sistema de Compensação"/>
    <x v="2"/>
    <x v="2"/>
    <x v="0"/>
    <x v="0"/>
    <x v="0"/>
    <x v="0"/>
    <x v="2"/>
    <x v="3"/>
    <n v="0"/>
    <n v="0"/>
    <n v="-0.61499999999999999"/>
    <n v="-0.61499999999999999"/>
    <n v="-0.61499999999999999"/>
    <n v="-0.61499999999999999"/>
    <n v="6"/>
    <s v="CATIVO"/>
    <n v="0"/>
    <n v="0"/>
    <n v="61"/>
    <n v="72"/>
    <n v="0"/>
    <n v="374.66"/>
    <n v="221.96"/>
    <m/>
    <n v="406.66540696605466"/>
    <n v="236.07067864943602"/>
    <n v="0"/>
    <n v="-50.030249999999995"/>
    <n v="0"/>
    <n v="-25.230810169374056"/>
    <x v="0"/>
  </r>
  <r>
    <s v="Regular"/>
    <x v="2"/>
    <x v="2"/>
    <x v="0"/>
    <x v="0"/>
    <x v="0"/>
    <x v="0"/>
    <x v="2"/>
    <x v="4"/>
    <n v="0"/>
    <n v="0"/>
    <n v="2641.9630000000002"/>
    <n v="2641.9630000000002"/>
    <n v="2641.9630000000002"/>
    <n v="2641.9630000000002"/>
    <n v="11940"/>
    <s v="CATIVO"/>
    <n v="0"/>
    <n v="0"/>
    <n v="61"/>
    <n v="72"/>
    <n v="0"/>
    <n v="374.66"/>
    <n v="221.96"/>
    <m/>
    <n v="406.66540696605466"/>
    <n v="236.07067864943602"/>
    <n v="0"/>
    <n v="214923.69005"/>
    <n v="0"/>
    <n v="108388.40150814634"/>
    <x v="0"/>
  </r>
  <r>
    <s v="Refaturamento - Regular"/>
    <x v="2"/>
    <x v="2"/>
    <x v="0"/>
    <x v="0"/>
    <x v="0"/>
    <x v="0"/>
    <x v="2"/>
    <x v="4"/>
    <n v="0"/>
    <n v="0"/>
    <n v="-0.71799999999999997"/>
    <n v="-0.71799999999999997"/>
    <n v="-0.71799999999999997"/>
    <n v="-0.71799999999999997"/>
    <n v="0"/>
    <s v="CATIVO"/>
    <n v="0"/>
    <n v="0"/>
    <n v="61"/>
    <n v="72"/>
    <n v="0"/>
    <n v="374.66"/>
    <n v="221.96"/>
    <m/>
    <n v="406.66540696605466"/>
    <n v="236.07067864943602"/>
    <n v="0"/>
    <n v="-58.409299999999995"/>
    <n v="0"/>
    <n v="-29.456458051399306"/>
    <x v="0"/>
  </r>
  <r>
    <s v="Sistema de Compensação"/>
    <x v="2"/>
    <x v="2"/>
    <x v="0"/>
    <x v="0"/>
    <x v="0"/>
    <x v="0"/>
    <x v="2"/>
    <x v="4"/>
    <n v="0"/>
    <n v="0"/>
    <n v="189.661"/>
    <n v="189.661"/>
    <n v="189.661"/>
    <n v="189.661"/>
    <n v="1027"/>
    <s v="CATIVO"/>
    <n v="0"/>
    <n v="0"/>
    <n v="61"/>
    <n v="72"/>
    <n v="0"/>
    <n v="374.66"/>
    <n v="221.96"/>
    <m/>
    <n v="406.66540696605466"/>
    <n v="236.07067864943602"/>
    <n v="0"/>
    <n v="15428.922349999999"/>
    <n v="0"/>
    <n v="7780.9767276969969"/>
    <x v="0"/>
  </r>
  <r>
    <s v="Sistema de Compensação"/>
    <x v="2"/>
    <x v="2"/>
    <x v="0"/>
    <x v="0"/>
    <x v="0"/>
    <x v="0"/>
    <x v="2"/>
    <x v="4"/>
    <n v="0"/>
    <n v="0"/>
    <n v="-2.3580000000000001"/>
    <n v="-2.3580000000000001"/>
    <n v="-2.3580000000000001"/>
    <n v="-2.3580000000000001"/>
    <n v="7"/>
    <s v="CATIVO"/>
    <n v="0"/>
    <n v="0"/>
    <n v="61"/>
    <n v="72"/>
    <n v="0"/>
    <n v="374.66"/>
    <n v="221.96"/>
    <m/>
    <n v="406.66540696605466"/>
    <n v="236.07067864943602"/>
    <n v="0"/>
    <n v="-191.82329999999999"/>
    <n v="0"/>
    <n v="-96.738618503063464"/>
    <x v="0"/>
  </r>
  <r>
    <s v="Regular"/>
    <x v="3"/>
    <x v="2"/>
    <x v="3"/>
    <x v="7"/>
    <x v="0"/>
    <x v="0"/>
    <x v="2"/>
    <x v="10"/>
    <n v="0"/>
    <n v="0"/>
    <n v="79.802999999999997"/>
    <n v="75.01482"/>
    <n v="79.802999999999997"/>
    <n v="75.01482"/>
    <n v="28"/>
    <s v="CATIVO"/>
    <n v="0"/>
    <n v="0"/>
    <n v="30"/>
    <n v="79"/>
    <n v="0"/>
    <n v="425.75"/>
    <n v="252.22"/>
    <m/>
    <n v="432.62277336814327"/>
    <n v="251.13901983982558"/>
    <n v="0"/>
    <n v="3246.2423945999981"/>
    <n v="0"/>
    <n v="3273.9745430025305"/>
    <x v="5"/>
  </r>
  <r>
    <s v="Regular"/>
    <x v="3"/>
    <x v="2"/>
    <x v="3"/>
    <x v="7"/>
    <x v="0"/>
    <x v="0"/>
    <x v="2"/>
    <x v="11"/>
    <n v="0"/>
    <n v="0"/>
    <n v="78.555999999999997"/>
    <n v="73.842639999999989"/>
    <n v="78.555999999999997"/>
    <n v="73.842639999999989"/>
    <n v="28"/>
    <s v="CATIVO"/>
    <n v="0"/>
    <n v="0"/>
    <n v="30"/>
    <n v="79"/>
    <n v="0"/>
    <n v="425.75"/>
    <n v="252.22"/>
    <m/>
    <n v="432.62277336814327"/>
    <n v="251.13901983982558"/>
    <n v="0"/>
    <n v="3195.5166792000059"/>
    <n v="0"/>
    <n v="3222.8154856347178"/>
    <x v="5"/>
  </r>
  <r>
    <s v="Regular"/>
    <x v="3"/>
    <x v="2"/>
    <x v="3"/>
    <x v="7"/>
    <x v="0"/>
    <x v="0"/>
    <x v="2"/>
    <x v="5"/>
    <n v="0"/>
    <n v="0"/>
    <n v="79.253"/>
    <n v="74.497820000000004"/>
    <n v="79.253"/>
    <n v="74.497820000000004"/>
    <n v="28"/>
    <s v="CATIVO"/>
    <n v="0"/>
    <n v="0"/>
    <n v="30"/>
    <n v="79"/>
    <n v="0"/>
    <n v="425.75"/>
    <n v="252.22"/>
    <m/>
    <n v="432.62277336814327"/>
    <n v="251.13901983982558"/>
    <n v="0"/>
    <n v="3223.8693845999969"/>
    <n v="0"/>
    <n v="3251.4104038266664"/>
    <x v="5"/>
  </r>
  <r>
    <s v="Regular"/>
    <x v="3"/>
    <x v="2"/>
    <x v="3"/>
    <x v="7"/>
    <x v="0"/>
    <x v="0"/>
    <x v="2"/>
    <x v="6"/>
    <n v="0"/>
    <n v="0"/>
    <n v="77.802999999999997"/>
    <n v="73.134820000000005"/>
    <n v="77.802999999999997"/>
    <n v="73.134820000000005"/>
    <n v="28"/>
    <s v="CATIVO"/>
    <n v="0"/>
    <n v="0"/>
    <n v="30"/>
    <n v="79"/>
    <n v="0"/>
    <n v="425.75"/>
    <n v="252.22"/>
    <m/>
    <n v="432.62277336814327"/>
    <n v="251.13901983982558"/>
    <n v="0"/>
    <n v="3164.8859945999948"/>
    <n v="0"/>
    <n v="3191.9231278175712"/>
    <x v="5"/>
  </r>
  <r>
    <s v="Regular"/>
    <x v="3"/>
    <x v="2"/>
    <x v="3"/>
    <x v="7"/>
    <x v="0"/>
    <x v="0"/>
    <x v="2"/>
    <x v="7"/>
    <n v="0"/>
    <n v="0"/>
    <n v="81.462000000000003"/>
    <n v="76.574280000000002"/>
    <n v="81.462000000000003"/>
    <n v="76.574280000000002"/>
    <n v="28"/>
    <s v="CATIVO"/>
    <n v="0"/>
    <n v="0"/>
    <n v="30"/>
    <n v="79"/>
    <n v="0"/>
    <n v="425.75"/>
    <n v="252.22"/>
    <m/>
    <n v="432.62277336814327"/>
    <n v="251.13901983982558"/>
    <n v="0"/>
    <n v="3313.7275284000016"/>
    <n v="0"/>
    <n v="3342.0361918984545"/>
    <x v="5"/>
  </r>
  <r>
    <s v="Regular"/>
    <x v="3"/>
    <x v="2"/>
    <x v="3"/>
    <x v="7"/>
    <x v="0"/>
    <x v="0"/>
    <x v="2"/>
    <x v="8"/>
    <n v="0"/>
    <n v="0"/>
    <n v="85.683000000000007"/>
    <n v="80.542019999999994"/>
    <n v="85.683000000000007"/>
    <n v="80.542019999999994"/>
    <n v="28"/>
    <s v="CATIVO"/>
    <n v="0"/>
    <n v="0"/>
    <n v="30"/>
    <n v="79"/>
    <n v="0"/>
    <n v="425.75"/>
    <n v="252.22"/>
    <m/>
    <n v="432.62277336814327"/>
    <n v="251.13901983982558"/>
    <n v="0"/>
    <n v="3485.4302106000091"/>
    <n v="0"/>
    <n v="3515.2057036463129"/>
    <x v="5"/>
  </r>
  <r>
    <s v="Regular"/>
    <x v="3"/>
    <x v="2"/>
    <x v="3"/>
    <x v="7"/>
    <x v="0"/>
    <x v="0"/>
    <x v="2"/>
    <x v="9"/>
    <n v="0"/>
    <n v="0"/>
    <n v="89"/>
    <n v="83.66"/>
    <n v="89"/>
    <n v="83.66"/>
    <n v="28"/>
    <s v="CATIVO"/>
    <n v="0"/>
    <n v="0"/>
    <n v="30"/>
    <n v="79"/>
    <n v="0"/>
    <n v="425.75"/>
    <n v="252.22"/>
    <m/>
    <n v="432.62277336814327"/>
    <n v="251.13901983982558"/>
    <n v="0"/>
    <n v="3620.359800000002"/>
    <n v="0"/>
    <n v="3651.2879757305564"/>
    <x v="5"/>
  </r>
  <r>
    <s v="Regular"/>
    <x v="3"/>
    <x v="2"/>
    <x v="3"/>
    <x v="7"/>
    <x v="0"/>
    <x v="0"/>
    <x v="2"/>
    <x v="0"/>
    <n v="0"/>
    <n v="0"/>
    <n v="93.42"/>
    <n v="87.814800000000005"/>
    <n v="93.42"/>
    <n v="87.814800000000005"/>
    <n v="28"/>
    <s v="CATIVO"/>
    <n v="0"/>
    <n v="0"/>
    <n v="30"/>
    <n v="79"/>
    <n v="0"/>
    <n v="425.75"/>
    <n v="252.22"/>
    <m/>
    <n v="432.62277336814327"/>
    <n v="251.13901983982558"/>
    <n v="0"/>
    <n v="3800.1574439999977"/>
    <n v="0"/>
    <n v="3832.6216032893044"/>
    <x v="5"/>
  </r>
  <r>
    <s v="Regular"/>
    <x v="3"/>
    <x v="2"/>
    <x v="3"/>
    <x v="7"/>
    <x v="0"/>
    <x v="0"/>
    <x v="2"/>
    <x v="1"/>
    <n v="0"/>
    <n v="0"/>
    <n v="84.638000000000005"/>
    <n v="79.559719999999999"/>
    <n v="84.638000000000005"/>
    <n v="79.559719999999999"/>
    <n v="28"/>
    <s v="CATIVO"/>
    <n v="0"/>
    <n v="0"/>
    <n v="30"/>
    <n v="79"/>
    <n v="0"/>
    <n v="425.75"/>
    <n v="252.22"/>
    <m/>
    <n v="432.62277336814327"/>
    <n v="251.13901983982558"/>
    <n v="0"/>
    <n v="3442.9214916000046"/>
    <n v="0"/>
    <n v="3472.3338392121686"/>
    <x v="5"/>
  </r>
  <r>
    <s v="Regular"/>
    <x v="3"/>
    <x v="2"/>
    <x v="3"/>
    <x v="7"/>
    <x v="0"/>
    <x v="0"/>
    <x v="2"/>
    <x v="2"/>
    <n v="0"/>
    <n v="0"/>
    <n v="90.352999999999994"/>
    <n v="84.931820000000002"/>
    <n v="90.352999999999994"/>
    <n v="84.931820000000002"/>
    <n v="28"/>
    <s v="CATIVO"/>
    <n v="0"/>
    <n v="0"/>
    <n v="30"/>
    <n v="79"/>
    <n v="0"/>
    <n v="425.75"/>
    <n v="252.22"/>
    <m/>
    <n v="432.62277336814327"/>
    <n v="251.13901983982558"/>
    <n v="0"/>
    <n v="3675.3974045999948"/>
    <n v="0"/>
    <n v="3706.7957581031715"/>
    <x v="5"/>
  </r>
  <r>
    <s v="Regular"/>
    <x v="3"/>
    <x v="2"/>
    <x v="3"/>
    <x v="7"/>
    <x v="0"/>
    <x v="0"/>
    <x v="2"/>
    <x v="3"/>
    <n v="0"/>
    <n v="0"/>
    <n v="86.266000000000005"/>
    <n v="81.090040000000002"/>
    <n v="86.266000000000005"/>
    <n v="81.090040000000002"/>
    <n v="28"/>
    <s v="CATIVO"/>
    <n v="0"/>
    <n v="0"/>
    <n v="30"/>
    <n v="79"/>
    <n v="0"/>
    <n v="425.75"/>
    <n v="252.22"/>
    <m/>
    <n v="432.62277336814327"/>
    <n v="251.13901983982558"/>
    <n v="0"/>
    <n v="3509.1456012000026"/>
    <n v="0"/>
    <n v="3539.123691172721"/>
    <x v="5"/>
  </r>
  <r>
    <s v="Regular"/>
    <x v="3"/>
    <x v="2"/>
    <x v="3"/>
    <x v="7"/>
    <x v="0"/>
    <x v="0"/>
    <x v="2"/>
    <x v="4"/>
    <n v="0"/>
    <n v="0"/>
    <n v="86.858999999999995"/>
    <n v="81.647459999999995"/>
    <n v="86.858999999999995"/>
    <n v="81.647459999999995"/>
    <n v="28"/>
    <s v="CATIVO"/>
    <n v="0"/>
    <n v="0"/>
    <n v="30"/>
    <n v="79"/>
    <n v="0"/>
    <n v="425.75"/>
    <n v="252.22"/>
    <m/>
    <n v="432.62277336814327"/>
    <n v="251.13901983982558"/>
    <n v="0"/>
    <n v="3533.2677737999998"/>
    <n v="0"/>
    <n v="3563.4519357750578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88C32-8784-44F8-A008-65D21523016E}" name="Efeito Resumo" cacheId="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J496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9">
        <item x="2"/>
        <item x="4"/>
        <item x="7"/>
        <item x="0"/>
        <item x="5"/>
        <item x="3"/>
        <item x="1"/>
        <item x="6"/>
        <item t="default"/>
      </items>
    </pivotField>
    <pivotField axis="axisRow" showAll="0">
      <items count="10">
        <item x="1"/>
        <item x="7"/>
        <item x="8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5"/>
        <item x="6"/>
        <item x="7"/>
        <item x="8"/>
        <item x="9"/>
        <item x="10"/>
        <item x="11"/>
        <item x="1"/>
        <item x="2"/>
        <item x="3"/>
        <item x="4"/>
        <item x="0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95">
    <i>
      <x/>
    </i>
    <i r="1">
      <x/>
    </i>
    <i r="2">
      <x/>
    </i>
    <i r="3">
      <x v="3"/>
    </i>
    <i r="4">
      <x v="3"/>
    </i>
    <i r="5">
      <x v="3"/>
    </i>
    <i r="6">
      <x/>
    </i>
    <i r="7">
      <x/>
    </i>
    <i r="8">
      <x v="11"/>
    </i>
    <i r="7">
      <x v="2"/>
    </i>
    <i r="8">
      <x v="11"/>
    </i>
    <i r="3">
      <x v="6"/>
    </i>
    <i r="4">
      <x v="3"/>
    </i>
    <i r="5">
      <x v="3"/>
    </i>
    <i r="6">
      <x/>
    </i>
    <i r="7">
      <x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7"/>
    </i>
    <i r="8">
      <x v="8"/>
    </i>
    <i r="8">
      <x v="9"/>
    </i>
    <i r="8">
      <x v="10"/>
    </i>
    <i r="8">
      <x v="11"/>
    </i>
    <i r="2">
      <x v="2"/>
    </i>
    <i r="3">
      <x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4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2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3"/>
    </i>
    <i r="4">
      <x v="3"/>
    </i>
    <i r="5">
      <x/>
    </i>
    <i r="6">
      <x/>
    </i>
    <i r="7">
      <x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68">
    <format dxfId="619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1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17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16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15">
      <pivotArea type="all" dataOnly="0" outline="0" fieldPosition="0"/>
    </format>
    <format dxfId="614">
      <pivotArea outline="0" collapsedLevelsAreSubtotals="1" fieldPosition="0"/>
    </format>
    <format dxfId="613">
      <pivotArea field="16" type="button" dataOnly="0" labelOnly="1" outline="0" axis="axisRow" fieldPosition="0"/>
    </format>
    <format dxfId="612">
      <pivotArea dataOnly="0" labelOnly="1" fieldPosition="0">
        <references count="1">
          <reference field="16" count="0"/>
        </references>
      </pivotArea>
    </format>
    <format dxfId="611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10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09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0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0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603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2">
            <x v="3"/>
            <x v="6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3"/>
            <x v="6"/>
          </reference>
          <reference field="16" count="1" selected="0">
            <x v="0"/>
          </reference>
        </references>
      </pivotArea>
    </format>
    <format dxfId="601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00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59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598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59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59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95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9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9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9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59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59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58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8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8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8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8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84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8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58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1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57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7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4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6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1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5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4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4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2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540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53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53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3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3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16" count="1" selected="0">
            <x v="0"/>
          </reference>
        </references>
      </pivotArea>
    </format>
    <format dxfId="53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3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3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0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1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51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1">
            <x v="11"/>
          </reference>
          <reference field="16" count="1" selected="0">
            <x v="0"/>
          </reference>
        </references>
      </pivotArea>
    </format>
    <format dxfId="51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">
            <x v="11"/>
          </reference>
          <reference field="16" count="1" selected="0">
            <x v="0"/>
          </reference>
        </references>
      </pivotArea>
    </format>
    <format dxfId="51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51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51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8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48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8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48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83">
      <pivotArea type="all" dataOnly="0" outline="0" fieldPosition="0"/>
    </format>
    <format dxfId="482">
      <pivotArea outline="0" collapsedLevelsAreSubtotals="1" fieldPosition="0"/>
    </format>
    <format dxfId="481">
      <pivotArea field="16" type="button" dataOnly="0" labelOnly="1" outline="0" axis="axisRow" fieldPosition="0"/>
    </format>
    <format dxfId="480">
      <pivotArea dataOnly="0" labelOnly="1" fieldPosition="0">
        <references count="1">
          <reference field="16" count="0"/>
        </references>
      </pivotArea>
    </format>
    <format dxfId="479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78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77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7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2">
            <x v="3"/>
            <x v="6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3"/>
            <x v="6"/>
          </reference>
          <reference field="16" count="1" selected="0">
            <x v="0"/>
          </reference>
        </references>
      </pivotArea>
    </format>
    <format dxfId="46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64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3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450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30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9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2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1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1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0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0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08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0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0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0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0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0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8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38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1">
            <x v="11"/>
          </reference>
          <reference field="16" count="1" selected="0">
            <x v="0"/>
          </reference>
        </references>
      </pivotArea>
    </format>
    <format dxfId="38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1">
            <x v="11"/>
          </reference>
          <reference field="16" count="1" selected="0">
            <x v="0"/>
          </reference>
        </references>
      </pivotArea>
    </format>
    <format dxfId="38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38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5"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38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6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3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1"/>
          </reference>
        </references>
      </pivotArea>
    </format>
    <format dxfId="352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ECB40-F607-4703-815C-6A3F16412AF5}" name="Subsidio Resumo" cacheId="2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G332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9">
        <item x="1"/>
        <item x="7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10"/>
        <item x="11"/>
        <item x="5"/>
        <item x="6"/>
        <item x="7"/>
        <item x="8"/>
        <item x="9"/>
        <item x="0"/>
        <item x="1"/>
        <item x="2"/>
        <item x="3"/>
        <item x="4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5"/>
        <item x="4"/>
        <item x="1"/>
        <item x="2"/>
        <item x="0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331">
    <i>
      <x/>
    </i>
    <i r="1">
      <x v="3"/>
    </i>
    <i r="2">
      <x v="1"/>
    </i>
    <i r="3">
      <x v="3"/>
    </i>
    <i r="4">
      <x v="1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1"/>
    </i>
    <i r="4">
      <x v="4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2"/>
    </i>
    <i r="3">
      <x/>
    </i>
    <i r="4">
      <x v="2"/>
    </i>
    <i r="5">
      <x/>
    </i>
    <i r="6">
      <x/>
    </i>
    <i r="7">
      <x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2"/>
    </i>
    <i r="3">
      <x v="2"/>
    </i>
    <i r="4">
      <x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2"/>
    </i>
    <i r="4">
      <x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/>
    </i>
    <i r="2">
      <x/>
    </i>
    <i r="3">
      <x v="2"/>
    </i>
    <i r="4">
      <x v="2"/>
    </i>
    <i r="5">
      <x v="3"/>
    </i>
    <i r="6">
      <x/>
    </i>
    <i r="7">
      <x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7"/>
    </i>
    <i r="8">
      <x v="8"/>
    </i>
    <i r="8">
      <x v="9"/>
    </i>
    <i r="8">
      <x v="10"/>
    </i>
    <i r="8">
      <x v="11"/>
    </i>
    <i r="2">
      <x v="2"/>
    </i>
    <i r="3">
      <x v="2"/>
    </i>
    <i r="4">
      <x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2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8"/>
    </i>
    <i r="8">
      <x v="9"/>
    </i>
    <i r="8">
      <x v="10"/>
    </i>
    <i r="4">
      <x v="2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 v="1"/>
    </i>
    <i r="3">
      <x v="1"/>
    </i>
    <i r="4">
      <x v="3"/>
    </i>
    <i r="5">
      <x v="3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208">
    <format dxfId="351">
      <pivotArea outline="0" collapsedLevelsAreSubtotals="1" fieldPosition="0"/>
    </format>
    <format dxfId="3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49">
      <pivotArea type="all" dataOnly="0" outline="0" fieldPosition="0"/>
    </format>
    <format dxfId="348">
      <pivotArea outline="0" collapsedLevelsAreSubtotals="1" fieldPosition="0"/>
    </format>
    <format dxfId="347">
      <pivotArea field="31" type="button" dataOnly="0" labelOnly="1" outline="0" axis="axisRow" fieldPosition="0"/>
    </format>
    <format dxfId="346">
      <pivotArea dataOnly="0" labelOnly="1" fieldPosition="0">
        <references count="1">
          <reference field="31" count="0"/>
        </references>
      </pivotArea>
    </format>
    <format dxfId="345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44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43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42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341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340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39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38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33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33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33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34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31" count="1" selected="0">
            <x v="4"/>
          </reference>
        </references>
      </pivotArea>
    </format>
    <format dxfId="333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332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33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30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2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2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2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26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2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2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2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32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2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32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31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31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317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31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31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314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5"/>
          </reference>
        </references>
      </pivotArea>
    </format>
    <format dxfId="31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1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0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0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05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0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0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0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1"/>
            <x v="2"/>
          </reference>
          <reference field="31" count="1" selected="0">
            <x v="4"/>
          </reference>
        </references>
      </pivotArea>
    </format>
    <format dxfId="30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0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9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29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9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9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91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9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8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8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8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8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28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8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8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8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8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7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7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31" count="1" selected="0">
            <x v="3"/>
          </reference>
        </references>
      </pivotArea>
    </format>
    <format dxfId="27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76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2">
            <x v="0"/>
            <x v="2"/>
          </reference>
          <reference field="31" count="1" selected="0">
            <x v="4"/>
          </reference>
        </references>
      </pivotArea>
    </format>
    <format dxfId="27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27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27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7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7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7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26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6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26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6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26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6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5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4"/>
          </reference>
        </references>
      </pivotArea>
    </format>
    <format dxfId="25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4"/>
          </reference>
        </references>
      </pivotArea>
    </format>
    <format dxfId="2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5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0">
            <x v="0"/>
            <x v="1"/>
            <x v="2"/>
            <x v="3"/>
            <x v="4"/>
            <x v="5"/>
            <x v="6"/>
            <x v="8"/>
            <x v="9"/>
            <x v="10"/>
          </reference>
          <reference field="31" count="1" selected="0">
            <x v="4"/>
          </reference>
        </references>
      </pivotArea>
    </format>
    <format dxfId="24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4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4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6">
      <pivotArea type="all" dataOnly="0" outline="0" fieldPosition="0"/>
    </format>
    <format dxfId="245">
      <pivotArea outline="0" collapsedLevelsAreSubtotals="1" fieldPosition="0"/>
    </format>
    <format dxfId="244">
      <pivotArea field="31" type="button" dataOnly="0" labelOnly="1" outline="0" axis="axisRow" fieldPosition="0"/>
    </format>
    <format dxfId="243">
      <pivotArea dataOnly="0" labelOnly="1" fieldPosition="0">
        <references count="1">
          <reference field="31" count="0"/>
        </references>
      </pivotArea>
    </format>
    <format dxfId="242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41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40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3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38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237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36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35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3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233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232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31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31" count="1" selected="0">
            <x v="4"/>
          </reference>
        </references>
      </pivotArea>
    </format>
    <format dxfId="23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22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228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27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2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2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2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23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1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0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1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1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14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21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21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4"/>
          </reference>
        </references>
      </pivotArea>
    </format>
    <format dxfId="21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5"/>
          </reference>
        </references>
      </pivotArea>
    </format>
    <format dxfId="21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0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0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0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0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19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1"/>
            <x v="2"/>
          </reference>
          <reference field="31" count="1" selected="0">
            <x v="4"/>
          </reference>
        </references>
      </pivotArea>
    </format>
    <format dxfId="19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19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19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9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9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8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8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18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8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7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31" count="1" selected="0">
            <x v="3"/>
          </reference>
        </references>
      </pivotArea>
    </format>
    <format dxfId="17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73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2">
            <x v="0"/>
            <x v="2"/>
          </reference>
          <reference field="31" count="1" selected="0">
            <x v="4"/>
          </reference>
        </references>
      </pivotArea>
    </format>
    <format dxfId="17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17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17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16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4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5">
            <x v="7"/>
            <x v="8"/>
            <x v="9"/>
            <x v="10"/>
            <x v="11"/>
          </reference>
          <reference field="31" count="1" selected="0">
            <x v="4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4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0">
            <x v="0"/>
            <x v="1"/>
            <x v="2"/>
            <x v="3"/>
            <x v="4"/>
            <x v="5"/>
            <x v="6"/>
            <x v="8"/>
            <x v="9"/>
            <x v="10"/>
          </reference>
          <reference field="31" count="1" selected="0">
            <x v="4"/>
          </reference>
        </references>
      </pivotArea>
    </format>
    <format dxfId="14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5B99172-C0FC-4949-885F-9B357667A16F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31AEF56-9317-4216-B9B9-D51EBD35E652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66A71C1-C802-45BE-B730-3EB029787DFA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11CEC-E230-40E0-AA82-C5726E181F5A}" name="Efeito" displayName="Efeito" ref="A1:AG601" totalsRowShown="0" headerRowDxfId="688" dataDxfId="687">
  <autoFilter ref="A1:AG601" xr:uid="{31911CEC-E230-40E0-AA82-C5726E181F5A}"/>
  <tableColumns count="33">
    <tableColumn id="1" xr3:uid="{CD1682B9-4C29-4F47-B909-AD84996E3230}" name="TipoMercado" dataDxfId="686"/>
    <tableColumn id="2" xr3:uid="{C1F7F955-4D63-4E64-BF9C-8BDA955EF436}" name="Subgrupo" dataDxfId="685"/>
    <tableColumn id="3" xr3:uid="{A0BA1B4C-9FDA-49BB-B7A6-CB2DE0F32A71}" name="Modalidade" dataDxfId="684"/>
    <tableColumn id="4" xr3:uid="{5C529FBE-F939-4F25-A06F-8498D675D112}" name="Classe" dataDxfId="683"/>
    <tableColumn id="5" xr3:uid="{29B36E3A-D993-4972-9382-08CCAFE2CEFF}" name="Subclasse" dataDxfId="682"/>
    <tableColumn id="6" xr3:uid="{7D58543C-5FD1-4E56-B897-823419A1262E}" name="Detalhe" dataDxfId="681"/>
    <tableColumn id="7" xr3:uid="{CFA27A14-6627-440E-828B-403DBE68B537}" name="Agente" dataDxfId="680"/>
    <tableColumn id="8" xr3:uid="{60533B84-01BF-485B-BDA5-E31B574BC19B}" name="Posto" dataDxfId="679"/>
    <tableColumn id="9" xr3:uid="{4E4CC064-36CA-408C-B3E0-116646EA28A0}" name="AnoMes" dataDxfId="678"/>
    <tableColumn id="10" xr3:uid="{6AC6E244-AA50-4011-917F-6424653ED6EC}" name="D" dataDxfId="677"/>
    <tableColumn id="11" xr3:uid="{52A00A30-4810-4570-BE3F-D5BE28710B7D}" name="Daj" dataDxfId="676"/>
    <tableColumn id="12" xr3:uid="{4BD05805-F96A-486B-B657-AD8C6AFCC85B}" name="TUSD_E" dataDxfId="675"/>
    <tableColumn id="13" xr3:uid="{FB45E003-7AE3-47C8-8ECB-12DDB76FB86D}" name="TUSD_Eaj" dataDxfId="674"/>
    <tableColumn id="14" xr3:uid="{AFE38CAF-3EDB-49FD-B679-18709247AAB3}" name="TE_E" dataDxfId="673"/>
    <tableColumn id="15" xr3:uid="{5567F96E-346C-4571-BFF8-35D8DC9AC623}" name="TE_Eaj" dataDxfId="672"/>
    <tableColumn id="16" xr3:uid="{5317018A-DE67-4998-95EF-6DD784675054}" name="UC" dataDxfId="671"/>
    <tableColumn id="17" xr3:uid="{C6E7423A-E779-43B4-967B-7DA9D3B08FA7}" name="OPÇÃO" dataDxfId="670"/>
    <tableColumn id="18" xr3:uid="{14E33E16-4681-4602-A5DC-A49488C374BA}" name="CóD. AUX." dataDxfId="669"/>
    <tableColumn id="19" xr3:uid="{67182524-B5CD-4236-802D-AFDD62E60522}" name="CóD. AUX. TUSD R$/kW" dataDxfId="668"/>
    <tableColumn id="20" xr3:uid="{CF282ED4-2E9D-4A28-8ECF-334D1E638106}" name="CóD. AUX. TUSD R$/MWh" dataDxfId="667"/>
    <tableColumn id="21" xr3:uid="{C1EC0EBA-B997-4ADB-9661-2C788DBDB784}" name="CóD. AUX. TE R$/MWh" dataDxfId="666"/>
    <tableColumn id="22" xr3:uid="{E38EE8F0-C1F3-494B-A1CE-70856C379B68}" name="TUSD (R$/kW)" dataDxfId="665"/>
    <tableColumn id="23" xr3:uid="{9177B6B0-A04D-4246-9D16-25F6899B3C3D}" name="TUSD (R$/MWh)" dataDxfId="664"/>
    <tableColumn id="24" xr3:uid="{5F157852-C308-455B-859F-3D077B671164}" name="TE (R$/MWh)" dataDxfId="663"/>
    <tableColumn id="25" xr3:uid="{C623204D-F1D9-47A4-B79F-4F4FC4CDFB5A}" name="TUSD (R$/kW) NOVA" dataDxfId="662"/>
    <tableColumn id="26" xr3:uid="{5690F198-B582-44A4-A94C-94EC819D7755}" name="TUSD (R$/MWh) NOVA" dataDxfId="661">
      <calculatedColumnFormula>('TUSD BE'!$AM$50+'TUSD BF'!$AM$50+'TUSD CVA'!$AM$50)*1</calculatedColumnFormula>
    </tableColumn>
    <tableColumn id="27" xr3:uid="{3F03BE3A-B427-45CD-BCC3-4B7C030A33DD}" name="TE (R$/MWh) NOVA" dataDxfId="660">
      <calculatedColumnFormula>('TE BE'!$AB$40+'TE BF'!$AB$40+'TE CVA'!$AB$40)*1</calculatedColumnFormula>
    </tableColumn>
    <tableColumn id="28" xr3:uid="{FEAB8567-4335-4C9A-A803-B0A5D512E4B9}" name="RA0 ou RV - TUSD (kW)" dataDxfId="659"/>
    <tableColumn id="29" xr3:uid="{59F62B8A-55D5-4C0C-8A1F-B6440044660C}" name="RA0 ou RV - TUSD (MWh)" dataDxfId="658"/>
    <tableColumn id="30" xr3:uid="{3A3D23BE-DA45-45A1-93D8-A79E19643411}" name="RA0 ou RV - TE (MWh)" dataDxfId="657"/>
    <tableColumn id="31" xr3:uid="{BB019ABC-F9EE-4BD3-AEE0-5270A1AA5C8E}" name="RA1 ou RRD - TUSD (kW)" dataDxfId="656"/>
    <tableColumn id="32" xr3:uid="{E6D79A67-AAA5-4253-8D67-78B724387E00}" name="RA1 ou RRD - TUSD (MWh)" dataDxfId="655"/>
    <tableColumn id="33" xr3:uid="{083E87ED-C874-4D5B-A9D8-8250F826F5C2}" name="RA1 ou RRD - TE (MWh)" dataDxfId="6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2AFEC8-F7C9-4D06-863D-1ED0C31B237B}" name="Subsidio" displayName="Subsidio" ref="A1:AF350" totalsRowShown="0" headerRowDxfId="653" dataDxfId="652">
  <autoFilter ref="A1:AF350" xr:uid="{9F2AFEC8-F7C9-4D06-863D-1ED0C31B237B}"/>
  <tableColumns count="32">
    <tableColumn id="1" xr3:uid="{24450207-7FE7-458E-815B-A43F1F5810F2}" name="TipoMercado" dataDxfId="651"/>
    <tableColumn id="2" xr3:uid="{03E9ED32-9F2D-4FA7-B8A3-F9913AD9455B}" name="Subgrupo" dataDxfId="650"/>
    <tableColumn id="3" xr3:uid="{BA2396F1-FB9A-4457-A869-CA9E5ADB973B}" name="Modalidade" dataDxfId="649"/>
    <tableColumn id="4" xr3:uid="{45503CAF-FBF2-4DEB-AD74-54573A625DE0}" name="Classe" dataDxfId="648"/>
    <tableColumn id="5" xr3:uid="{DE48A06A-8461-4E45-ACA6-03FFE23DA1BE}" name="Subclasse" dataDxfId="647"/>
    <tableColumn id="6" xr3:uid="{4F1639B8-E561-4D67-AFC9-96ECD468C04E}" name="Detalhe" dataDxfId="646"/>
    <tableColumn id="7" xr3:uid="{DF2E75CF-9D9B-4F3C-B32C-7A05454BB81C}" name="Agente" dataDxfId="645"/>
    <tableColumn id="8" xr3:uid="{5261CCDC-0EF6-4C2E-9A5F-1627B783D6CB}" name="Posto" dataDxfId="644"/>
    <tableColumn id="9" xr3:uid="{FB9EA491-AD39-4DFD-9C19-48EA9F88038C}" name="AnoMes" dataDxfId="643"/>
    <tableColumn id="10" xr3:uid="{8B705767-7DD6-408B-97C3-EA1470E48202}" name="D" dataDxfId="642"/>
    <tableColumn id="11" xr3:uid="{A09C6432-6DCB-4086-B5E5-F820552DA5E0}" name="Daj" dataDxfId="641"/>
    <tableColumn id="12" xr3:uid="{3D8CC9A6-FD64-439F-A2A6-C31AD07C6A8F}" name="TUSD_E" dataDxfId="640"/>
    <tableColumn id="13" xr3:uid="{3F15A09D-C369-4708-A313-22930ED868FB}" name="TUSD_Eaj" dataDxfId="639"/>
    <tableColumn id="14" xr3:uid="{8FDFF59F-8E04-4747-A7B2-2A793C4C5A11}" name="TE_E" dataDxfId="638"/>
    <tableColumn id="15" xr3:uid="{E1E76B9F-C516-4F50-9502-A5D01E915B12}" name="TE_Eaj" dataDxfId="637"/>
    <tableColumn id="16" xr3:uid="{1C0C22E7-417A-430C-8F47-58A2917B0940}" name="UC" dataDxfId="636"/>
    <tableColumn id="17" xr3:uid="{7248EB9E-D818-48F0-8749-4FC0B054A66A}" name="OPÇÃO" dataDxfId="635"/>
    <tableColumn id="18" xr3:uid="{4F9577C9-1CE2-4715-94C5-1C301105814A}" name="CóD. AUX." dataDxfId="634"/>
    <tableColumn id="19" xr3:uid="{E9381B35-917C-41C7-9676-CD76591CF7CF}" name="CóD. AUX. TUSD R$/kW" dataDxfId="633"/>
    <tableColumn id="20" xr3:uid="{2EA9741F-027C-454E-8742-761FC5B680CD}" name="CóD. AUX. TUSD R$/MWh" dataDxfId="632"/>
    <tableColumn id="21" xr3:uid="{04264EA4-3CB6-47F5-AB23-126709631B38}" name="CóD. AUX. TE R$/MWh" dataDxfId="631"/>
    <tableColumn id="22" xr3:uid="{3BC0F1A2-0594-49A5-8E45-3CDD8E47CEEE}" name="TUSD (R$/kW)" dataDxfId="630"/>
    <tableColumn id="23" xr3:uid="{54EE0F78-A93C-4F35-A059-BAD47450F626}" name="TUSD (R$/MWh)" dataDxfId="629"/>
    <tableColumn id="24" xr3:uid="{52939B7C-AA0B-4856-8441-BDE8EFF3A472}" name="TE (R$/MWh)" dataDxfId="628"/>
    <tableColumn id="25" xr3:uid="{701D6F62-8156-40D1-92A5-0352C9127058}" name="TUSD (R$/kW) NOVA" dataDxfId="627"/>
    <tableColumn id="26" xr3:uid="{76522513-C107-4B3F-8212-FC0248C740A2}" name="TUSD (R$/MWh) NOVA" dataDxfId="626">
      <calculatedColumnFormula>('TUSD BE'!$AM$48+'TUSD BF'!$AM$48+'TUSD CVA'!$AM$48)*1</calculatedColumnFormula>
    </tableColumn>
    <tableColumn id="27" xr3:uid="{FD1B6A72-9194-4AB0-B390-84280D0D820E}" name="TE (R$/MWh) NOVA" dataDxfId="625">
      <calculatedColumnFormula>('TE BE'!$AB$38+'TE BF'!$AB$38+'TE CVA'!$AB$38)*1</calculatedColumnFormula>
    </tableColumn>
    <tableColumn id="28" xr3:uid="{61628ADB-C615-44A0-B78A-0EF4D63F2C7D}" name="SUBSIDIO kW - TV" dataDxfId="624">
      <calculatedColumnFormula>(J2-K2)*V2</calculatedColumnFormula>
    </tableColumn>
    <tableColumn id="29" xr3:uid="{24A6C9DE-9083-4F37-8069-F2A8C63BC391}" name="SUBSIDIO MWh - TV" dataDxfId="623">
      <calculatedColumnFormula>(L2-M2)*W2+(N2-O2)*X2</calculatedColumnFormula>
    </tableColumn>
    <tableColumn id="30" xr3:uid="{23FBB713-AF15-4A05-8D61-C102C1F2F5C3}" name="SUBSIDIO kW - TN" dataDxfId="622">
      <calculatedColumnFormula>(J2-K2)*Y2</calculatedColumnFormula>
    </tableColumn>
    <tableColumn id="31" xr3:uid="{DFD1C51F-F00A-4C9F-A331-A142F05EC173}" name="SUBSIDIO MWh - TN" dataDxfId="621">
      <calculatedColumnFormula>(L2-M2)*Z2+(N2-O2)*AA2</calculatedColumnFormula>
    </tableColumn>
    <tableColumn id="32" xr3:uid="{782F55E7-9EE9-48E9-AD37-28682309B4B2}" name="TIPO" dataDxfId="6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CECC9-BC0C-42D5-BAB0-D048694752AB}" name="TabelaFin" displayName="TabelaFin" ref="B3:AR49" tableType="queryTable" totalsRowShown="0" headerRowDxfId="97" dataDxfId="96" headerRowBorderDxfId="142" tableBorderDxfId="143" totalsRowBorderDxfId="141">
  <autoFilter ref="B3:AR49" xr:uid="{2E6CECC9-BC0C-42D5-BAB0-D048694752AB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5B537A63-96C2-4923-8471-C260C826C61C}" uniqueName="44" name="SUBGRUPO" queryTableFieldId="1" dataDxfId="140"/>
    <tableColumn id="45" xr3:uid="{CEFB734B-94C8-4F71-9832-1AC58CE06DE6}" uniqueName="45" name="MODALIDADE" queryTableFieldId="2" dataDxfId="139"/>
    <tableColumn id="46" xr3:uid="{5FEBF2BA-B9CD-4B5E-866A-035A4A4DCE2A}" uniqueName="46" name="CLASSE" queryTableFieldId="3" dataDxfId="138"/>
    <tableColumn id="47" xr3:uid="{F7411E71-E7DF-4E99-BEE9-F7F2380A98A2}" uniqueName="47" name="SUBCLASSE" queryTableFieldId="4" dataDxfId="137"/>
    <tableColumn id="48" xr3:uid="{683B126A-22E1-48BB-B63E-48B04BCB417C}" uniqueName="48" name="DETALHE" queryTableFieldId="5" dataDxfId="136"/>
    <tableColumn id="49" xr3:uid="{18486827-F268-48C0-AFBF-5E67C8CE94EF}" uniqueName="49" name="POSTO" queryTableFieldId="6" dataDxfId="135"/>
    <tableColumn id="50" xr3:uid="{11C21DD3-555D-41EC-B0C6-CE9CFDE1763E}" uniqueName="50" name="UNIDADE" queryTableFieldId="7" dataDxfId="134"/>
    <tableColumn id="51" xr3:uid="{C258BE23-5149-4425-BDBF-6D5D598DF9C5}" uniqueName="51" name="ACESSANTE" queryTableFieldId="8" dataDxfId="133"/>
    <tableColumn id="52" xr3:uid="{EB70E3A9-BFC4-4849-93DF-776E3A40B836}" uniqueName="52" name="Total TUSD" queryTableFieldId="9" dataDxfId="132"/>
    <tableColumn id="53" xr3:uid="{E596F4CF-0BF2-4534-993E-00952775A899}" uniqueName="53" name="Total TE" queryTableFieldId="10" dataDxfId="131"/>
    <tableColumn id="54" xr3:uid="{0D916FAF-A681-456D-BFC5-3FDCF85E4147}" uniqueName="54" name="TUSD_CDE_COVID" queryTableFieldId="11" dataDxfId="130"/>
    <tableColumn id="55" xr3:uid="{017A0B67-4D6C-4AA8-94B3-3DCF22B0183C}" uniqueName="55" name="TUSD_TFSEE" queryTableFieldId="12" dataDxfId="129"/>
    <tableColumn id="56" xr3:uid="{5D5CA5E9-F745-4E78-96E8-9B664B8C39F8}" uniqueName="56" name="TUSD_PeD" queryTableFieldId="13" dataDxfId="128"/>
    <tableColumn id="57" xr3:uid="{E44F015F-FE04-48C1-9389-5BEA8EC765C9}" uniqueName="57" name="TUSD_ONS" queryTableFieldId="14" dataDxfId="127"/>
    <tableColumn id="58" xr3:uid="{E2174053-CD31-4906-B5C5-2A7C4C48C150}" uniqueName="58" name="TUSD_CCC" queryTableFieldId="15" dataDxfId="126"/>
    <tableColumn id="59" xr3:uid="{55E4D767-7EE6-4BBB-A658-22D1609AFF51}" uniqueName="59" name="TUSD_CDE" queryTableFieldId="16" dataDxfId="125"/>
    <tableColumn id="60" xr3:uid="{10DC15E1-B02F-4428-ADC6-AF6AD0D1A97D}" uniqueName="60" name="TUSD_PROINFA" queryTableFieldId="17" dataDxfId="124"/>
    <tableColumn id="61" xr3:uid="{F7344BE8-DB09-4394-B1D8-80392B88E318}" uniqueName="61" name="Liminar1" queryTableFieldId="18" dataDxfId="123"/>
    <tableColumn id="62" xr3:uid="{4F752F4D-8C56-4514-92EA-48D8185ED8A5}" uniqueName="62" name="TUSD_RB" queryTableFieldId="19" dataDxfId="122"/>
    <tableColumn id="63" xr3:uid="{CF1B089A-7010-4624-A7CD-294536AE386D}" uniqueName="63" name="TUSD_FR" queryTableFieldId="20" dataDxfId="121"/>
    <tableColumn id="64" xr3:uid="{6A0ADE43-25C7-4BF6-95FF-B2A260FF01A6}" uniqueName="64" name="TUSD_CCT" queryTableFieldId="21" dataDxfId="120"/>
    <tableColumn id="65" xr3:uid="{E1AEF3AF-F265-457B-979F-E311FE576060}" uniqueName="65" name="TUSD_CCD" queryTableFieldId="22" dataDxfId="119"/>
    <tableColumn id="66" xr3:uid="{79DD2A9C-7AFE-4226-95D2-91411EF91072}" uniqueName="66" name="TUSD_CUSD" queryTableFieldId="23" dataDxfId="118"/>
    <tableColumn id="67" xr3:uid="{5F11A135-87A5-4A5F-8604-E2135E0E1D9F}" uniqueName="67" name="TUSDG_T" queryTableFieldId="24" dataDxfId="117"/>
    <tableColumn id="68" xr3:uid="{E0B3C631-E798-470E-B293-21085AD67249}" uniqueName="68" name="TUSDG_ONS" queryTableFieldId="25" dataDxfId="116"/>
    <tableColumn id="69" xr3:uid="{ECA7A3A1-6162-434E-AEA4-4DD8CBA758CB}" uniqueName="69" name="TUSD_FioB" queryTableFieldId="26" dataDxfId="115"/>
    <tableColumn id="70" xr3:uid="{DDE6D651-32C5-4DD1-B89B-4A007A0CA8CD}" uniqueName="70" name="TUSD Subsidio" queryTableFieldId="27" dataDxfId="114"/>
    <tableColumn id="71" xr3:uid="{7B25A956-0381-48D8-A8C9-2EE14AEEA73C}" uniqueName="71" name="TUSD Outros" queryTableFieldId="28" dataDxfId="113"/>
    <tableColumn id="72" xr3:uid="{50C90EE2-1B30-4C65-974B-91C687A5D826}" uniqueName="72" name="TUSD_PT" queryTableFieldId="29" dataDxfId="112"/>
    <tableColumn id="73" xr3:uid="{6EE11638-24EB-42D9-BAEE-FCF7AC5D9825}" uniqueName="73" name="TUSD_Per_RB_D" queryTableFieldId="30" dataDxfId="111"/>
    <tableColumn id="74" xr3:uid="{7349FF80-885B-4860-A3D6-F17F67150C7E}" uniqueName="74" name="TUSD_PNT" queryTableFieldId="31" dataDxfId="110"/>
    <tableColumn id="75" xr3:uid="{07CED2EF-D382-4599-BEA4-EA9A829E37D2}" uniqueName="75" name="TUSD_RI" queryTableFieldId="32" dataDxfId="109"/>
    <tableColumn id="76" xr3:uid="{C1553F36-3EB8-4A03-889F-86CF9AFFA2FB}" uniqueName="76" name="TE_CDE_COVID" queryTableFieldId="33" dataDxfId="108"/>
    <tableColumn id="77" xr3:uid="{8A0DAE21-5B1A-4E06-A567-FABF3FD2537E}" uniqueName="77" name="TE_CDE_ELET" queryTableFieldId="34" dataDxfId="107"/>
    <tableColumn id="78" xr3:uid="{D025A27F-F600-43E9-9557-54D1FA3D4EF8}" uniqueName="78" name="TE_PeD" queryTableFieldId="35" dataDxfId="106"/>
    <tableColumn id="79" xr3:uid="{D88FC427-44D1-4BD1-A499-5012DC40A823}" uniqueName="79" name="TE_ESSERR" queryTableFieldId="36" dataDxfId="105"/>
    <tableColumn id="80" xr3:uid="{DE3CF48E-9D14-49E1-A976-FC1AA35A0C8E}" uniqueName="80" name="TE_CFURH" queryTableFieldId="37" dataDxfId="104"/>
    <tableColumn id="81" xr3:uid="{2AAE4993-65BF-4AC8-9564-A1A8642CC183}" uniqueName="81" name="TE_ENERGIA" queryTableFieldId="38" dataDxfId="103"/>
    <tableColumn id="82" xr3:uid="{CB83942E-7AB3-4F2C-AE7B-776026C7582F}" uniqueName="82" name="TE_TRANSPORTE_ITAIPU" queryTableFieldId="39" dataDxfId="102"/>
    <tableColumn id="83" xr3:uid="{3827AF85-3627-43B5-AF81-BF4C83C3C5DB}" uniqueName="83" name="TE_TUST_ITAIPU" queryTableFieldId="40" dataDxfId="101"/>
    <tableColumn id="84" xr3:uid="{88A006A1-7500-4EFB-ADD0-864606B237C3}" uniqueName="84" name="TE_TUST_CI" queryTableFieldId="41" dataDxfId="100"/>
    <tableColumn id="85" xr3:uid="{6BA91EFB-252B-4B87-9FAA-E079708631D8}" uniqueName="85" name="TE Subsidio" queryTableFieldId="42" dataDxfId="99"/>
    <tableColumn id="86" xr3:uid="{C7F7930F-C874-45A8-B655-F3D490866B9D}" uniqueName="86" name="TE_Per_RB" queryTableFieldId="43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C7F3BC-5C57-4543-AB90-9F7B74DEB89A}" name="TabelaEc" displayName="TabelaEc" ref="B3:AR49" tableType="queryTable" totalsRowShown="0" headerRowDxfId="49" dataDxfId="48" headerRowBorderDxfId="94" tableBorderDxfId="95" totalsRowBorderDxfId="93">
  <autoFilter ref="B3:AR49" xr:uid="{12C7F3BC-5C57-4543-AB90-9F7B74DEB89A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53E3D32C-0960-4346-8BB9-089D6A8E7E90}" uniqueName="44" name="SUBGRUPO" queryTableFieldId="1" dataDxfId="92"/>
    <tableColumn id="45" xr3:uid="{B32F861E-8007-4FEE-8CBC-91FE8D09B6FD}" uniqueName="45" name="MODALIDADE" queryTableFieldId="2" dataDxfId="91"/>
    <tableColumn id="46" xr3:uid="{F4E8B66B-6A99-43C1-9FB5-897C4A4129A5}" uniqueName="46" name="CLASSE" queryTableFieldId="3" dataDxfId="90"/>
    <tableColumn id="47" xr3:uid="{214739CE-D122-4149-84C5-D10C88837980}" uniqueName="47" name="SUBCLASSE" queryTableFieldId="4" dataDxfId="89"/>
    <tableColumn id="48" xr3:uid="{06AD1E4A-6E1B-4BCE-8AF3-9F698F5A65AC}" uniqueName="48" name="DETALHE" queryTableFieldId="5" dataDxfId="88"/>
    <tableColumn id="49" xr3:uid="{9DF98FC5-DC32-4376-98FC-DF2B1FD3848F}" uniqueName="49" name="POSTO" queryTableFieldId="6" dataDxfId="87"/>
    <tableColumn id="50" xr3:uid="{2844AD04-DD9F-4493-A8F8-DEDC1C893344}" uniqueName="50" name="UNIDADE" queryTableFieldId="7" dataDxfId="86"/>
    <tableColumn id="51" xr3:uid="{11F6A50E-0C0B-4D15-8200-2AD1DB51A219}" uniqueName="51" name="ACESSANTE" queryTableFieldId="8" dataDxfId="85"/>
    <tableColumn id="52" xr3:uid="{E6332B28-6DD7-4CE3-A549-0EE41D4DA07A}" uniqueName="52" name="Total TUSD" queryTableFieldId="9" dataDxfId="84"/>
    <tableColumn id="53" xr3:uid="{F1384954-1CE7-460B-A467-C0364A1B32EC}" uniqueName="53" name="Total TE" queryTableFieldId="10" dataDxfId="83"/>
    <tableColumn id="54" xr3:uid="{39979E9A-10C6-4EA5-A517-BC157505879F}" uniqueName="54" name="TUSD_CDE_COVID" queryTableFieldId="11" dataDxfId="82"/>
    <tableColumn id="55" xr3:uid="{C652E166-290C-4309-806E-06644A64F3F0}" uniqueName="55" name="TUSD_TFSEE" queryTableFieldId="12" dataDxfId="81"/>
    <tableColumn id="56" xr3:uid="{0444D063-9C9C-40FF-BF16-3D97295E0797}" uniqueName="56" name="TUSD_PeD" queryTableFieldId="13" dataDxfId="80"/>
    <tableColumn id="57" xr3:uid="{4BF336C9-F093-4E8A-95DE-EDC1D32ABE53}" uniqueName="57" name="TUSD_ONS" queryTableFieldId="14" dataDxfId="79"/>
    <tableColumn id="58" xr3:uid="{94C412EE-AC3B-4ECA-B441-96E110911DCC}" uniqueName="58" name="TUSD_CCC" queryTableFieldId="15" dataDxfId="78"/>
    <tableColumn id="59" xr3:uid="{3D2CACC5-683B-4AE0-9E45-F448E2DB72E2}" uniqueName="59" name="TUSD_CDE" queryTableFieldId="16" dataDxfId="77"/>
    <tableColumn id="60" xr3:uid="{E4FF5B55-0C77-4FF6-82F3-50B7AAB7C8BD}" uniqueName="60" name="TUSD_PROINFA" queryTableFieldId="17" dataDxfId="76"/>
    <tableColumn id="61" xr3:uid="{9CCEB592-727D-438C-B260-A325420C0863}" uniqueName="61" name="Liminar1" queryTableFieldId="18" dataDxfId="75"/>
    <tableColumn id="62" xr3:uid="{6F83E672-DF04-4EA8-B2DB-BBDB2A2FD386}" uniqueName="62" name="TUSD_RB" queryTableFieldId="19" dataDxfId="74"/>
    <tableColumn id="63" xr3:uid="{626B26BC-E625-44DA-A8D8-C89738579E01}" uniqueName="63" name="TUSD_FR" queryTableFieldId="20" dataDxfId="73"/>
    <tableColumn id="64" xr3:uid="{BF2DEE6B-9AC2-42E9-AE7D-3B675E550FAD}" uniqueName="64" name="TUSD_CCT" queryTableFieldId="21" dataDxfId="72"/>
    <tableColumn id="65" xr3:uid="{36410948-82F0-4C88-9DEE-B77A5CF30193}" uniqueName="65" name="TUSD_CCD" queryTableFieldId="22" dataDxfId="71"/>
    <tableColumn id="66" xr3:uid="{5FFD3FDC-FB0D-44FC-851E-AD0607DCDF80}" uniqueName="66" name="TUSD_CUSD" queryTableFieldId="23" dataDxfId="70"/>
    <tableColumn id="67" xr3:uid="{36AA5C8B-78FF-4D6C-9EAF-8CAC6522CC5E}" uniqueName="67" name="TUSDG_T" queryTableFieldId="24" dataDxfId="69"/>
    <tableColumn id="68" xr3:uid="{421836BA-D9BE-4D00-BCF3-26FB8E2B1503}" uniqueName="68" name="TUSDG_ONS" queryTableFieldId="25" dataDxfId="68"/>
    <tableColumn id="69" xr3:uid="{EFDE3E41-9282-4E8B-B8C3-8CDBB2FCB92E}" uniqueName="69" name="TUSD_FioB" queryTableFieldId="26" dataDxfId="67"/>
    <tableColumn id="70" xr3:uid="{63E5BFB7-79B2-4A38-A321-21597EE5F612}" uniqueName="70" name="TUSD Subsidio" queryTableFieldId="27" dataDxfId="66"/>
    <tableColumn id="71" xr3:uid="{4B9BDBB5-090D-4967-858F-38ED807FD1A6}" uniqueName="71" name="TUSD Outros" queryTableFieldId="28" dataDxfId="65"/>
    <tableColumn id="72" xr3:uid="{DB200D75-AB04-4137-B5C9-2F29B0FD8446}" uniqueName="72" name="TUSD_PT" queryTableFieldId="29" dataDxfId="64"/>
    <tableColumn id="73" xr3:uid="{5F7115A0-4ECA-4003-8CFD-1FC070007195}" uniqueName="73" name="TUSD_Per_RB_D" queryTableFieldId="30" dataDxfId="63"/>
    <tableColumn id="74" xr3:uid="{95A71B18-90A3-41C2-9746-8D933716EAA7}" uniqueName="74" name="TUSD_PNT" queryTableFieldId="31" dataDxfId="62"/>
    <tableColumn id="75" xr3:uid="{231661EF-DA50-449C-8918-4AFD79455409}" uniqueName="75" name="TUSD_RI" queryTableFieldId="32" dataDxfId="61"/>
    <tableColumn id="76" xr3:uid="{D0AB233C-94CE-49CD-893E-263B53AA2AB4}" uniqueName="76" name="TE_CDE_COVID" queryTableFieldId="33" dataDxfId="60"/>
    <tableColumn id="77" xr3:uid="{FB4FD0D6-E918-4E4C-889A-FE18B1F3AE59}" uniqueName="77" name="TE_CDE_ELET" queryTableFieldId="34" dataDxfId="59"/>
    <tableColumn id="78" xr3:uid="{DDE66C98-5008-4887-91D7-8EFBECB02F11}" uniqueName="78" name="TE_PeD" queryTableFieldId="35" dataDxfId="58"/>
    <tableColumn id="79" xr3:uid="{1CF3F8FD-6871-49FC-A03A-BAB6499B297F}" uniqueName="79" name="TE_ESSERR" queryTableFieldId="36" dataDxfId="57"/>
    <tableColumn id="80" xr3:uid="{22A23B56-2DCA-4FDD-B797-C6F892928A9C}" uniqueName="80" name="TE_CFURH" queryTableFieldId="37" dataDxfId="56"/>
    <tableColumn id="81" xr3:uid="{2E0D59AE-1376-4681-8243-E5001AA434EE}" uniqueName="81" name="TE_ENERGIA" queryTableFieldId="38" dataDxfId="55"/>
    <tableColumn id="82" xr3:uid="{AC87448B-7013-489C-8FB5-715F17CC8922}" uniqueName="82" name="TE_TRANSPORTE_ITAIPU" queryTableFieldId="39" dataDxfId="54"/>
    <tableColumn id="83" xr3:uid="{94EB678B-9DD3-49DD-91B0-8BDFEFC86E73}" uniqueName="83" name="TE_TUST_ITAIPU" queryTableFieldId="40" dataDxfId="53"/>
    <tableColumn id="84" xr3:uid="{7F66390A-165F-47D3-8E84-0A4E37653B57}" uniqueName="84" name="TE_TUST_CI" queryTableFieldId="41" dataDxfId="52"/>
    <tableColumn id="85" xr3:uid="{7A70BCB1-A84F-4CF6-8714-C0308B0E9FB8}" uniqueName="85" name="TE Subsidio" queryTableFieldId="42" dataDxfId="51"/>
    <tableColumn id="86" xr3:uid="{36819428-BC0F-4A54-BDF4-7FD33C630920}" uniqueName="86" name="TE_Per_RB" queryTableFieldId="43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8523A2-ECCF-4DEA-98D8-B665378605C4}" name="TabelaCVA" displayName="TabelaCVA" ref="B3:AR49" tableType="queryTable" totalsRowShown="0" headerRowDxfId="1" dataDxfId="0" headerRowBorderDxfId="46" tableBorderDxfId="47" totalsRowBorderDxfId="45">
  <autoFilter ref="B3:AR49" xr:uid="{C58523A2-ECCF-4DEA-98D8-B665378605C4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216D7D8E-6316-46EC-92CB-4CA59FD47A8C}" uniqueName="44" name="SUBGRUPO" queryTableFieldId="1" dataDxfId="44"/>
    <tableColumn id="45" xr3:uid="{9BDDE31F-A6DE-4A98-8386-8AEA15173C7C}" uniqueName="45" name="MODALIDADE" queryTableFieldId="2" dataDxfId="43"/>
    <tableColumn id="46" xr3:uid="{20D59971-C5CD-449A-B6B7-809F4A2BC218}" uniqueName="46" name="CLASSE" queryTableFieldId="3" dataDxfId="42"/>
    <tableColumn id="47" xr3:uid="{CC189BAB-47A3-410A-BCBC-47D2B25838D8}" uniqueName="47" name="SUBCLASSE" queryTableFieldId="4" dataDxfId="41"/>
    <tableColumn id="48" xr3:uid="{15EAF180-50E4-43DE-9634-20F27976CD7B}" uniqueName="48" name="DETALHE" queryTableFieldId="5" dataDxfId="40"/>
    <tableColumn id="49" xr3:uid="{37EAB724-0526-40CE-AEE2-519FC23CDD49}" uniqueName="49" name="POSTO" queryTableFieldId="6" dataDxfId="39"/>
    <tableColumn id="50" xr3:uid="{CAEC6545-2D87-4715-9ADA-2D9E6A80D4C3}" uniqueName="50" name="UNIDADE" queryTableFieldId="7" dataDxfId="38"/>
    <tableColumn id="51" xr3:uid="{6EB65701-F504-4797-8B79-13C46B8021B1}" uniqueName="51" name="ACESSANTE" queryTableFieldId="8" dataDxfId="37"/>
    <tableColumn id="52" xr3:uid="{E56037FC-A9E4-4D7B-81A5-AB8827E5F77C}" uniqueName="52" name="Total TUSD" queryTableFieldId="9" dataDxfId="36"/>
    <tableColumn id="53" xr3:uid="{46333FD5-D98E-4BF7-92A4-A6C566D06814}" uniqueName="53" name="Total TE" queryTableFieldId="10" dataDxfId="35"/>
    <tableColumn id="54" xr3:uid="{B8244AE3-407B-4C05-9780-214D1A3D856B}" uniqueName="54" name="TUSD_CDE_COVID" queryTableFieldId="11" dataDxfId="34"/>
    <tableColumn id="55" xr3:uid="{BAB191AD-259A-4EF3-A1E6-ABDD12B9D536}" uniqueName="55" name="TUSD_TFSEE" queryTableFieldId="12" dataDxfId="33"/>
    <tableColumn id="56" xr3:uid="{B0EC530E-C08B-4F26-98D3-D5C9D879D916}" uniqueName="56" name="TUSD_PeD" queryTableFieldId="13" dataDxfId="32"/>
    <tableColumn id="57" xr3:uid="{A5EE2184-DA39-4E71-9FEE-AB9EB7919D97}" uniqueName="57" name="TUSD_ONS" queryTableFieldId="14" dataDxfId="31"/>
    <tableColumn id="58" xr3:uid="{65529BC1-83DC-43F4-A323-205E0FD6A021}" uniqueName="58" name="TUSD_CCC" queryTableFieldId="15" dataDxfId="30"/>
    <tableColumn id="59" xr3:uid="{2FF1B308-8802-4A03-AD3A-C069A5F31FB0}" uniqueName="59" name="TUSD_CDE" queryTableFieldId="16" dataDxfId="29"/>
    <tableColumn id="60" xr3:uid="{4A1CF870-6F25-4058-BC56-4435188A4BEC}" uniqueName="60" name="TUSD_PROINFA" queryTableFieldId="17" dataDxfId="28"/>
    <tableColumn id="61" xr3:uid="{642676E8-8F4E-442E-A828-7E2B9549E8AB}" uniqueName="61" name="Liminar1" queryTableFieldId="18" dataDxfId="27"/>
    <tableColumn id="62" xr3:uid="{E2EDE39B-0E09-4D51-95EF-A8D497D71C5C}" uniqueName="62" name="TUSD_RB" queryTableFieldId="19" dataDxfId="26"/>
    <tableColumn id="63" xr3:uid="{4A816D51-BD11-48DE-A800-87A6EB8DBB26}" uniqueName="63" name="TUSD_FR" queryTableFieldId="20" dataDxfId="25"/>
    <tableColumn id="64" xr3:uid="{10E1BF0D-83DE-4245-9138-773ACA06DAF7}" uniqueName="64" name="TUSD_CCT" queryTableFieldId="21" dataDxfId="24"/>
    <tableColumn id="65" xr3:uid="{A3AFEFA2-215A-436F-A7F2-249497E660AD}" uniqueName="65" name="TUSD_CCD" queryTableFieldId="22" dataDxfId="23"/>
    <tableColumn id="66" xr3:uid="{14B3A12F-CA44-4B5B-AB83-AD7471D21E52}" uniqueName="66" name="TUSD_CUSD" queryTableFieldId="23" dataDxfId="22"/>
    <tableColumn id="67" xr3:uid="{9AEC1EC1-6F89-4603-8F20-EB7B2FB439CA}" uniqueName="67" name="TUSDG_T" queryTableFieldId="24" dataDxfId="21"/>
    <tableColumn id="68" xr3:uid="{40161ED2-57FF-46CB-9481-1EFC5E5AEE95}" uniqueName="68" name="TUSDG_ONS" queryTableFieldId="25" dataDxfId="20"/>
    <tableColumn id="69" xr3:uid="{5FB01906-FFD9-4A75-AB9F-F90AE7C3C107}" uniqueName="69" name="TUSD_FioB" queryTableFieldId="26" dataDxfId="19"/>
    <tableColumn id="70" xr3:uid="{5AF07091-1512-42D5-A822-ABEC9EFDA5A8}" uniqueName="70" name="TUSD Subsidio" queryTableFieldId="27" dataDxfId="18"/>
    <tableColumn id="71" xr3:uid="{CFEE1099-58C1-4504-AB0B-8FA530939AEA}" uniqueName="71" name="TUSD Outros" queryTableFieldId="28" dataDxfId="17"/>
    <tableColumn id="72" xr3:uid="{4A8FFACC-E481-4593-9390-398D2F63358F}" uniqueName="72" name="TUSD_PT" queryTableFieldId="29" dataDxfId="16"/>
    <tableColumn id="73" xr3:uid="{78778A78-6185-4C42-9157-147B7F70A44B}" uniqueName="73" name="TUSD_Per_RB_D" queryTableFieldId="30" dataDxfId="15"/>
    <tableColumn id="74" xr3:uid="{C6F2BA11-1C0B-4BD7-81A9-E224964201F4}" uniqueName="74" name="TUSD_PNT" queryTableFieldId="31" dataDxfId="14"/>
    <tableColumn id="75" xr3:uid="{453246AF-6F2A-40E8-BEC5-F92756783E32}" uniqueName="75" name="TUSD_RI" queryTableFieldId="32" dataDxfId="13"/>
    <tableColumn id="76" xr3:uid="{6355284D-B1AC-4133-BDF1-FCDBB5A93C20}" uniqueName="76" name="TE_CDE_COVID" queryTableFieldId="33" dataDxfId="12"/>
    <tableColumn id="77" xr3:uid="{AD2AD1EE-E72A-4C41-9EF8-569664BEDFFF}" uniqueName="77" name="TE_CDE_ELET" queryTableFieldId="34" dataDxfId="11"/>
    <tableColumn id="78" xr3:uid="{C4356DFB-6F5A-4CB7-93B5-C1BC7E63055C}" uniqueName="78" name="TE_PeD" queryTableFieldId="35" dataDxfId="10"/>
    <tableColumn id="79" xr3:uid="{C88D2770-CCEC-4DBA-9625-D59A50784F1A}" uniqueName="79" name="TE_ESSERR" queryTableFieldId="36" dataDxfId="9"/>
    <tableColumn id="80" xr3:uid="{40E8EA39-11CC-4BE8-80FD-2937CB24E034}" uniqueName="80" name="TE_CFURH" queryTableFieldId="37" dataDxfId="8"/>
    <tableColumn id="81" xr3:uid="{1C8773A1-CB9F-4A50-885A-F3CAA8C1A721}" uniqueName="81" name="TE_ENERGIA" queryTableFieldId="38" dataDxfId="7"/>
    <tableColumn id="82" xr3:uid="{09963E49-EC16-4840-8DE9-B183B8D04B08}" uniqueName="82" name="TE_TRANSPORTE_ITAIPU" queryTableFieldId="39" dataDxfId="6"/>
    <tableColumn id="83" xr3:uid="{881F5447-7646-46B9-AE2D-75DD06ADE9E0}" uniqueName="83" name="TE_TUST_ITAIPU" queryTableFieldId="40" dataDxfId="5"/>
    <tableColumn id="84" xr3:uid="{57822642-E6E3-4C72-A3E7-D643A7FAC2D0}" uniqueName="84" name="TE_TUST_CI" queryTableFieldId="41" dataDxfId="4"/>
    <tableColumn id="85" xr3:uid="{E285EBA2-E1F4-41D1-8EBA-68146698681B}" uniqueName="85" name="TE Subsidio" queryTableFieldId="42" dataDxfId="3"/>
    <tableColumn id="86" xr3:uid="{161A9CC1-99E1-4A49-A6BB-CCBF80E7386E}" uniqueName="86" name="TE_Per_RB" queryTableFieldId="4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6242-4C47-4907-BA7D-A7EC40777857}">
  <sheetPr codeName="Planilha1"/>
  <dimension ref="A1:W601"/>
  <sheetViews>
    <sheetView showGridLines="0" topLeftCell="I589" workbookViewId="0">
      <selection activeCell="T602" sqref="T602"/>
    </sheetView>
  </sheetViews>
  <sheetFormatPr defaultColWidth="9.140625"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1" width="7.5703125" style="6" bestFit="1" customWidth="1"/>
    <col min="12" max="12" width="7" style="6" bestFit="1" customWidth="1"/>
    <col min="13" max="13" width="8" style="6" bestFit="1" customWidth="1"/>
    <col min="14" max="15" width="7" style="6" bestFit="1" customWidth="1"/>
    <col min="16" max="16" width="7.85546875" style="6" bestFit="1" customWidth="1"/>
    <col min="17" max="17" width="6.5703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91</v>
      </c>
      <c r="T1" s="1" t="s">
        <v>234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35</v>
      </c>
      <c r="C2" s="4" t="s">
        <v>52</v>
      </c>
      <c r="D2" s="4" t="s">
        <v>34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44713</v>
      </c>
      <c r="J2" s="6">
        <v>600</v>
      </c>
      <c r="K2" s="6">
        <v>600</v>
      </c>
      <c r="L2" s="6">
        <v>225.506</v>
      </c>
      <c r="M2" s="6">
        <v>225.506</v>
      </c>
      <c r="N2" s="6">
        <v>225.506</v>
      </c>
      <c r="O2" s="6">
        <v>225.506</v>
      </c>
      <c r="P2" s="6">
        <v>0</v>
      </c>
      <c r="Q2" s="4" t="s">
        <v>26</v>
      </c>
      <c r="R2" s="4">
        <v>0</v>
      </c>
      <c r="S2" s="4" t="s">
        <v>92</v>
      </c>
      <c r="T2" s="4" t="s">
        <v>235</v>
      </c>
      <c r="U2" s="4">
        <v>16</v>
      </c>
      <c r="V2" s="4">
        <v>9</v>
      </c>
      <c r="W2" s="4">
        <v>28</v>
      </c>
    </row>
    <row r="3" spans="1:23" ht="11.25" customHeight="1" x14ac:dyDescent="0.25">
      <c r="A3" s="4" t="s">
        <v>21</v>
      </c>
      <c r="B3" s="4" t="s">
        <v>35</v>
      </c>
      <c r="C3" s="4" t="s">
        <v>52</v>
      </c>
      <c r="D3" s="4" t="s">
        <v>34</v>
      </c>
      <c r="E3" s="4" t="s">
        <v>25</v>
      </c>
      <c r="F3" s="4" t="s">
        <v>25</v>
      </c>
      <c r="G3" s="4" t="s">
        <v>25</v>
      </c>
      <c r="H3" s="4" t="s">
        <v>37</v>
      </c>
      <c r="I3" s="5">
        <v>44713</v>
      </c>
      <c r="J3" s="6">
        <v>241</v>
      </c>
      <c r="K3" s="6">
        <v>241</v>
      </c>
      <c r="L3" s="6">
        <v>14.654999999999999</v>
      </c>
      <c r="M3" s="6">
        <v>14.654999999999999</v>
      </c>
      <c r="N3" s="6">
        <v>14.654999999999999</v>
      </c>
      <c r="O3" s="6">
        <v>14.654999999999999</v>
      </c>
      <c r="P3" s="6">
        <v>0</v>
      </c>
      <c r="Q3" s="4" t="s">
        <v>26</v>
      </c>
      <c r="R3" s="4">
        <v>0</v>
      </c>
      <c r="S3" s="4" t="s">
        <v>93</v>
      </c>
      <c r="T3" s="4" t="s">
        <v>236</v>
      </c>
      <c r="U3" s="4">
        <v>21</v>
      </c>
      <c r="V3" s="4">
        <v>9</v>
      </c>
      <c r="W3" s="4">
        <v>41</v>
      </c>
    </row>
    <row r="4" spans="1:23" ht="11.25" customHeight="1" x14ac:dyDescent="0.25">
      <c r="A4" s="4" t="s">
        <v>28</v>
      </c>
      <c r="B4" s="4" t="s">
        <v>35</v>
      </c>
      <c r="C4" s="4" t="s">
        <v>52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44593</v>
      </c>
      <c r="J4" s="6">
        <v>75</v>
      </c>
      <c r="K4" s="6">
        <v>72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4" t="s">
        <v>26</v>
      </c>
      <c r="R4" s="4">
        <v>0</v>
      </c>
      <c r="S4" s="4" t="s">
        <v>94</v>
      </c>
      <c r="T4" s="4" t="s">
        <v>237</v>
      </c>
      <c r="U4" s="4">
        <v>16</v>
      </c>
      <c r="V4" s="4">
        <v>0</v>
      </c>
      <c r="W4" s="4">
        <v>0</v>
      </c>
    </row>
    <row r="5" spans="1:23" ht="11.25" customHeight="1" x14ac:dyDescent="0.25">
      <c r="A5" s="4" t="s">
        <v>28</v>
      </c>
      <c r="B5" s="4" t="s">
        <v>35</v>
      </c>
      <c r="C5" s="4" t="s">
        <v>52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44621</v>
      </c>
      <c r="J5" s="6">
        <v>69</v>
      </c>
      <c r="K5" s="6">
        <v>66.239999999999995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4" t="s">
        <v>26</v>
      </c>
      <c r="R5" s="4">
        <v>0</v>
      </c>
      <c r="S5" s="4" t="s">
        <v>95</v>
      </c>
      <c r="T5" s="4" t="s">
        <v>238</v>
      </c>
      <c r="U5" s="4">
        <v>16</v>
      </c>
      <c r="V5" s="4">
        <v>0</v>
      </c>
      <c r="W5" s="4">
        <v>0</v>
      </c>
    </row>
    <row r="6" spans="1:23" ht="11.25" customHeight="1" x14ac:dyDescent="0.25">
      <c r="A6" s="4" t="s">
        <v>28</v>
      </c>
      <c r="B6" s="4" t="s">
        <v>35</v>
      </c>
      <c r="C6" s="4" t="s">
        <v>52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44621</v>
      </c>
      <c r="J6" s="6">
        <v>-5</v>
      </c>
      <c r="K6" s="6">
        <v>-4.8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4" t="s">
        <v>26</v>
      </c>
      <c r="R6" s="4">
        <v>0</v>
      </c>
      <c r="S6" s="4" t="s">
        <v>95</v>
      </c>
      <c r="T6" s="4" t="s">
        <v>238</v>
      </c>
      <c r="U6" s="4">
        <v>16</v>
      </c>
      <c r="V6" s="4">
        <v>0</v>
      </c>
      <c r="W6" s="4">
        <v>0</v>
      </c>
    </row>
    <row r="7" spans="1:23" ht="11.25" customHeight="1" x14ac:dyDescent="0.25">
      <c r="A7" s="4" t="s">
        <v>28</v>
      </c>
      <c r="B7" s="4" t="s">
        <v>35</v>
      </c>
      <c r="C7" s="4" t="s">
        <v>52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44652</v>
      </c>
      <c r="J7" s="6">
        <v>65</v>
      </c>
      <c r="K7" s="6">
        <v>62.4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4" t="s">
        <v>26</v>
      </c>
      <c r="R7" s="4">
        <v>0</v>
      </c>
      <c r="S7" s="4" t="s">
        <v>96</v>
      </c>
      <c r="T7" s="4" t="s">
        <v>239</v>
      </c>
      <c r="U7" s="4">
        <v>16</v>
      </c>
      <c r="V7" s="4">
        <v>0</v>
      </c>
      <c r="W7" s="4">
        <v>0</v>
      </c>
    </row>
    <row r="8" spans="1:23" ht="11.25" customHeight="1" x14ac:dyDescent="0.25">
      <c r="A8" s="4" t="s">
        <v>28</v>
      </c>
      <c r="B8" s="4" t="s">
        <v>35</v>
      </c>
      <c r="C8" s="4" t="s">
        <v>52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44682</v>
      </c>
      <c r="J8" s="6">
        <v>93</v>
      </c>
      <c r="K8" s="6">
        <v>89.28</v>
      </c>
      <c r="L8" s="6">
        <v>10.872999999999999</v>
      </c>
      <c r="M8" s="6">
        <v>10.438079999999999</v>
      </c>
      <c r="N8" s="6">
        <v>10.872999999999999</v>
      </c>
      <c r="O8" s="6">
        <v>10.438079999999999</v>
      </c>
      <c r="P8" s="6">
        <v>0</v>
      </c>
      <c r="Q8" s="4" t="s">
        <v>26</v>
      </c>
      <c r="R8" s="4">
        <v>0</v>
      </c>
      <c r="S8" s="4" t="s">
        <v>97</v>
      </c>
      <c r="T8" s="4" t="s">
        <v>240</v>
      </c>
      <c r="U8" s="4">
        <v>16</v>
      </c>
      <c r="V8" s="4">
        <v>9</v>
      </c>
      <c r="W8" s="4">
        <v>28</v>
      </c>
    </row>
    <row r="9" spans="1:23" ht="11.25" customHeight="1" x14ac:dyDescent="0.25">
      <c r="A9" s="4" t="s">
        <v>28</v>
      </c>
      <c r="B9" s="4" t="s">
        <v>35</v>
      </c>
      <c r="C9" s="4" t="s">
        <v>52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44713</v>
      </c>
      <c r="J9" s="6">
        <v>56</v>
      </c>
      <c r="K9" s="6">
        <v>53.76</v>
      </c>
      <c r="L9" s="6">
        <v>7.7039999999999997</v>
      </c>
      <c r="M9" s="6">
        <v>7.3958399999999997</v>
      </c>
      <c r="N9" s="6">
        <v>7.7039999999999997</v>
      </c>
      <c r="O9" s="6">
        <v>7.3958399999999997</v>
      </c>
      <c r="P9" s="6">
        <v>0</v>
      </c>
      <c r="Q9" s="4" t="s">
        <v>26</v>
      </c>
      <c r="R9" s="4">
        <v>0</v>
      </c>
      <c r="S9" s="4" t="s">
        <v>92</v>
      </c>
      <c r="T9" s="4" t="s">
        <v>235</v>
      </c>
      <c r="U9" s="4">
        <v>16</v>
      </c>
      <c r="V9" s="4">
        <v>9</v>
      </c>
      <c r="W9" s="4">
        <v>28</v>
      </c>
    </row>
    <row r="10" spans="1:23" ht="11.25" customHeight="1" x14ac:dyDescent="0.25">
      <c r="A10" s="4" t="s">
        <v>28</v>
      </c>
      <c r="B10" s="4" t="s">
        <v>35</v>
      </c>
      <c r="C10" s="4" t="s">
        <v>52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44593</v>
      </c>
      <c r="J10" s="6">
        <v>75</v>
      </c>
      <c r="K10" s="6">
        <v>72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4" t="s">
        <v>26</v>
      </c>
      <c r="R10" s="4">
        <v>0</v>
      </c>
      <c r="S10" s="4" t="s">
        <v>98</v>
      </c>
      <c r="T10" s="4" t="s">
        <v>241</v>
      </c>
      <c r="U10" s="4">
        <v>21</v>
      </c>
      <c r="V10" s="4">
        <v>0</v>
      </c>
      <c r="W10" s="4">
        <v>0</v>
      </c>
    </row>
    <row r="11" spans="1:23" ht="11.25" customHeight="1" x14ac:dyDescent="0.25">
      <c r="A11" s="4" t="s">
        <v>28</v>
      </c>
      <c r="B11" s="4" t="s">
        <v>35</v>
      </c>
      <c r="C11" s="4" t="s">
        <v>52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44621</v>
      </c>
      <c r="J11" s="6">
        <v>17</v>
      </c>
      <c r="K11" s="6">
        <v>16.32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4" t="s">
        <v>26</v>
      </c>
      <c r="R11" s="4">
        <v>0</v>
      </c>
      <c r="S11" s="4" t="s">
        <v>99</v>
      </c>
      <c r="T11" s="4" t="s">
        <v>242</v>
      </c>
      <c r="U11" s="4">
        <v>21</v>
      </c>
      <c r="V11" s="4">
        <v>0</v>
      </c>
      <c r="W11" s="4">
        <v>0</v>
      </c>
    </row>
    <row r="12" spans="1:23" ht="11.25" customHeight="1" x14ac:dyDescent="0.25">
      <c r="A12" s="4" t="s">
        <v>28</v>
      </c>
      <c r="B12" s="4" t="s">
        <v>35</v>
      </c>
      <c r="C12" s="4" t="s">
        <v>52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44621</v>
      </c>
      <c r="J12" s="6">
        <v>-5</v>
      </c>
      <c r="K12" s="6">
        <v>-4.8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26</v>
      </c>
      <c r="R12" s="4">
        <v>0</v>
      </c>
      <c r="S12" s="4" t="s">
        <v>99</v>
      </c>
      <c r="T12" s="4" t="s">
        <v>242</v>
      </c>
      <c r="U12" s="4">
        <v>21</v>
      </c>
      <c r="V12" s="4">
        <v>0</v>
      </c>
      <c r="W12" s="4">
        <v>0</v>
      </c>
    </row>
    <row r="13" spans="1:23" ht="11.25" customHeight="1" x14ac:dyDescent="0.25">
      <c r="A13" s="4" t="s">
        <v>28</v>
      </c>
      <c r="B13" s="4" t="s">
        <v>35</v>
      </c>
      <c r="C13" s="4" t="s">
        <v>52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44652</v>
      </c>
      <c r="J13" s="6">
        <v>11</v>
      </c>
      <c r="K13" s="6">
        <v>10.559999999999999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26</v>
      </c>
      <c r="R13" s="4">
        <v>0</v>
      </c>
      <c r="S13" s="4" t="s">
        <v>100</v>
      </c>
      <c r="T13" s="4" t="s">
        <v>243</v>
      </c>
      <c r="U13" s="4">
        <v>21</v>
      </c>
      <c r="V13" s="4">
        <v>0</v>
      </c>
      <c r="W13" s="4">
        <v>0</v>
      </c>
    </row>
    <row r="14" spans="1:23" ht="11.25" customHeight="1" x14ac:dyDescent="0.25">
      <c r="A14" s="4" t="s">
        <v>28</v>
      </c>
      <c r="B14" s="4" t="s">
        <v>35</v>
      </c>
      <c r="C14" s="4" t="s">
        <v>52</v>
      </c>
      <c r="D14" s="4" t="s">
        <v>41</v>
      </c>
      <c r="E14" s="4" t="s">
        <v>25</v>
      </c>
      <c r="F14" s="4" t="s">
        <v>25</v>
      </c>
      <c r="G14" s="4" t="s">
        <v>25</v>
      </c>
      <c r="H14" s="4" t="s">
        <v>37</v>
      </c>
      <c r="I14" s="5">
        <v>44682</v>
      </c>
      <c r="J14" s="6">
        <v>80</v>
      </c>
      <c r="K14" s="6">
        <v>76.8</v>
      </c>
      <c r="L14" s="6">
        <v>1.125</v>
      </c>
      <c r="M14" s="6">
        <v>1.08</v>
      </c>
      <c r="N14" s="6">
        <v>1.125</v>
      </c>
      <c r="O14" s="6">
        <v>1.08</v>
      </c>
      <c r="P14" s="6">
        <v>0</v>
      </c>
      <c r="Q14" s="4" t="s">
        <v>26</v>
      </c>
      <c r="R14" s="4">
        <v>0</v>
      </c>
      <c r="S14" s="4" t="s">
        <v>101</v>
      </c>
      <c r="T14" s="4" t="s">
        <v>244</v>
      </c>
      <c r="U14" s="4">
        <v>21</v>
      </c>
      <c r="V14" s="4">
        <v>9</v>
      </c>
      <c r="W14" s="4">
        <v>41</v>
      </c>
    </row>
    <row r="15" spans="1:23" ht="11.25" customHeight="1" x14ac:dyDescent="0.25">
      <c r="A15" s="4" t="s">
        <v>28</v>
      </c>
      <c r="B15" s="4" t="s">
        <v>35</v>
      </c>
      <c r="C15" s="4" t="s">
        <v>52</v>
      </c>
      <c r="D15" s="4" t="s">
        <v>41</v>
      </c>
      <c r="E15" s="4" t="s">
        <v>25</v>
      </c>
      <c r="F15" s="4" t="s">
        <v>25</v>
      </c>
      <c r="G15" s="4" t="s">
        <v>25</v>
      </c>
      <c r="H15" s="4" t="s">
        <v>37</v>
      </c>
      <c r="I15" s="5">
        <v>44713</v>
      </c>
      <c r="J15" s="6">
        <v>31</v>
      </c>
      <c r="K15" s="6">
        <v>29.759999999999998</v>
      </c>
      <c r="L15" s="6">
        <v>0.72299999999999998</v>
      </c>
      <c r="M15" s="6">
        <v>0.69407999999999992</v>
      </c>
      <c r="N15" s="6">
        <v>0.72299999999999998</v>
      </c>
      <c r="O15" s="6">
        <v>0.69407999999999992</v>
      </c>
      <c r="P15" s="6">
        <v>0</v>
      </c>
      <c r="Q15" s="4" t="s">
        <v>26</v>
      </c>
      <c r="R15" s="4">
        <v>0</v>
      </c>
      <c r="S15" s="4" t="s">
        <v>93</v>
      </c>
      <c r="T15" s="4" t="s">
        <v>236</v>
      </c>
      <c r="U15" s="4">
        <v>21</v>
      </c>
      <c r="V15" s="4">
        <v>9</v>
      </c>
      <c r="W15" s="4">
        <v>41</v>
      </c>
    </row>
    <row r="16" spans="1:23" ht="11.25" customHeight="1" x14ac:dyDescent="0.25">
      <c r="A16" s="4" t="s">
        <v>21</v>
      </c>
      <c r="B16" s="4" t="s">
        <v>35</v>
      </c>
      <c r="C16" s="4" t="s">
        <v>36</v>
      </c>
      <c r="D16" s="4" t="s">
        <v>39</v>
      </c>
      <c r="E16" s="4" t="s">
        <v>25</v>
      </c>
      <c r="F16" s="4" t="s">
        <v>25</v>
      </c>
      <c r="G16" s="4" t="s">
        <v>25</v>
      </c>
      <c r="H16" s="4" t="s">
        <v>38</v>
      </c>
      <c r="I16" s="5">
        <v>44378</v>
      </c>
      <c r="J16" s="6">
        <v>0</v>
      </c>
      <c r="K16" s="6">
        <v>0</v>
      </c>
      <c r="L16" s="6">
        <v>212.73</v>
      </c>
      <c r="M16" s="6">
        <v>212.73</v>
      </c>
      <c r="N16" s="6">
        <v>212.73</v>
      </c>
      <c r="O16" s="6">
        <v>212.73</v>
      </c>
      <c r="P16" s="6">
        <v>0</v>
      </c>
      <c r="Q16" s="4" t="s">
        <v>26</v>
      </c>
      <c r="R16" s="4">
        <v>0</v>
      </c>
      <c r="S16" s="4" t="s">
        <v>102</v>
      </c>
      <c r="T16" s="4" t="s">
        <v>245</v>
      </c>
      <c r="U16" s="4">
        <v>0</v>
      </c>
      <c r="V16" s="4">
        <v>15</v>
      </c>
      <c r="W16" s="4">
        <v>28</v>
      </c>
    </row>
    <row r="17" spans="1:23" ht="11.25" customHeight="1" x14ac:dyDescent="0.25">
      <c r="A17" s="4" t="s">
        <v>28</v>
      </c>
      <c r="B17" s="4" t="s">
        <v>35</v>
      </c>
      <c r="C17" s="4" t="s">
        <v>36</v>
      </c>
      <c r="D17" s="4" t="s">
        <v>39</v>
      </c>
      <c r="E17" s="4" t="s">
        <v>25</v>
      </c>
      <c r="F17" s="4" t="s">
        <v>25</v>
      </c>
      <c r="G17" s="4" t="s">
        <v>25</v>
      </c>
      <c r="H17" s="4" t="s">
        <v>38</v>
      </c>
      <c r="I17" s="5">
        <v>44378</v>
      </c>
      <c r="J17" s="6">
        <v>0</v>
      </c>
      <c r="K17" s="6">
        <v>0</v>
      </c>
      <c r="L17" s="6">
        <v>15.42</v>
      </c>
      <c r="M17" s="6">
        <v>15.42</v>
      </c>
      <c r="N17" s="6">
        <v>15.42</v>
      </c>
      <c r="O17" s="6">
        <v>15.42</v>
      </c>
      <c r="P17" s="6">
        <v>0</v>
      </c>
      <c r="Q17" s="4" t="s">
        <v>26</v>
      </c>
      <c r="R17" s="4">
        <v>0</v>
      </c>
      <c r="S17" s="4" t="s">
        <v>102</v>
      </c>
      <c r="T17" s="4" t="s">
        <v>245</v>
      </c>
      <c r="U17" s="4">
        <v>0</v>
      </c>
      <c r="V17" s="4">
        <v>15</v>
      </c>
      <c r="W17" s="4">
        <v>28</v>
      </c>
    </row>
    <row r="18" spans="1:23" ht="11.25" customHeight="1" x14ac:dyDescent="0.25">
      <c r="A18" s="4" t="s">
        <v>21</v>
      </c>
      <c r="B18" s="4" t="s">
        <v>35</v>
      </c>
      <c r="C18" s="4" t="s">
        <v>36</v>
      </c>
      <c r="D18" s="4" t="s">
        <v>39</v>
      </c>
      <c r="E18" s="4" t="s">
        <v>25</v>
      </c>
      <c r="F18" s="4" t="s">
        <v>25</v>
      </c>
      <c r="G18" s="4" t="s">
        <v>25</v>
      </c>
      <c r="H18" s="4" t="s">
        <v>38</v>
      </c>
      <c r="I18" s="5">
        <v>44409</v>
      </c>
      <c r="J18" s="6">
        <v>0</v>
      </c>
      <c r="K18" s="6">
        <v>0</v>
      </c>
      <c r="L18" s="6">
        <v>269.262</v>
      </c>
      <c r="M18" s="6">
        <v>269.262</v>
      </c>
      <c r="N18" s="6">
        <v>269.262</v>
      </c>
      <c r="O18" s="6">
        <v>269.262</v>
      </c>
      <c r="P18" s="6">
        <v>0</v>
      </c>
      <c r="Q18" s="4" t="s">
        <v>26</v>
      </c>
      <c r="R18" s="4">
        <v>0</v>
      </c>
      <c r="S18" s="4" t="s">
        <v>103</v>
      </c>
      <c r="T18" s="4" t="s">
        <v>246</v>
      </c>
      <c r="U18" s="4">
        <v>0</v>
      </c>
      <c r="V18" s="4">
        <v>15</v>
      </c>
      <c r="W18" s="4">
        <v>28</v>
      </c>
    </row>
    <row r="19" spans="1:23" ht="11.25" customHeight="1" x14ac:dyDescent="0.25">
      <c r="A19" s="4" t="s">
        <v>21</v>
      </c>
      <c r="B19" s="4" t="s">
        <v>35</v>
      </c>
      <c r="C19" s="4" t="s">
        <v>36</v>
      </c>
      <c r="D19" s="4" t="s">
        <v>39</v>
      </c>
      <c r="E19" s="4" t="s">
        <v>25</v>
      </c>
      <c r="F19" s="4" t="s">
        <v>25</v>
      </c>
      <c r="G19" s="4" t="s">
        <v>25</v>
      </c>
      <c r="H19" s="4" t="s">
        <v>38</v>
      </c>
      <c r="I19" s="5">
        <v>44440</v>
      </c>
      <c r="J19" s="6">
        <v>0</v>
      </c>
      <c r="K19" s="6">
        <v>0</v>
      </c>
      <c r="L19" s="6">
        <v>227.029</v>
      </c>
      <c r="M19" s="6">
        <v>227.029</v>
      </c>
      <c r="N19" s="6">
        <v>227.029</v>
      </c>
      <c r="O19" s="6">
        <v>227.029</v>
      </c>
      <c r="P19" s="6">
        <v>0</v>
      </c>
      <c r="Q19" s="4" t="s">
        <v>26</v>
      </c>
      <c r="R19" s="4">
        <v>0</v>
      </c>
      <c r="S19" s="4" t="s">
        <v>104</v>
      </c>
      <c r="T19" s="4" t="s">
        <v>247</v>
      </c>
      <c r="U19" s="4">
        <v>0</v>
      </c>
      <c r="V19" s="4">
        <v>15</v>
      </c>
      <c r="W19" s="4">
        <v>28</v>
      </c>
    </row>
    <row r="20" spans="1:23" ht="11.25" customHeight="1" x14ac:dyDescent="0.25">
      <c r="A20" s="4" t="s">
        <v>21</v>
      </c>
      <c r="B20" s="4" t="s">
        <v>35</v>
      </c>
      <c r="C20" s="4" t="s">
        <v>36</v>
      </c>
      <c r="D20" s="4" t="s">
        <v>39</v>
      </c>
      <c r="E20" s="4" t="s">
        <v>25</v>
      </c>
      <c r="F20" s="4" t="s">
        <v>25</v>
      </c>
      <c r="G20" s="4" t="s">
        <v>25</v>
      </c>
      <c r="H20" s="4" t="s">
        <v>38</v>
      </c>
      <c r="I20" s="5">
        <v>44470</v>
      </c>
      <c r="J20" s="6">
        <v>0</v>
      </c>
      <c r="K20" s="6">
        <v>0</v>
      </c>
      <c r="L20" s="6">
        <v>227.18100000000001</v>
      </c>
      <c r="M20" s="6">
        <v>227.18100000000001</v>
      </c>
      <c r="N20" s="6">
        <v>227.18100000000001</v>
      </c>
      <c r="O20" s="6">
        <v>227.18100000000001</v>
      </c>
      <c r="P20" s="6">
        <v>0</v>
      </c>
      <c r="Q20" s="4" t="s">
        <v>26</v>
      </c>
      <c r="R20" s="4">
        <v>0</v>
      </c>
      <c r="S20" s="4" t="s">
        <v>105</v>
      </c>
      <c r="T20" s="4" t="s">
        <v>248</v>
      </c>
      <c r="U20" s="4">
        <v>0</v>
      </c>
      <c r="V20" s="4">
        <v>15</v>
      </c>
      <c r="W20" s="4">
        <v>28</v>
      </c>
    </row>
    <row r="21" spans="1:23" ht="11.25" customHeight="1" x14ac:dyDescent="0.25">
      <c r="A21" s="4" t="s">
        <v>21</v>
      </c>
      <c r="B21" s="4" t="s">
        <v>35</v>
      </c>
      <c r="C21" s="4" t="s">
        <v>36</v>
      </c>
      <c r="D21" s="4" t="s">
        <v>39</v>
      </c>
      <c r="E21" s="4" t="s">
        <v>25</v>
      </c>
      <c r="F21" s="4" t="s">
        <v>25</v>
      </c>
      <c r="G21" s="4" t="s">
        <v>25</v>
      </c>
      <c r="H21" s="4" t="s">
        <v>38</v>
      </c>
      <c r="I21" s="5">
        <v>44501</v>
      </c>
      <c r="J21" s="6">
        <v>0</v>
      </c>
      <c r="K21" s="6">
        <v>0</v>
      </c>
      <c r="L21" s="6">
        <v>271.642</v>
      </c>
      <c r="M21" s="6">
        <v>271.642</v>
      </c>
      <c r="N21" s="6">
        <v>271.642</v>
      </c>
      <c r="O21" s="6">
        <v>271.642</v>
      </c>
      <c r="P21" s="6">
        <v>0</v>
      </c>
      <c r="Q21" s="4" t="s">
        <v>26</v>
      </c>
      <c r="R21" s="4">
        <v>0</v>
      </c>
      <c r="S21" s="4" t="s">
        <v>106</v>
      </c>
      <c r="T21" s="4" t="s">
        <v>249</v>
      </c>
      <c r="U21" s="4">
        <v>0</v>
      </c>
      <c r="V21" s="4">
        <v>15</v>
      </c>
      <c r="W21" s="4">
        <v>28</v>
      </c>
    </row>
    <row r="22" spans="1:23" ht="11.25" customHeight="1" x14ac:dyDescent="0.25">
      <c r="A22" s="4" t="s">
        <v>28</v>
      </c>
      <c r="B22" s="4" t="s">
        <v>35</v>
      </c>
      <c r="C22" s="4" t="s">
        <v>36</v>
      </c>
      <c r="D22" s="4" t="s">
        <v>39</v>
      </c>
      <c r="E22" s="4" t="s">
        <v>25</v>
      </c>
      <c r="F22" s="4" t="s">
        <v>25</v>
      </c>
      <c r="G22" s="4" t="s">
        <v>25</v>
      </c>
      <c r="H22" s="4" t="s">
        <v>38</v>
      </c>
      <c r="I22" s="5">
        <v>44501</v>
      </c>
      <c r="J22" s="6">
        <v>0</v>
      </c>
      <c r="K22" s="6">
        <v>0</v>
      </c>
      <c r="L22" s="6">
        <v>5.92</v>
      </c>
      <c r="M22" s="6">
        <v>5.92</v>
      </c>
      <c r="N22" s="6">
        <v>5.92</v>
      </c>
      <c r="O22" s="6">
        <v>5.92</v>
      </c>
      <c r="P22" s="6">
        <v>0</v>
      </c>
      <c r="Q22" s="4" t="s">
        <v>26</v>
      </c>
      <c r="R22" s="4">
        <v>0</v>
      </c>
      <c r="S22" s="4" t="s">
        <v>106</v>
      </c>
      <c r="T22" s="4" t="s">
        <v>249</v>
      </c>
      <c r="U22" s="4">
        <v>0</v>
      </c>
      <c r="V22" s="4">
        <v>15</v>
      </c>
      <c r="W22" s="4">
        <v>28</v>
      </c>
    </row>
    <row r="23" spans="1:23" ht="11.25" customHeight="1" x14ac:dyDescent="0.25">
      <c r="A23" s="4" t="s">
        <v>21</v>
      </c>
      <c r="B23" s="4" t="s">
        <v>35</v>
      </c>
      <c r="C23" s="4" t="s">
        <v>36</v>
      </c>
      <c r="D23" s="4" t="s">
        <v>39</v>
      </c>
      <c r="E23" s="4" t="s">
        <v>25</v>
      </c>
      <c r="F23" s="4" t="s">
        <v>25</v>
      </c>
      <c r="G23" s="4" t="s">
        <v>25</v>
      </c>
      <c r="H23" s="4" t="s">
        <v>38</v>
      </c>
      <c r="I23" s="5">
        <v>44531</v>
      </c>
      <c r="J23" s="6">
        <v>0</v>
      </c>
      <c r="K23" s="6">
        <v>0</v>
      </c>
      <c r="L23" s="6">
        <v>232.51499999999999</v>
      </c>
      <c r="M23" s="6">
        <v>232.51499999999999</v>
      </c>
      <c r="N23" s="6">
        <v>232.51499999999999</v>
      </c>
      <c r="O23" s="6">
        <v>232.51499999999999</v>
      </c>
      <c r="P23" s="6">
        <v>0</v>
      </c>
      <c r="Q23" s="4" t="s">
        <v>26</v>
      </c>
      <c r="R23" s="4">
        <v>0</v>
      </c>
      <c r="S23" s="4" t="s">
        <v>107</v>
      </c>
      <c r="T23" s="4" t="s">
        <v>250</v>
      </c>
      <c r="U23" s="4">
        <v>0</v>
      </c>
      <c r="V23" s="4">
        <v>15</v>
      </c>
      <c r="W23" s="4">
        <v>28</v>
      </c>
    </row>
    <row r="24" spans="1:23" ht="11.25" customHeight="1" x14ac:dyDescent="0.25">
      <c r="A24" s="4" t="s">
        <v>21</v>
      </c>
      <c r="B24" s="4" t="s">
        <v>35</v>
      </c>
      <c r="C24" s="4" t="s">
        <v>36</v>
      </c>
      <c r="D24" s="4" t="s">
        <v>39</v>
      </c>
      <c r="E24" s="4" t="s">
        <v>25</v>
      </c>
      <c r="F24" s="4" t="s">
        <v>25</v>
      </c>
      <c r="G24" s="4" t="s">
        <v>25</v>
      </c>
      <c r="H24" s="4" t="s">
        <v>38</v>
      </c>
      <c r="I24" s="5">
        <v>44562</v>
      </c>
      <c r="J24" s="6">
        <v>0</v>
      </c>
      <c r="K24" s="6">
        <v>0</v>
      </c>
      <c r="L24" s="6">
        <v>264.84399999999999</v>
      </c>
      <c r="M24" s="6">
        <v>264.84399999999999</v>
      </c>
      <c r="N24" s="6">
        <v>264.84399999999999</v>
      </c>
      <c r="O24" s="6">
        <v>264.84399999999999</v>
      </c>
      <c r="P24" s="6">
        <v>0</v>
      </c>
      <c r="Q24" s="4" t="s">
        <v>26</v>
      </c>
      <c r="R24" s="4">
        <v>0</v>
      </c>
      <c r="S24" s="4" t="s">
        <v>108</v>
      </c>
      <c r="T24" s="4" t="s">
        <v>251</v>
      </c>
      <c r="U24" s="4">
        <v>0</v>
      </c>
      <c r="V24" s="4">
        <v>15</v>
      </c>
      <c r="W24" s="4">
        <v>28</v>
      </c>
    </row>
    <row r="25" spans="1:23" ht="11.25" customHeight="1" x14ac:dyDescent="0.25">
      <c r="A25" s="4" t="s">
        <v>21</v>
      </c>
      <c r="B25" s="4" t="s">
        <v>35</v>
      </c>
      <c r="C25" s="4" t="s">
        <v>36</v>
      </c>
      <c r="D25" s="4" t="s">
        <v>39</v>
      </c>
      <c r="E25" s="4" t="s">
        <v>25</v>
      </c>
      <c r="F25" s="4" t="s">
        <v>25</v>
      </c>
      <c r="G25" s="4" t="s">
        <v>25</v>
      </c>
      <c r="H25" s="4" t="s">
        <v>38</v>
      </c>
      <c r="I25" s="5">
        <v>44593</v>
      </c>
      <c r="J25" s="6">
        <v>0</v>
      </c>
      <c r="K25" s="6">
        <v>0</v>
      </c>
      <c r="L25" s="6">
        <v>275.154</v>
      </c>
      <c r="M25" s="6">
        <v>275.154</v>
      </c>
      <c r="N25" s="6">
        <v>275.154</v>
      </c>
      <c r="O25" s="6">
        <v>275.154</v>
      </c>
      <c r="P25" s="6">
        <v>0</v>
      </c>
      <c r="Q25" s="4" t="s">
        <v>26</v>
      </c>
      <c r="R25" s="4">
        <v>0</v>
      </c>
      <c r="S25" s="4" t="s">
        <v>109</v>
      </c>
      <c r="T25" s="4" t="s">
        <v>237</v>
      </c>
      <c r="U25" s="4">
        <v>0</v>
      </c>
      <c r="V25" s="4">
        <v>15</v>
      </c>
      <c r="W25" s="4">
        <v>28</v>
      </c>
    </row>
    <row r="26" spans="1:23" ht="11.25" customHeight="1" x14ac:dyDescent="0.25">
      <c r="A26" s="4" t="s">
        <v>28</v>
      </c>
      <c r="B26" s="4" t="s">
        <v>35</v>
      </c>
      <c r="C26" s="4" t="s">
        <v>36</v>
      </c>
      <c r="D26" s="4" t="s">
        <v>39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44593</v>
      </c>
      <c r="J26" s="6">
        <v>0</v>
      </c>
      <c r="K26" s="6">
        <v>0</v>
      </c>
      <c r="L26" s="6">
        <v>6.8579999999999997</v>
      </c>
      <c r="M26" s="6">
        <v>6.8579999999999997</v>
      </c>
      <c r="N26" s="6">
        <v>6.8579999999999997</v>
      </c>
      <c r="O26" s="6">
        <v>6.8579999999999997</v>
      </c>
      <c r="P26" s="6">
        <v>0</v>
      </c>
      <c r="Q26" s="4" t="s">
        <v>26</v>
      </c>
      <c r="R26" s="4">
        <v>0</v>
      </c>
      <c r="S26" s="4" t="s">
        <v>109</v>
      </c>
      <c r="T26" s="4" t="s">
        <v>237</v>
      </c>
      <c r="U26" s="4">
        <v>0</v>
      </c>
      <c r="V26" s="4">
        <v>15</v>
      </c>
      <c r="W26" s="4">
        <v>28</v>
      </c>
    </row>
    <row r="27" spans="1:23" ht="11.25" customHeight="1" x14ac:dyDescent="0.25">
      <c r="A27" s="4" t="s">
        <v>21</v>
      </c>
      <c r="B27" s="4" t="s">
        <v>35</v>
      </c>
      <c r="C27" s="4" t="s">
        <v>36</v>
      </c>
      <c r="D27" s="4" t="s">
        <v>39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44621</v>
      </c>
      <c r="J27" s="6">
        <v>0</v>
      </c>
      <c r="K27" s="6">
        <v>0</v>
      </c>
      <c r="L27" s="6">
        <v>207.25399999999999</v>
      </c>
      <c r="M27" s="6">
        <v>207.25399999999999</v>
      </c>
      <c r="N27" s="6">
        <v>207.25399999999999</v>
      </c>
      <c r="O27" s="6">
        <v>207.25399999999999</v>
      </c>
      <c r="P27" s="6">
        <v>0</v>
      </c>
      <c r="Q27" s="4" t="s">
        <v>26</v>
      </c>
      <c r="R27" s="4">
        <v>0</v>
      </c>
      <c r="S27" s="4" t="s">
        <v>110</v>
      </c>
      <c r="T27" s="4" t="s">
        <v>238</v>
      </c>
      <c r="U27" s="4">
        <v>0</v>
      </c>
      <c r="V27" s="4">
        <v>15</v>
      </c>
      <c r="W27" s="4">
        <v>28</v>
      </c>
    </row>
    <row r="28" spans="1:23" ht="11.25" customHeight="1" x14ac:dyDescent="0.25">
      <c r="A28" s="4" t="s">
        <v>28</v>
      </c>
      <c r="B28" s="4" t="s">
        <v>35</v>
      </c>
      <c r="C28" s="4" t="s">
        <v>36</v>
      </c>
      <c r="D28" s="4" t="s">
        <v>39</v>
      </c>
      <c r="E28" s="4" t="s">
        <v>25</v>
      </c>
      <c r="F28" s="4" t="s">
        <v>25</v>
      </c>
      <c r="G28" s="4" t="s">
        <v>25</v>
      </c>
      <c r="H28" s="4" t="s">
        <v>38</v>
      </c>
      <c r="I28" s="5">
        <v>44621</v>
      </c>
      <c r="J28" s="6">
        <v>0</v>
      </c>
      <c r="K28" s="6">
        <v>0</v>
      </c>
      <c r="L28" s="6">
        <v>11.465999999999999</v>
      </c>
      <c r="M28" s="6">
        <v>11.465999999999999</v>
      </c>
      <c r="N28" s="6">
        <v>11.465999999999999</v>
      </c>
      <c r="O28" s="6">
        <v>11.465999999999999</v>
      </c>
      <c r="P28" s="6">
        <v>0</v>
      </c>
      <c r="Q28" s="4" t="s">
        <v>26</v>
      </c>
      <c r="R28" s="4">
        <v>0</v>
      </c>
      <c r="S28" s="4" t="s">
        <v>110</v>
      </c>
      <c r="T28" s="4" t="s">
        <v>238</v>
      </c>
      <c r="U28" s="4">
        <v>0</v>
      </c>
      <c r="V28" s="4">
        <v>15</v>
      </c>
      <c r="W28" s="4">
        <v>28</v>
      </c>
    </row>
    <row r="29" spans="1:23" ht="11.25" customHeight="1" x14ac:dyDescent="0.25">
      <c r="A29" s="4" t="s">
        <v>21</v>
      </c>
      <c r="B29" s="4" t="s">
        <v>35</v>
      </c>
      <c r="C29" s="4" t="s">
        <v>36</v>
      </c>
      <c r="D29" s="4" t="s">
        <v>39</v>
      </c>
      <c r="E29" s="4" t="s">
        <v>25</v>
      </c>
      <c r="F29" s="4" t="s">
        <v>25</v>
      </c>
      <c r="G29" s="4" t="s">
        <v>25</v>
      </c>
      <c r="H29" s="4" t="s">
        <v>38</v>
      </c>
      <c r="I29" s="5">
        <v>44652</v>
      </c>
      <c r="J29" s="6">
        <v>0</v>
      </c>
      <c r="K29" s="6">
        <v>0</v>
      </c>
      <c r="L29" s="6">
        <v>501.79</v>
      </c>
      <c r="M29" s="6">
        <v>501.79</v>
      </c>
      <c r="N29" s="6">
        <v>501.79</v>
      </c>
      <c r="O29" s="6">
        <v>501.79</v>
      </c>
      <c r="P29" s="6">
        <v>0</v>
      </c>
      <c r="Q29" s="4" t="s">
        <v>26</v>
      </c>
      <c r="R29" s="4">
        <v>0</v>
      </c>
      <c r="S29" s="4" t="s">
        <v>111</v>
      </c>
      <c r="T29" s="4" t="s">
        <v>239</v>
      </c>
      <c r="U29" s="4">
        <v>0</v>
      </c>
      <c r="V29" s="4">
        <v>15</v>
      </c>
      <c r="W29" s="4">
        <v>28</v>
      </c>
    </row>
    <row r="30" spans="1:23" ht="11.25" customHeight="1" x14ac:dyDescent="0.25">
      <c r="A30" s="4" t="s">
        <v>28</v>
      </c>
      <c r="B30" s="4" t="s">
        <v>35</v>
      </c>
      <c r="C30" s="4" t="s">
        <v>36</v>
      </c>
      <c r="D30" s="4" t="s">
        <v>39</v>
      </c>
      <c r="E30" s="4" t="s">
        <v>25</v>
      </c>
      <c r="F30" s="4" t="s">
        <v>25</v>
      </c>
      <c r="G30" s="4" t="s">
        <v>25</v>
      </c>
      <c r="H30" s="4" t="s">
        <v>38</v>
      </c>
      <c r="I30" s="5">
        <v>44652</v>
      </c>
      <c r="J30" s="6">
        <v>0</v>
      </c>
      <c r="K30" s="6">
        <v>0</v>
      </c>
      <c r="L30" s="6">
        <v>28.596</v>
      </c>
      <c r="M30" s="6">
        <v>28.596</v>
      </c>
      <c r="N30" s="6">
        <v>28.596</v>
      </c>
      <c r="O30" s="6">
        <v>28.596</v>
      </c>
      <c r="P30" s="6">
        <v>0</v>
      </c>
      <c r="Q30" s="4" t="s">
        <v>26</v>
      </c>
      <c r="R30" s="4">
        <v>0</v>
      </c>
      <c r="S30" s="4" t="s">
        <v>111</v>
      </c>
      <c r="T30" s="4" t="s">
        <v>239</v>
      </c>
      <c r="U30" s="4">
        <v>0</v>
      </c>
      <c r="V30" s="4">
        <v>15</v>
      </c>
      <c r="W30" s="4">
        <v>28</v>
      </c>
    </row>
    <row r="31" spans="1:23" ht="11.25" customHeight="1" x14ac:dyDescent="0.25">
      <c r="A31" s="4" t="s">
        <v>21</v>
      </c>
      <c r="B31" s="4" t="s">
        <v>35</v>
      </c>
      <c r="C31" s="4" t="s">
        <v>36</v>
      </c>
      <c r="D31" s="4" t="s">
        <v>39</v>
      </c>
      <c r="E31" s="4" t="s">
        <v>25</v>
      </c>
      <c r="F31" s="4" t="s">
        <v>25</v>
      </c>
      <c r="G31" s="4" t="s">
        <v>25</v>
      </c>
      <c r="H31" s="4" t="s">
        <v>38</v>
      </c>
      <c r="I31" s="5">
        <v>44682</v>
      </c>
      <c r="J31" s="6">
        <v>0</v>
      </c>
      <c r="K31" s="6">
        <v>0</v>
      </c>
      <c r="L31" s="6">
        <v>514.86</v>
      </c>
      <c r="M31" s="6">
        <v>514.86</v>
      </c>
      <c r="N31" s="6">
        <v>514.86</v>
      </c>
      <c r="O31" s="6">
        <v>514.86</v>
      </c>
      <c r="P31" s="6">
        <v>0</v>
      </c>
      <c r="Q31" s="4" t="s">
        <v>26</v>
      </c>
      <c r="R31" s="4">
        <v>0</v>
      </c>
      <c r="S31" s="4" t="s">
        <v>112</v>
      </c>
      <c r="T31" s="4" t="s">
        <v>240</v>
      </c>
      <c r="U31" s="4">
        <v>0</v>
      </c>
      <c r="V31" s="4">
        <v>15</v>
      </c>
      <c r="W31" s="4">
        <v>28</v>
      </c>
    </row>
    <row r="32" spans="1:23" ht="11.25" customHeight="1" x14ac:dyDescent="0.25">
      <c r="A32" s="4" t="s">
        <v>28</v>
      </c>
      <c r="B32" s="4" t="s">
        <v>35</v>
      </c>
      <c r="C32" s="4" t="s">
        <v>36</v>
      </c>
      <c r="D32" s="4" t="s">
        <v>39</v>
      </c>
      <c r="E32" s="4" t="s">
        <v>25</v>
      </c>
      <c r="F32" s="4" t="s">
        <v>25</v>
      </c>
      <c r="G32" s="4" t="s">
        <v>25</v>
      </c>
      <c r="H32" s="4" t="s">
        <v>38</v>
      </c>
      <c r="I32" s="5">
        <v>44682</v>
      </c>
      <c r="J32" s="6">
        <v>0</v>
      </c>
      <c r="K32" s="6">
        <v>0</v>
      </c>
      <c r="L32" s="6">
        <v>58.043999999999997</v>
      </c>
      <c r="M32" s="6">
        <v>58.043999999999997</v>
      </c>
      <c r="N32" s="6">
        <v>58.043999999999997</v>
      </c>
      <c r="O32" s="6">
        <v>58.043999999999997</v>
      </c>
      <c r="P32" s="6">
        <v>0</v>
      </c>
      <c r="Q32" s="4" t="s">
        <v>26</v>
      </c>
      <c r="R32" s="4">
        <v>0</v>
      </c>
      <c r="S32" s="4" t="s">
        <v>112</v>
      </c>
      <c r="T32" s="4" t="s">
        <v>240</v>
      </c>
      <c r="U32" s="4">
        <v>0</v>
      </c>
      <c r="V32" s="4">
        <v>15</v>
      </c>
      <c r="W32" s="4">
        <v>28</v>
      </c>
    </row>
    <row r="33" spans="1:23" ht="11.25" customHeight="1" x14ac:dyDescent="0.25">
      <c r="A33" s="4" t="s">
        <v>21</v>
      </c>
      <c r="B33" s="4" t="s">
        <v>35</v>
      </c>
      <c r="C33" s="4" t="s">
        <v>36</v>
      </c>
      <c r="D33" s="4" t="s">
        <v>39</v>
      </c>
      <c r="E33" s="4" t="s">
        <v>25</v>
      </c>
      <c r="F33" s="4" t="s">
        <v>25</v>
      </c>
      <c r="G33" s="4" t="s">
        <v>25</v>
      </c>
      <c r="H33" s="4" t="s">
        <v>38</v>
      </c>
      <c r="I33" s="5">
        <v>44713</v>
      </c>
      <c r="J33" s="6">
        <v>0</v>
      </c>
      <c r="K33" s="6">
        <v>0</v>
      </c>
      <c r="L33" s="6">
        <v>431.22199999999998</v>
      </c>
      <c r="M33" s="6">
        <v>431.22199999999998</v>
      </c>
      <c r="N33" s="6">
        <v>431.22199999999998</v>
      </c>
      <c r="O33" s="6">
        <v>431.22199999999998</v>
      </c>
      <c r="P33" s="6">
        <v>0</v>
      </c>
      <c r="Q33" s="4" t="s">
        <v>26</v>
      </c>
      <c r="R33" s="4">
        <v>0</v>
      </c>
      <c r="S33" s="4" t="s">
        <v>113</v>
      </c>
      <c r="T33" s="4" t="s">
        <v>235</v>
      </c>
      <c r="U33" s="4">
        <v>0</v>
      </c>
      <c r="V33" s="4">
        <v>15</v>
      </c>
      <c r="W33" s="4">
        <v>28</v>
      </c>
    </row>
    <row r="34" spans="1:23" ht="11.25" customHeight="1" x14ac:dyDescent="0.25">
      <c r="A34" s="4" t="s">
        <v>28</v>
      </c>
      <c r="B34" s="4" t="s">
        <v>35</v>
      </c>
      <c r="C34" s="4" t="s">
        <v>36</v>
      </c>
      <c r="D34" s="4" t="s">
        <v>39</v>
      </c>
      <c r="E34" s="4" t="s">
        <v>25</v>
      </c>
      <c r="F34" s="4" t="s">
        <v>25</v>
      </c>
      <c r="G34" s="4" t="s">
        <v>25</v>
      </c>
      <c r="H34" s="4" t="s">
        <v>38</v>
      </c>
      <c r="I34" s="5">
        <v>44713</v>
      </c>
      <c r="J34" s="6">
        <v>0</v>
      </c>
      <c r="K34" s="6">
        <v>0</v>
      </c>
      <c r="L34" s="6">
        <v>28.091999999999999</v>
      </c>
      <c r="M34" s="6">
        <v>28.091999999999999</v>
      </c>
      <c r="N34" s="6">
        <v>28.091999999999999</v>
      </c>
      <c r="O34" s="6">
        <v>28.091999999999999</v>
      </c>
      <c r="P34" s="6">
        <v>0</v>
      </c>
      <c r="Q34" s="4" t="s">
        <v>26</v>
      </c>
      <c r="R34" s="4">
        <v>0</v>
      </c>
      <c r="S34" s="4" t="s">
        <v>113</v>
      </c>
      <c r="T34" s="4" t="s">
        <v>235</v>
      </c>
      <c r="U34" s="4">
        <v>0</v>
      </c>
      <c r="V34" s="4">
        <v>15</v>
      </c>
      <c r="W34" s="4">
        <v>28</v>
      </c>
    </row>
    <row r="35" spans="1:23" ht="11.25" customHeight="1" x14ac:dyDescent="0.25">
      <c r="A35" s="4" t="s">
        <v>21</v>
      </c>
      <c r="B35" s="4" t="s">
        <v>35</v>
      </c>
      <c r="C35" s="4" t="s">
        <v>36</v>
      </c>
      <c r="D35" s="4" t="s">
        <v>39</v>
      </c>
      <c r="E35" s="4" t="s">
        <v>25</v>
      </c>
      <c r="F35" s="4" t="s">
        <v>25</v>
      </c>
      <c r="G35" s="4" t="s">
        <v>25</v>
      </c>
      <c r="H35" s="4" t="s">
        <v>25</v>
      </c>
      <c r="I35" s="5">
        <v>44378</v>
      </c>
      <c r="J35" s="6">
        <v>2587</v>
      </c>
      <c r="K35" s="6">
        <v>2587</v>
      </c>
      <c r="L35" s="6">
        <v>0</v>
      </c>
      <c r="M35" s="6">
        <v>0</v>
      </c>
      <c r="N35" s="6">
        <v>0</v>
      </c>
      <c r="O35" s="6">
        <v>0</v>
      </c>
      <c r="P35" s="6">
        <v>13</v>
      </c>
      <c r="Q35" s="4" t="s">
        <v>26</v>
      </c>
      <c r="R35" s="4">
        <v>0</v>
      </c>
      <c r="S35" s="4" t="s">
        <v>114</v>
      </c>
      <c r="U35" s="4">
        <v>11</v>
      </c>
      <c r="V35" s="4">
        <v>0</v>
      </c>
      <c r="W35" s="4">
        <v>0</v>
      </c>
    </row>
    <row r="36" spans="1:23" ht="11.25" customHeight="1" x14ac:dyDescent="0.25">
      <c r="A36" s="4" t="s">
        <v>28</v>
      </c>
      <c r="B36" s="4" t="s">
        <v>35</v>
      </c>
      <c r="C36" s="4" t="s">
        <v>36</v>
      </c>
      <c r="D36" s="4" t="s">
        <v>39</v>
      </c>
      <c r="E36" s="4" t="s">
        <v>25</v>
      </c>
      <c r="F36" s="4" t="s">
        <v>25</v>
      </c>
      <c r="G36" s="4" t="s">
        <v>25</v>
      </c>
      <c r="H36" s="4" t="s">
        <v>25</v>
      </c>
      <c r="I36" s="5">
        <v>44378</v>
      </c>
      <c r="J36" s="6">
        <v>219</v>
      </c>
      <c r="K36" s="6">
        <v>219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4" t="s">
        <v>26</v>
      </c>
      <c r="R36" s="4">
        <v>0</v>
      </c>
      <c r="S36" s="4" t="s">
        <v>114</v>
      </c>
      <c r="U36" s="4">
        <v>11</v>
      </c>
      <c r="V36" s="4">
        <v>0</v>
      </c>
      <c r="W36" s="4">
        <v>0</v>
      </c>
    </row>
    <row r="37" spans="1:23" ht="11.25" customHeight="1" x14ac:dyDescent="0.25">
      <c r="A37" s="4" t="s">
        <v>21</v>
      </c>
      <c r="B37" s="4" t="s">
        <v>35</v>
      </c>
      <c r="C37" s="4" t="s">
        <v>36</v>
      </c>
      <c r="D37" s="4" t="s">
        <v>39</v>
      </c>
      <c r="E37" s="4" t="s">
        <v>25</v>
      </c>
      <c r="F37" s="4" t="s">
        <v>25</v>
      </c>
      <c r="G37" s="4" t="s">
        <v>25</v>
      </c>
      <c r="H37" s="4" t="s">
        <v>25</v>
      </c>
      <c r="I37" s="5">
        <v>44409</v>
      </c>
      <c r="J37" s="6">
        <v>2676</v>
      </c>
      <c r="K37" s="6">
        <v>2676</v>
      </c>
      <c r="L37" s="6">
        <v>0</v>
      </c>
      <c r="M37" s="6">
        <v>0</v>
      </c>
      <c r="N37" s="6">
        <v>0</v>
      </c>
      <c r="O37" s="6">
        <v>0</v>
      </c>
      <c r="P37" s="6">
        <v>15</v>
      </c>
      <c r="Q37" s="4" t="s">
        <v>26</v>
      </c>
      <c r="R37" s="4">
        <v>0</v>
      </c>
      <c r="S37" s="4" t="s">
        <v>115</v>
      </c>
      <c r="U37" s="4">
        <v>11</v>
      </c>
      <c r="V37" s="4">
        <v>0</v>
      </c>
      <c r="W37" s="4">
        <v>0</v>
      </c>
    </row>
    <row r="38" spans="1:23" ht="11.25" customHeight="1" x14ac:dyDescent="0.25">
      <c r="A38" s="4" t="s">
        <v>28</v>
      </c>
      <c r="B38" s="4" t="s">
        <v>35</v>
      </c>
      <c r="C38" s="4" t="s">
        <v>36</v>
      </c>
      <c r="D38" s="4" t="s">
        <v>39</v>
      </c>
      <c r="E38" s="4" t="s">
        <v>25</v>
      </c>
      <c r="F38" s="4" t="s">
        <v>25</v>
      </c>
      <c r="G38" s="4" t="s">
        <v>25</v>
      </c>
      <c r="H38" s="4" t="s">
        <v>25</v>
      </c>
      <c r="I38" s="5">
        <v>44409</v>
      </c>
      <c r="J38" s="6">
        <v>156</v>
      </c>
      <c r="K38" s="6">
        <v>156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4" t="s">
        <v>26</v>
      </c>
      <c r="R38" s="4">
        <v>0</v>
      </c>
      <c r="S38" s="4" t="s">
        <v>115</v>
      </c>
      <c r="U38" s="4">
        <v>11</v>
      </c>
      <c r="V38" s="4">
        <v>0</v>
      </c>
      <c r="W38" s="4">
        <v>0</v>
      </c>
    </row>
    <row r="39" spans="1:23" ht="11.25" customHeight="1" x14ac:dyDescent="0.25">
      <c r="A39" s="4" t="s">
        <v>21</v>
      </c>
      <c r="B39" s="4" t="s">
        <v>35</v>
      </c>
      <c r="C39" s="4" t="s">
        <v>36</v>
      </c>
      <c r="D39" s="4" t="s">
        <v>39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44440</v>
      </c>
      <c r="J39" s="6">
        <v>2025</v>
      </c>
      <c r="K39" s="6">
        <v>2025</v>
      </c>
      <c r="L39" s="6">
        <v>0</v>
      </c>
      <c r="M39" s="6">
        <v>0</v>
      </c>
      <c r="N39" s="6">
        <v>0</v>
      </c>
      <c r="O39" s="6">
        <v>0</v>
      </c>
      <c r="P39" s="6">
        <v>15</v>
      </c>
      <c r="Q39" s="4" t="s">
        <v>26</v>
      </c>
      <c r="R39" s="4">
        <v>0</v>
      </c>
      <c r="S39" s="4" t="s">
        <v>116</v>
      </c>
      <c r="U39" s="4">
        <v>11</v>
      </c>
      <c r="V39" s="4">
        <v>0</v>
      </c>
      <c r="W39" s="4">
        <v>0</v>
      </c>
    </row>
    <row r="40" spans="1:23" ht="11.25" customHeight="1" x14ac:dyDescent="0.25">
      <c r="A40" s="4" t="s">
        <v>28</v>
      </c>
      <c r="B40" s="4" t="s">
        <v>35</v>
      </c>
      <c r="C40" s="4" t="s">
        <v>36</v>
      </c>
      <c r="D40" s="4" t="s">
        <v>39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44440</v>
      </c>
      <c r="J40" s="6">
        <v>80</v>
      </c>
      <c r="K40" s="6">
        <v>80</v>
      </c>
      <c r="L40" s="6">
        <v>0</v>
      </c>
      <c r="M40" s="6">
        <v>0</v>
      </c>
      <c r="N40" s="6">
        <v>0</v>
      </c>
      <c r="O40" s="6">
        <v>0</v>
      </c>
      <c r="P40" s="6">
        <v>1</v>
      </c>
      <c r="Q40" s="4" t="s">
        <v>26</v>
      </c>
      <c r="R40" s="4">
        <v>0</v>
      </c>
      <c r="S40" s="4" t="s">
        <v>116</v>
      </c>
      <c r="U40" s="4">
        <v>11</v>
      </c>
      <c r="V40" s="4">
        <v>0</v>
      </c>
      <c r="W40" s="4">
        <v>0</v>
      </c>
    </row>
    <row r="41" spans="1:23" ht="11.25" customHeight="1" x14ac:dyDescent="0.25">
      <c r="A41" s="4" t="s">
        <v>21</v>
      </c>
      <c r="B41" s="4" t="s">
        <v>35</v>
      </c>
      <c r="C41" s="4" t="s">
        <v>36</v>
      </c>
      <c r="D41" s="4" t="s">
        <v>39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44470</v>
      </c>
      <c r="J41" s="6">
        <v>1947</v>
      </c>
      <c r="K41" s="6">
        <v>1947</v>
      </c>
      <c r="L41" s="6">
        <v>0</v>
      </c>
      <c r="M41" s="6">
        <v>0</v>
      </c>
      <c r="N41" s="6">
        <v>0</v>
      </c>
      <c r="O41" s="6">
        <v>0</v>
      </c>
      <c r="P41" s="6">
        <v>15</v>
      </c>
      <c r="Q41" s="4" t="s">
        <v>26</v>
      </c>
      <c r="R41" s="4">
        <v>0</v>
      </c>
      <c r="S41" s="4" t="s">
        <v>117</v>
      </c>
      <c r="U41" s="4">
        <v>11</v>
      </c>
      <c r="V41" s="4">
        <v>0</v>
      </c>
      <c r="W41" s="4">
        <v>0</v>
      </c>
    </row>
    <row r="42" spans="1:23" ht="11.25" customHeight="1" x14ac:dyDescent="0.25">
      <c r="A42" s="4" t="s">
        <v>28</v>
      </c>
      <c r="B42" s="4" t="s">
        <v>35</v>
      </c>
      <c r="C42" s="4" t="s">
        <v>36</v>
      </c>
      <c r="D42" s="4" t="s">
        <v>39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44470</v>
      </c>
      <c r="J42" s="6">
        <v>122</v>
      </c>
      <c r="K42" s="6">
        <v>122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4" t="s">
        <v>26</v>
      </c>
      <c r="R42" s="4">
        <v>0</v>
      </c>
      <c r="S42" s="4" t="s">
        <v>117</v>
      </c>
      <c r="U42" s="4">
        <v>11</v>
      </c>
      <c r="V42" s="4">
        <v>0</v>
      </c>
      <c r="W42" s="4">
        <v>0</v>
      </c>
    </row>
    <row r="43" spans="1:23" ht="11.25" customHeight="1" x14ac:dyDescent="0.25">
      <c r="A43" s="4" t="s">
        <v>21</v>
      </c>
      <c r="B43" s="4" t="s">
        <v>35</v>
      </c>
      <c r="C43" s="4" t="s">
        <v>36</v>
      </c>
      <c r="D43" s="4" t="s">
        <v>39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44501</v>
      </c>
      <c r="J43" s="6">
        <v>2420</v>
      </c>
      <c r="K43" s="6">
        <v>2420</v>
      </c>
      <c r="L43" s="6">
        <v>0</v>
      </c>
      <c r="M43" s="6">
        <v>0</v>
      </c>
      <c r="N43" s="6">
        <v>0</v>
      </c>
      <c r="O43" s="6">
        <v>0</v>
      </c>
      <c r="P43" s="6">
        <v>15</v>
      </c>
      <c r="Q43" s="4" t="s">
        <v>26</v>
      </c>
      <c r="R43" s="4">
        <v>0</v>
      </c>
      <c r="S43" s="4" t="s">
        <v>118</v>
      </c>
      <c r="U43" s="4">
        <v>11</v>
      </c>
      <c r="V43" s="4">
        <v>0</v>
      </c>
      <c r="W43" s="4">
        <v>0</v>
      </c>
    </row>
    <row r="44" spans="1:23" ht="11.25" customHeight="1" x14ac:dyDescent="0.25">
      <c r="A44" s="4" t="s">
        <v>28</v>
      </c>
      <c r="B44" s="4" t="s">
        <v>35</v>
      </c>
      <c r="C44" s="4" t="s">
        <v>36</v>
      </c>
      <c r="D44" s="4" t="s">
        <v>39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44501</v>
      </c>
      <c r="J44" s="6">
        <v>161</v>
      </c>
      <c r="K44" s="6">
        <v>161</v>
      </c>
      <c r="L44" s="6">
        <v>0</v>
      </c>
      <c r="M44" s="6">
        <v>0</v>
      </c>
      <c r="N44" s="6">
        <v>0</v>
      </c>
      <c r="O44" s="6">
        <v>0</v>
      </c>
      <c r="P44" s="6">
        <v>1</v>
      </c>
      <c r="Q44" s="4" t="s">
        <v>26</v>
      </c>
      <c r="R44" s="4">
        <v>0</v>
      </c>
      <c r="S44" s="4" t="s">
        <v>118</v>
      </c>
      <c r="U44" s="4">
        <v>11</v>
      </c>
      <c r="V44" s="4">
        <v>0</v>
      </c>
      <c r="W44" s="4">
        <v>0</v>
      </c>
    </row>
    <row r="45" spans="1:23" ht="11.25" customHeight="1" x14ac:dyDescent="0.25">
      <c r="A45" s="4" t="s">
        <v>21</v>
      </c>
      <c r="B45" s="4" t="s">
        <v>35</v>
      </c>
      <c r="C45" s="4" t="s">
        <v>36</v>
      </c>
      <c r="D45" s="4" t="s">
        <v>39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44531</v>
      </c>
      <c r="J45" s="6">
        <v>2017</v>
      </c>
      <c r="K45" s="6">
        <v>2017</v>
      </c>
      <c r="L45" s="6">
        <v>0</v>
      </c>
      <c r="M45" s="6">
        <v>0</v>
      </c>
      <c r="N45" s="6">
        <v>0</v>
      </c>
      <c r="O45" s="6">
        <v>0</v>
      </c>
      <c r="P45" s="6">
        <v>15</v>
      </c>
      <c r="Q45" s="4" t="s">
        <v>26</v>
      </c>
      <c r="R45" s="4">
        <v>0</v>
      </c>
      <c r="S45" s="4" t="s">
        <v>119</v>
      </c>
      <c r="U45" s="4">
        <v>11</v>
      </c>
      <c r="V45" s="4">
        <v>0</v>
      </c>
      <c r="W45" s="4">
        <v>0</v>
      </c>
    </row>
    <row r="46" spans="1:23" ht="11.25" customHeight="1" x14ac:dyDescent="0.25">
      <c r="A46" s="4" t="s">
        <v>28</v>
      </c>
      <c r="B46" s="4" t="s">
        <v>35</v>
      </c>
      <c r="C46" s="4" t="s">
        <v>36</v>
      </c>
      <c r="D46" s="4" t="s">
        <v>39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44531</v>
      </c>
      <c r="J46" s="6">
        <v>121</v>
      </c>
      <c r="K46" s="6">
        <v>121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4" t="s">
        <v>26</v>
      </c>
      <c r="R46" s="4">
        <v>0</v>
      </c>
      <c r="S46" s="4" t="s">
        <v>119</v>
      </c>
      <c r="U46" s="4">
        <v>11</v>
      </c>
      <c r="V46" s="4">
        <v>0</v>
      </c>
      <c r="W46" s="4">
        <v>0</v>
      </c>
    </row>
    <row r="47" spans="1:23" ht="11.25" customHeight="1" x14ac:dyDescent="0.25">
      <c r="A47" s="4" t="s">
        <v>21</v>
      </c>
      <c r="B47" s="4" t="s">
        <v>35</v>
      </c>
      <c r="C47" s="4" t="s">
        <v>36</v>
      </c>
      <c r="D47" s="4" t="s">
        <v>39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44562</v>
      </c>
      <c r="J47" s="6">
        <v>2357</v>
      </c>
      <c r="K47" s="6">
        <v>2357</v>
      </c>
      <c r="L47" s="6">
        <v>0</v>
      </c>
      <c r="M47" s="6">
        <v>0</v>
      </c>
      <c r="N47" s="6">
        <v>0</v>
      </c>
      <c r="O47" s="6">
        <v>0</v>
      </c>
      <c r="P47" s="6">
        <v>15</v>
      </c>
      <c r="Q47" s="4" t="s">
        <v>26</v>
      </c>
      <c r="R47" s="4">
        <v>0</v>
      </c>
      <c r="S47" s="4" t="s">
        <v>120</v>
      </c>
      <c r="U47" s="4">
        <v>11</v>
      </c>
      <c r="V47" s="4">
        <v>0</v>
      </c>
      <c r="W47" s="4">
        <v>0</v>
      </c>
    </row>
    <row r="48" spans="1:23" ht="11.25" customHeight="1" x14ac:dyDescent="0.25">
      <c r="A48" s="4" t="s">
        <v>28</v>
      </c>
      <c r="B48" s="4" t="s">
        <v>35</v>
      </c>
      <c r="C48" s="4" t="s">
        <v>36</v>
      </c>
      <c r="D48" s="4" t="s">
        <v>39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44562</v>
      </c>
      <c r="J48" s="6">
        <v>105</v>
      </c>
      <c r="K48" s="6">
        <v>105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4" t="s">
        <v>26</v>
      </c>
      <c r="R48" s="4">
        <v>0</v>
      </c>
      <c r="S48" s="4" t="s">
        <v>120</v>
      </c>
      <c r="U48" s="4">
        <v>11</v>
      </c>
      <c r="V48" s="4">
        <v>0</v>
      </c>
      <c r="W48" s="4">
        <v>0</v>
      </c>
    </row>
    <row r="49" spans="1:23" ht="11.25" customHeight="1" x14ac:dyDescent="0.25">
      <c r="A49" s="4" t="s">
        <v>21</v>
      </c>
      <c r="B49" s="4" t="s">
        <v>35</v>
      </c>
      <c r="C49" s="4" t="s">
        <v>36</v>
      </c>
      <c r="D49" s="4" t="s">
        <v>39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44593</v>
      </c>
      <c r="J49" s="6">
        <v>2680</v>
      </c>
      <c r="K49" s="6">
        <v>2680</v>
      </c>
      <c r="L49" s="6">
        <v>0</v>
      </c>
      <c r="M49" s="6">
        <v>0</v>
      </c>
      <c r="N49" s="6">
        <v>0</v>
      </c>
      <c r="O49" s="6">
        <v>0</v>
      </c>
      <c r="P49" s="6">
        <v>15</v>
      </c>
      <c r="Q49" s="4" t="s">
        <v>26</v>
      </c>
      <c r="R49" s="4">
        <v>0</v>
      </c>
      <c r="S49" s="4" t="s">
        <v>121</v>
      </c>
      <c r="U49" s="4">
        <v>11</v>
      </c>
      <c r="V49" s="4">
        <v>0</v>
      </c>
      <c r="W49" s="4">
        <v>0</v>
      </c>
    </row>
    <row r="50" spans="1:23" ht="11.25" customHeight="1" x14ac:dyDescent="0.25">
      <c r="A50" s="4" t="s">
        <v>28</v>
      </c>
      <c r="B50" s="4" t="s">
        <v>35</v>
      </c>
      <c r="C50" s="4" t="s">
        <v>36</v>
      </c>
      <c r="D50" s="4" t="s">
        <v>39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44593</v>
      </c>
      <c r="J50" s="6">
        <v>144</v>
      </c>
      <c r="K50" s="6">
        <v>144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4" t="s">
        <v>26</v>
      </c>
      <c r="R50" s="4">
        <v>0</v>
      </c>
      <c r="S50" s="4" t="s">
        <v>121</v>
      </c>
      <c r="U50" s="4">
        <v>11</v>
      </c>
      <c r="V50" s="4">
        <v>0</v>
      </c>
      <c r="W50" s="4">
        <v>0</v>
      </c>
    </row>
    <row r="51" spans="1:23" ht="11.25" customHeight="1" x14ac:dyDescent="0.25">
      <c r="A51" s="4" t="s">
        <v>21</v>
      </c>
      <c r="B51" s="4" t="s">
        <v>35</v>
      </c>
      <c r="C51" s="4" t="s">
        <v>36</v>
      </c>
      <c r="D51" s="4" t="s">
        <v>39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44621</v>
      </c>
      <c r="J51" s="6">
        <v>2552</v>
      </c>
      <c r="K51" s="6">
        <v>2552</v>
      </c>
      <c r="L51" s="6">
        <v>0</v>
      </c>
      <c r="M51" s="6">
        <v>0</v>
      </c>
      <c r="N51" s="6">
        <v>0</v>
      </c>
      <c r="O51" s="6">
        <v>0</v>
      </c>
      <c r="P51" s="6">
        <v>15</v>
      </c>
      <c r="Q51" s="4" t="s">
        <v>26</v>
      </c>
      <c r="R51" s="4">
        <v>0</v>
      </c>
      <c r="S51" s="4" t="s">
        <v>122</v>
      </c>
      <c r="U51" s="4">
        <v>11</v>
      </c>
      <c r="V51" s="4">
        <v>0</v>
      </c>
      <c r="W51" s="4">
        <v>0</v>
      </c>
    </row>
    <row r="52" spans="1:23" ht="11.25" customHeight="1" x14ac:dyDescent="0.25">
      <c r="A52" s="4" t="s">
        <v>28</v>
      </c>
      <c r="B52" s="4" t="s">
        <v>35</v>
      </c>
      <c r="C52" s="4" t="s">
        <v>36</v>
      </c>
      <c r="D52" s="4" t="s">
        <v>39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44621</v>
      </c>
      <c r="J52" s="6">
        <v>140</v>
      </c>
      <c r="K52" s="6">
        <v>140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4" t="s">
        <v>26</v>
      </c>
      <c r="R52" s="4">
        <v>0</v>
      </c>
      <c r="S52" s="4" t="s">
        <v>122</v>
      </c>
      <c r="U52" s="4">
        <v>11</v>
      </c>
      <c r="V52" s="4">
        <v>0</v>
      </c>
      <c r="W52" s="4">
        <v>0</v>
      </c>
    </row>
    <row r="53" spans="1:23" ht="11.25" customHeight="1" x14ac:dyDescent="0.25">
      <c r="A53" s="4" t="s">
        <v>21</v>
      </c>
      <c r="B53" s="4" t="s">
        <v>35</v>
      </c>
      <c r="C53" s="4" t="s">
        <v>36</v>
      </c>
      <c r="D53" s="4" t="s">
        <v>39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44652</v>
      </c>
      <c r="J53" s="6">
        <v>3444</v>
      </c>
      <c r="K53" s="6">
        <v>3444</v>
      </c>
      <c r="L53" s="6">
        <v>0</v>
      </c>
      <c r="M53" s="6">
        <v>0</v>
      </c>
      <c r="N53" s="6">
        <v>0</v>
      </c>
      <c r="O53" s="6">
        <v>0</v>
      </c>
      <c r="P53" s="6">
        <v>15</v>
      </c>
      <c r="Q53" s="4" t="s">
        <v>26</v>
      </c>
      <c r="R53" s="4">
        <v>0</v>
      </c>
      <c r="S53" s="4" t="s">
        <v>123</v>
      </c>
      <c r="U53" s="4">
        <v>11</v>
      </c>
      <c r="V53" s="4">
        <v>0</v>
      </c>
      <c r="W53" s="4">
        <v>0</v>
      </c>
    </row>
    <row r="54" spans="1:23" ht="11.25" customHeight="1" x14ac:dyDescent="0.25">
      <c r="A54" s="4" t="s">
        <v>28</v>
      </c>
      <c r="B54" s="4" t="s">
        <v>35</v>
      </c>
      <c r="C54" s="4" t="s">
        <v>36</v>
      </c>
      <c r="D54" s="4" t="s">
        <v>39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44652</v>
      </c>
      <c r="J54" s="6">
        <v>181</v>
      </c>
      <c r="K54" s="6">
        <v>181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4" t="s">
        <v>26</v>
      </c>
      <c r="R54" s="4">
        <v>0</v>
      </c>
      <c r="S54" s="4" t="s">
        <v>123</v>
      </c>
      <c r="U54" s="4">
        <v>11</v>
      </c>
      <c r="V54" s="4">
        <v>0</v>
      </c>
      <c r="W54" s="4">
        <v>0</v>
      </c>
    </row>
    <row r="55" spans="1:23" ht="11.25" customHeight="1" x14ac:dyDescent="0.25">
      <c r="A55" s="4" t="s">
        <v>21</v>
      </c>
      <c r="B55" s="4" t="s">
        <v>35</v>
      </c>
      <c r="C55" s="4" t="s">
        <v>36</v>
      </c>
      <c r="D55" s="4" t="s">
        <v>39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44682</v>
      </c>
      <c r="J55" s="6">
        <v>3523</v>
      </c>
      <c r="K55" s="6">
        <v>3523</v>
      </c>
      <c r="L55" s="6">
        <v>0</v>
      </c>
      <c r="M55" s="6">
        <v>0</v>
      </c>
      <c r="N55" s="6">
        <v>0</v>
      </c>
      <c r="O55" s="6">
        <v>0</v>
      </c>
      <c r="P55" s="6">
        <v>14</v>
      </c>
      <c r="Q55" s="4" t="s">
        <v>26</v>
      </c>
      <c r="R55" s="4">
        <v>0</v>
      </c>
      <c r="S55" s="4" t="s">
        <v>124</v>
      </c>
      <c r="U55" s="4">
        <v>11</v>
      </c>
      <c r="V55" s="4">
        <v>0</v>
      </c>
      <c r="W55" s="4">
        <v>0</v>
      </c>
    </row>
    <row r="56" spans="1:23" ht="11.25" customHeight="1" x14ac:dyDescent="0.25">
      <c r="A56" s="4" t="s">
        <v>28</v>
      </c>
      <c r="B56" s="4" t="s">
        <v>35</v>
      </c>
      <c r="C56" s="4" t="s">
        <v>36</v>
      </c>
      <c r="D56" s="4" t="s">
        <v>39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44682</v>
      </c>
      <c r="J56" s="6">
        <v>326</v>
      </c>
      <c r="K56" s="6">
        <v>326</v>
      </c>
      <c r="L56" s="6">
        <v>0</v>
      </c>
      <c r="M56" s="6">
        <v>0</v>
      </c>
      <c r="N56" s="6">
        <v>0</v>
      </c>
      <c r="O56" s="6">
        <v>0</v>
      </c>
      <c r="P56" s="6">
        <v>2</v>
      </c>
      <c r="Q56" s="4" t="s">
        <v>26</v>
      </c>
      <c r="R56" s="4">
        <v>0</v>
      </c>
      <c r="S56" s="4" t="s">
        <v>124</v>
      </c>
      <c r="U56" s="4">
        <v>11</v>
      </c>
      <c r="V56" s="4">
        <v>0</v>
      </c>
      <c r="W56" s="4">
        <v>0</v>
      </c>
    </row>
    <row r="57" spans="1:23" ht="11.25" customHeight="1" x14ac:dyDescent="0.25">
      <c r="A57" s="4" t="s">
        <v>21</v>
      </c>
      <c r="B57" s="4" t="s">
        <v>35</v>
      </c>
      <c r="C57" s="4" t="s">
        <v>36</v>
      </c>
      <c r="D57" s="4" t="s">
        <v>39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44713</v>
      </c>
      <c r="J57" s="6">
        <v>3242</v>
      </c>
      <c r="K57" s="6">
        <v>3242</v>
      </c>
      <c r="L57" s="6">
        <v>0</v>
      </c>
      <c r="M57" s="6">
        <v>0</v>
      </c>
      <c r="N57" s="6">
        <v>0</v>
      </c>
      <c r="O57" s="6">
        <v>0</v>
      </c>
      <c r="P57" s="6">
        <v>14</v>
      </c>
      <c r="Q57" s="4" t="s">
        <v>26</v>
      </c>
      <c r="R57" s="4">
        <v>0</v>
      </c>
      <c r="S57" s="4" t="s">
        <v>125</v>
      </c>
      <c r="U57" s="4">
        <v>11</v>
      </c>
      <c r="V57" s="4">
        <v>0</v>
      </c>
      <c r="W57" s="4">
        <v>0</v>
      </c>
    </row>
    <row r="58" spans="1:23" ht="11.25" customHeight="1" x14ac:dyDescent="0.25">
      <c r="A58" s="4" t="s">
        <v>27</v>
      </c>
      <c r="B58" s="4" t="s">
        <v>35</v>
      </c>
      <c r="C58" s="4" t="s">
        <v>36</v>
      </c>
      <c r="D58" s="4" t="s">
        <v>39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44713</v>
      </c>
      <c r="J58" s="6">
        <v>-739</v>
      </c>
      <c r="K58" s="6">
        <v>-739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4" t="s">
        <v>26</v>
      </c>
      <c r="R58" s="4">
        <v>0</v>
      </c>
      <c r="S58" s="4" t="s">
        <v>125</v>
      </c>
      <c r="U58" s="4">
        <v>11</v>
      </c>
      <c r="V58" s="4">
        <v>0</v>
      </c>
      <c r="W58" s="4">
        <v>0</v>
      </c>
    </row>
    <row r="59" spans="1:23" ht="11.25" customHeight="1" x14ac:dyDescent="0.25">
      <c r="A59" s="4" t="s">
        <v>28</v>
      </c>
      <c r="B59" s="4" t="s">
        <v>35</v>
      </c>
      <c r="C59" s="4" t="s">
        <v>36</v>
      </c>
      <c r="D59" s="4" t="s">
        <v>39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44713</v>
      </c>
      <c r="J59" s="6">
        <v>280</v>
      </c>
      <c r="K59" s="6">
        <v>280</v>
      </c>
      <c r="L59" s="6">
        <v>0</v>
      </c>
      <c r="M59" s="6">
        <v>0</v>
      </c>
      <c r="N59" s="6">
        <v>0</v>
      </c>
      <c r="O59" s="6">
        <v>0</v>
      </c>
      <c r="P59" s="6">
        <v>2</v>
      </c>
      <c r="Q59" s="4" t="s">
        <v>26</v>
      </c>
      <c r="R59" s="4">
        <v>0</v>
      </c>
      <c r="S59" s="4" t="s">
        <v>125</v>
      </c>
      <c r="U59" s="4">
        <v>11</v>
      </c>
      <c r="V59" s="4">
        <v>0</v>
      </c>
      <c r="W59" s="4">
        <v>0</v>
      </c>
    </row>
    <row r="60" spans="1:23" ht="11.25" customHeight="1" x14ac:dyDescent="0.25">
      <c r="A60" s="4" t="s">
        <v>21</v>
      </c>
      <c r="B60" s="4" t="s">
        <v>35</v>
      </c>
      <c r="C60" s="4" t="s">
        <v>36</v>
      </c>
      <c r="D60" s="4" t="s">
        <v>39</v>
      </c>
      <c r="E60" s="4" t="s">
        <v>25</v>
      </c>
      <c r="F60" s="4" t="s">
        <v>25</v>
      </c>
      <c r="G60" s="4" t="s">
        <v>25</v>
      </c>
      <c r="H60" s="4" t="s">
        <v>37</v>
      </c>
      <c r="I60" s="5">
        <v>44378</v>
      </c>
      <c r="J60" s="6">
        <v>0</v>
      </c>
      <c r="K60" s="6">
        <v>0</v>
      </c>
      <c r="L60" s="6">
        <v>6.1849999999999996</v>
      </c>
      <c r="M60" s="6">
        <v>6.1849999999999996</v>
      </c>
      <c r="N60" s="6">
        <v>6.1849999999999996</v>
      </c>
      <c r="O60" s="6">
        <v>6.1849999999999996</v>
      </c>
      <c r="P60" s="6">
        <v>0</v>
      </c>
      <c r="Q60" s="4" t="s">
        <v>26</v>
      </c>
      <c r="R60" s="4">
        <v>0</v>
      </c>
      <c r="S60" s="4" t="s">
        <v>126</v>
      </c>
      <c r="T60" s="4" t="s">
        <v>256</v>
      </c>
      <c r="U60" s="4">
        <v>0</v>
      </c>
      <c r="V60" s="4">
        <v>7</v>
      </c>
      <c r="W60" s="4">
        <v>41</v>
      </c>
    </row>
    <row r="61" spans="1:23" ht="11.25" customHeight="1" x14ac:dyDescent="0.25">
      <c r="A61" s="4" t="s">
        <v>28</v>
      </c>
      <c r="B61" s="4" t="s">
        <v>35</v>
      </c>
      <c r="C61" s="4" t="s">
        <v>36</v>
      </c>
      <c r="D61" s="4" t="s">
        <v>39</v>
      </c>
      <c r="E61" s="4" t="s">
        <v>25</v>
      </c>
      <c r="F61" s="4" t="s">
        <v>25</v>
      </c>
      <c r="G61" s="4" t="s">
        <v>25</v>
      </c>
      <c r="H61" s="4" t="s">
        <v>37</v>
      </c>
      <c r="I61" s="5">
        <v>44378</v>
      </c>
      <c r="J61" s="6">
        <v>0</v>
      </c>
      <c r="K61" s="6">
        <v>0</v>
      </c>
      <c r="L61" s="6">
        <v>1.23</v>
      </c>
      <c r="M61" s="6">
        <v>1.23</v>
      </c>
      <c r="N61" s="6">
        <v>1.23</v>
      </c>
      <c r="O61" s="6">
        <v>1.23</v>
      </c>
      <c r="P61" s="6">
        <v>0</v>
      </c>
      <c r="Q61" s="4" t="s">
        <v>26</v>
      </c>
      <c r="R61" s="4">
        <v>0</v>
      </c>
      <c r="S61" s="4" t="s">
        <v>126</v>
      </c>
      <c r="T61" s="4" t="s">
        <v>256</v>
      </c>
      <c r="U61" s="4">
        <v>0</v>
      </c>
      <c r="V61" s="4">
        <v>7</v>
      </c>
      <c r="W61" s="4">
        <v>41</v>
      </c>
    </row>
    <row r="62" spans="1:23" ht="11.25" customHeight="1" x14ac:dyDescent="0.25">
      <c r="A62" s="4" t="s">
        <v>21</v>
      </c>
      <c r="B62" s="4" t="s">
        <v>35</v>
      </c>
      <c r="C62" s="4" t="s">
        <v>36</v>
      </c>
      <c r="D62" s="4" t="s">
        <v>39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44409</v>
      </c>
      <c r="J62" s="6">
        <v>0</v>
      </c>
      <c r="K62" s="6">
        <v>0</v>
      </c>
      <c r="L62" s="6">
        <v>8.1029999999999998</v>
      </c>
      <c r="M62" s="6">
        <v>8.1029999999999998</v>
      </c>
      <c r="N62" s="6">
        <v>8.1029999999999998</v>
      </c>
      <c r="O62" s="6">
        <v>8.1029999999999998</v>
      </c>
      <c r="P62" s="6">
        <v>0</v>
      </c>
      <c r="Q62" s="4" t="s">
        <v>26</v>
      </c>
      <c r="R62" s="4">
        <v>0</v>
      </c>
      <c r="S62" s="4" t="s">
        <v>127</v>
      </c>
      <c r="T62" s="4" t="s">
        <v>257</v>
      </c>
      <c r="U62" s="4">
        <v>0</v>
      </c>
      <c r="V62" s="4">
        <v>7</v>
      </c>
      <c r="W62" s="4">
        <v>41</v>
      </c>
    </row>
    <row r="63" spans="1:23" ht="11.25" customHeight="1" x14ac:dyDescent="0.25">
      <c r="A63" s="4" t="s">
        <v>21</v>
      </c>
      <c r="B63" s="4" t="s">
        <v>35</v>
      </c>
      <c r="C63" s="4" t="s">
        <v>36</v>
      </c>
      <c r="D63" s="4" t="s">
        <v>39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44440</v>
      </c>
      <c r="J63" s="6">
        <v>0</v>
      </c>
      <c r="K63" s="6">
        <v>0</v>
      </c>
      <c r="L63" s="6">
        <v>7.7350000000000003</v>
      </c>
      <c r="M63" s="6">
        <v>7.7350000000000003</v>
      </c>
      <c r="N63" s="6">
        <v>7.7350000000000003</v>
      </c>
      <c r="O63" s="6">
        <v>7.7350000000000003</v>
      </c>
      <c r="P63" s="6">
        <v>0</v>
      </c>
      <c r="Q63" s="4" t="s">
        <v>26</v>
      </c>
      <c r="R63" s="4">
        <v>0</v>
      </c>
      <c r="S63" s="4" t="s">
        <v>128</v>
      </c>
      <c r="T63" s="4" t="s">
        <v>258</v>
      </c>
      <c r="U63" s="4">
        <v>0</v>
      </c>
      <c r="V63" s="4">
        <v>7</v>
      </c>
      <c r="W63" s="4">
        <v>41</v>
      </c>
    </row>
    <row r="64" spans="1:23" ht="11.25" customHeight="1" x14ac:dyDescent="0.25">
      <c r="A64" s="4" t="s">
        <v>21</v>
      </c>
      <c r="B64" s="4" t="s">
        <v>35</v>
      </c>
      <c r="C64" s="4" t="s">
        <v>36</v>
      </c>
      <c r="D64" s="4" t="s">
        <v>39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44470</v>
      </c>
      <c r="J64" s="6">
        <v>0</v>
      </c>
      <c r="K64" s="6">
        <v>0</v>
      </c>
      <c r="L64" s="6">
        <v>8.2110000000000003</v>
      </c>
      <c r="M64" s="6">
        <v>8.2110000000000003</v>
      </c>
      <c r="N64" s="6">
        <v>8.2110000000000003</v>
      </c>
      <c r="O64" s="6">
        <v>8.2110000000000003</v>
      </c>
      <c r="P64" s="6">
        <v>0</v>
      </c>
      <c r="Q64" s="4" t="s">
        <v>26</v>
      </c>
      <c r="R64" s="4">
        <v>0</v>
      </c>
      <c r="S64" s="4" t="s">
        <v>129</v>
      </c>
      <c r="T64" s="4" t="s">
        <v>259</v>
      </c>
      <c r="U64" s="4">
        <v>0</v>
      </c>
      <c r="V64" s="4">
        <v>7</v>
      </c>
      <c r="W64" s="4">
        <v>41</v>
      </c>
    </row>
    <row r="65" spans="1:23" ht="11.25" customHeight="1" x14ac:dyDescent="0.25">
      <c r="A65" s="4" t="s">
        <v>21</v>
      </c>
      <c r="B65" s="4" t="s">
        <v>35</v>
      </c>
      <c r="C65" s="4" t="s">
        <v>36</v>
      </c>
      <c r="D65" s="4" t="s">
        <v>39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44501</v>
      </c>
      <c r="J65" s="6">
        <v>0</v>
      </c>
      <c r="K65" s="6">
        <v>0</v>
      </c>
      <c r="L65" s="6">
        <v>20.187999999999999</v>
      </c>
      <c r="M65" s="6">
        <v>20.187999999999999</v>
      </c>
      <c r="N65" s="6">
        <v>20.187999999999999</v>
      </c>
      <c r="O65" s="6">
        <v>20.187999999999999</v>
      </c>
      <c r="P65" s="6">
        <v>0</v>
      </c>
      <c r="Q65" s="4" t="s">
        <v>26</v>
      </c>
      <c r="R65" s="4">
        <v>0</v>
      </c>
      <c r="S65" s="4" t="s">
        <v>130</v>
      </c>
      <c r="T65" s="4" t="s">
        <v>260</v>
      </c>
      <c r="U65" s="4">
        <v>0</v>
      </c>
      <c r="V65" s="4">
        <v>7</v>
      </c>
      <c r="W65" s="4">
        <v>41</v>
      </c>
    </row>
    <row r="66" spans="1:23" ht="11.25" customHeight="1" x14ac:dyDescent="0.25">
      <c r="A66" s="4" t="s">
        <v>28</v>
      </c>
      <c r="B66" s="4" t="s">
        <v>35</v>
      </c>
      <c r="C66" s="4" t="s">
        <v>36</v>
      </c>
      <c r="D66" s="4" t="s">
        <v>39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44501</v>
      </c>
      <c r="J66" s="6">
        <v>0</v>
      </c>
      <c r="K66" s="6">
        <v>0</v>
      </c>
      <c r="L66" s="6">
        <v>1.8859999999999999</v>
      </c>
      <c r="M66" s="6">
        <v>1.8859999999999999</v>
      </c>
      <c r="N66" s="6">
        <v>1.8859999999999999</v>
      </c>
      <c r="O66" s="6">
        <v>1.8859999999999999</v>
      </c>
      <c r="P66" s="6">
        <v>0</v>
      </c>
      <c r="Q66" s="4" t="s">
        <v>26</v>
      </c>
      <c r="R66" s="4">
        <v>0</v>
      </c>
      <c r="S66" s="4" t="s">
        <v>130</v>
      </c>
      <c r="T66" s="4" t="s">
        <v>260</v>
      </c>
      <c r="U66" s="4">
        <v>0</v>
      </c>
      <c r="V66" s="4">
        <v>7</v>
      </c>
      <c r="W66" s="4">
        <v>41</v>
      </c>
    </row>
    <row r="67" spans="1:23" ht="11.25" customHeight="1" x14ac:dyDescent="0.25">
      <c r="A67" s="4" t="s">
        <v>21</v>
      </c>
      <c r="B67" s="4" t="s">
        <v>35</v>
      </c>
      <c r="C67" s="4" t="s">
        <v>36</v>
      </c>
      <c r="D67" s="4" t="s">
        <v>39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44531</v>
      </c>
      <c r="J67" s="6">
        <v>0</v>
      </c>
      <c r="K67" s="6">
        <v>0</v>
      </c>
      <c r="L67" s="6">
        <v>16.204000000000001</v>
      </c>
      <c r="M67" s="6">
        <v>16.204000000000001</v>
      </c>
      <c r="N67" s="6">
        <v>16.204000000000001</v>
      </c>
      <c r="O67" s="6">
        <v>16.204000000000001</v>
      </c>
      <c r="P67" s="6">
        <v>0</v>
      </c>
      <c r="Q67" s="4" t="s">
        <v>26</v>
      </c>
      <c r="R67" s="4">
        <v>0</v>
      </c>
      <c r="S67" s="4" t="s">
        <v>131</v>
      </c>
      <c r="T67" s="4" t="s">
        <v>261</v>
      </c>
      <c r="U67" s="4">
        <v>0</v>
      </c>
      <c r="V67" s="4">
        <v>7</v>
      </c>
      <c r="W67" s="4">
        <v>41</v>
      </c>
    </row>
    <row r="68" spans="1:23" ht="11.25" customHeight="1" x14ac:dyDescent="0.25">
      <c r="A68" s="4" t="s">
        <v>21</v>
      </c>
      <c r="B68" s="4" t="s">
        <v>35</v>
      </c>
      <c r="C68" s="4" t="s">
        <v>36</v>
      </c>
      <c r="D68" s="4" t="s">
        <v>39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44562</v>
      </c>
      <c r="J68" s="6">
        <v>0</v>
      </c>
      <c r="K68" s="6">
        <v>0</v>
      </c>
      <c r="L68" s="6">
        <v>12.834</v>
      </c>
      <c r="M68" s="6">
        <v>12.834</v>
      </c>
      <c r="N68" s="6">
        <v>12.834</v>
      </c>
      <c r="O68" s="6">
        <v>12.834</v>
      </c>
      <c r="P68" s="6">
        <v>0</v>
      </c>
      <c r="Q68" s="4" t="s">
        <v>26</v>
      </c>
      <c r="R68" s="4">
        <v>0</v>
      </c>
      <c r="S68" s="4" t="s">
        <v>132</v>
      </c>
      <c r="T68" s="4" t="s">
        <v>262</v>
      </c>
      <c r="U68" s="4">
        <v>0</v>
      </c>
      <c r="V68" s="4">
        <v>7</v>
      </c>
      <c r="W68" s="4">
        <v>41</v>
      </c>
    </row>
    <row r="69" spans="1:23" ht="11.25" customHeight="1" x14ac:dyDescent="0.25">
      <c r="A69" s="4" t="s">
        <v>28</v>
      </c>
      <c r="B69" s="4" t="s">
        <v>35</v>
      </c>
      <c r="C69" s="4" t="s">
        <v>36</v>
      </c>
      <c r="D69" s="4" t="s">
        <v>39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44562</v>
      </c>
      <c r="J69" s="6">
        <v>0</v>
      </c>
      <c r="K69" s="6">
        <v>0</v>
      </c>
      <c r="L69" s="6">
        <v>1.218</v>
      </c>
      <c r="M69" s="6">
        <v>1.218</v>
      </c>
      <c r="N69" s="6">
        <v>1.218</v>
      </c>
      <c r="O69" s="6">
        <v>1.218</v>
      </c>
      <c r="P69" s="6">
        <v>0</v>
      </c>
      <c r="Q69" s="4" t="s">
        <v>26</v>
      </c>
      <c r="R69" s="4">
        <v>0</v>
      </c>
      <c r="S69" s="4" t="s">
        <v>132</v>
      </c>
      <c r="T69" s="4" t="s">
        <v>262</v>
      </c>
      <c r="U69" s="4">
        <v>0</v>
      </c>
      <c r="V69" s="4">
        <v>7</v>
      </c>
      <c r="W69" s="4">
        <v>41</v>
      </c>
    </row>
    <row r="70" spans="1:23" ht="11.25" customHeight="1" x14ac:dyDescent="0.25">
      <c r="A70" s="4" t="s">
        <v>21</v>
      </c>
      <c r="B70" s="4" t="s">
        <v>35</v>
      </c>
      <c r="C70" s="4" t="s">
        <v>36</v>
      </c>
      <c r="D70" s="4" t="s">
        <v>39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44593</v>
      </c>
      <c r="J70" s="6">
        <v>0</v>
      </c>
      <c r="K70" s="6">
        <v>0</v>
      </c>
      <c r="L70" s="6">
        <v>12.782999999999999</v>
      </c>
      <c r="M70" s="6">
        <v>12.782999999999999</v>
      </c>
      <c r="N70" s="6">
        <v>12.782999999999999</v>
      </c>
      <c r="O70" s="6">
        <v>12.782999999999999</v>
      </c>
      <c r="P70" s="6">
        <v>0</v>
      </c>
      <c r="Q70" s="4" t="s">
        <v>26</v>
      </c>
      <c r="R70" s="4">
        <v>0</v>
      </c>
      <c r="S70" s="4" t="s">
        <v>133</v>
      </c>
      <c r="T70" s="4" t="s">
        <v>241</v>
      </c>
      <c r="U70" s="4">
        <v>0</v>
      </c>
      <c r="V70" s="4">
        <v>7</v>
      </c>
      <c r="W70" s="4">
        <v>41</v>
      </c>
    </row>
    <row r="71" spans="1:23" ht="11.25" customHeight="1" x14ac:dyDescent="0.25">
      <c r="A71" s="4" t="s">
        <v>28</v>
      </c>
      <c r="B71" s="4" t="s">
        <v>35</v>
      </c>
      <c r="C71" s="4" t="s">
        <v>36</v>
      </c>
      <c r="D71" s="4" t="s">
        <v>39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44593</v>
      </c>
      <c r="J71" s="6">
        <v>0</v>
      </c>
      <c r="K71" s="6">
        <v>0</v>
      </c>
      <c r="L71" s="6">
        <v>1.1479999999999999</v>
      </c>
      <c r="M71" s="6">
        <v>1.1479999999999999</v>
      </c>
      <c r="N71" s="6">
        <v>1.1479999999999999</v>
      </c>
      <c r="O71" s="6">
        <v>1.1479999999999999</v>
      </c>
      <c r="P71" s="6">
        <v>0</v>
      </c>
      <c r="Q71" s="4" t="s">
        <v>26</v>
      </c>
      <c r="R71" s="4">
        <v>0</v>
      </c>
      <c r="S71" s="4" t="s">
        <v>133</v>
      </c>
      <c r="T71" s="4" t="s">
        <v>241</v>
      </c>
      <c r="U71" s="4">
        <v>0</v>
      </c>
      <c r="V71" s="4">
        <v>7</v>
      </c>
      <c r="W71" s="4">
        <v>41</v>
      </c>
    </row>
    <row r="72" spans="1:23" ht="11.25" customHeight="1" x14ac:dyDescent="0.25">
      <c r="A72" s="4" t="s">
        <v>21</v>
      </c>
      <c r="B72" s="4" t="s">
        <v>35</v>
      </c>
      <c r="C72" s="4" t="s">
        <v>36</v>
      </c>
      <c r="D72" s="4" t="s">
        <v>39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44621</v>
      </c>
      <c r="J72" s="6">
        <v>0</v>
      </c>
      <c r="K72" s="6">
        <v>0</v>
      </c>
      <c r="L72" s="6">
        <v>9.1430000000000007</v>
      </c>
      <c r="M72" s="6">
        <v>9.1430000000000007</v>
      </c>
      <c r="N72" s="6">
        <v>9.1430000000000007</v>
      </c>
      <c r="O72" s="6">
        <v>9.1430000000000007</v>
      </c>
      <c r="P72" s="6">
        <v>0</v>
      </c>
      <c r="Q72" s="4" t="s">
        <v>26</v>
      </c>
      <c r="R72" s="4">
        <v>0</v>
      </c>
      <c r="S72" s="4" t="s">
        <v>134</v>
      </c>
      <c r="T72" s="4" t="s">
        <v>242</v>
      </c>
      <c r="U72" s="4">
        <v>0</v>
      </c>
      <c r="V72" s="4">
        <v>7</v>
      </c>
      <c r="W72" s="4">
        <v>41</v>
      </c>
    </row>
    <row r="73" spans="1:23" ht="11.25" customHeight="1" x14ac:dyDescent="0.25">
      <c r="A73" s="4" t="s">
        <v>28</v>
      </c>
      <c r="B73" s="4" t="s">
        <v>35</v>
      </c>
      <c r="C73" s="4" t="s">
        <v>36</v>
      </c>
      <c r="D73" s="4" t="s">
        <v>39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44621</v>
      </c>
      <c r="J73" s="6">
        <v>0</v>
      </c>
      <c r="K73" s="6">
        <v>0</v>
      </c>
      <c r="L73" s="6">
        <v>0.65600000000000003</v>
      </c>
      <c r="M73" s="6">
        <v>0.65600000000000003</v>
      </c>
      <c r="N73" s="6">
        <v>0.65600000000000003</v>
      </c>
      <c r="O73" s="6">
        <v>0.65600000000000003</v>
      </c>
      <c r="P73" s="6">
        <v>0</v>
      </c>
      <c r="Q73" s="4" t="s">
        <v>26</v>
      </c>
      <c r="R73" s="4">
        <v>0</v>
      </c>
      <c r="S73" s="4" t="s">
        <v>134</v>
      </c>
      <c r="T73" s="4" t="s">
        <v>242</v>
      </c>
      <c r="U73" s="4">
        <v>0</v>
      </c>
      <c r="V73" s="4">
        <v>7</v>
      </c>
      <c r="W73" s="4">
        <v>41</v>
      </c>
    </row>
    <row r="74" spans="1:23" ht="11.25" customHeight="1" x14ac:dyDescent="0.25">
      <c r="A74" s="4" t="s">
        <v>21</v>
      </c>
      <c r="B74" s="4" t="s">
        <v>35</v>
      </c>
      <c r="C74" s="4" t="s">
        <v>36</v>
      </c>
      <c r="D74" s="4" t="s">
        <v>39</v>
      </c>
      <c r="E74" s="4" t="s">
        <v>25</v>
      </c>
      <c r="F74" s="4" t="s">
        <v>25</v>
      </c>
      <c r="G74" s="4" t="s">
        <v>25</v>
      </c>
      <c r="H74" s="4" t="s">
        <v>37</v>
      </c>
      <c r="I74" s="5">
        <v>44652</v>
      </c>
      <c r="J74" s="6">
        <v>0</v>
      </c>
      <c r="K74" s="6">
        <v>0</v>
      </c>
      <c r="L74" s="6">
        <v>32.179000000000002</v>
      </c>
      <c r="M74" s="6">
        <v>32.179000000000002</v>
      </c>
      <c r="N74" s="6">
        <v>32.179000000000002</v>
      </c>
      <c r="O74" s="6">
        <v>32.179000000000002</v>
      </c>
      <c r="P74" s="6">
        <v>0</v>
      </c>
      <c r="Q74" s="4" t="s">
        <v>26</v>
      </c>
      <c r="R74" s="4">
        <v>0</v>
      </c>
      <c r="S74" s="4" t="s">
        <v>135</v>
      </c>
      <c r="T74" s="4" t="s">
        <v>243</v>
      </c>
      <c r="U74" s="4">
        <v>0</v>
      </c>
      <c r="V74" s="4">
        <v>7</v>
      </c>
      <c r="W74" s="4">
        <v>41</v>
      </c>
    </row>
    <row r="75" spans="1:23" ht="11.25" customHeight="1" x14ac:dyDescent="0.25">
      <c r="A75" s="4" t="s">
        <v>28</v>
      </c>
      <c r="B75" s="4" t="s">
        <v>35</v>
      </c>
      <c r="C75" s="4" t="s">
        <v>36</v>
      </c>
      <c r="D75" s="4" t="s">
        <v>39</v>
      </c>
      <c r="E75" s="4" t="s">
        <v>25</v>
      </c>
      <c r="F75" s="4" t="s">
        <v>25</v>
      </c>
      <c r="G75" s="4" t="s">
        <v>25</v>
      </c>
      <c r="H75" s="4" t="s">
        <v>37</v>
      </c>
      <c r="I75" s="5">
        <v>44652</v>
      </c>
      <c r="J75" s="6">
        <v>0</v>
      </c>
      <c r="K75" s="6">
        <v>0</v>
      </c>
      <c r="L75" s="6">
        <v>4.4279999999999999</v>
      </c>
      <c r="M75" s="6">
        <v>4.4279999999999999</v>
      </c>
      <c r="N75" s="6">
        <v>4.4279999999999999</v>
      </c>
      <c r="O75" s="6">
        <v>4.4279999999999999</v>
      </c>
      <c r="P75" s="6">
        <v>0</v>
      </c>
      <c r="Q75" s="4" t="s">
        <v>26</v>
      </c>
      <c r="R75" s="4">
        <v>0</v>
      </c>
      <c r="S75" s="4" t="s">
        <v>135</v>
      </c>
      <c r="T75" s="4" t="s">
        <v>243</v>
      </c>
      <c r="U75" s="4">
        <v>0</v>
      </c>
      <c r="V75" s="4">
        <v>7</v>
      </c>
      <c r="W75" s="4">
        <v>41</v>
      </c>
    </row>
    <row r="76" spans="1:23" ht="11.25" customHeight="1" x14ac:dyDescent="0.25">
      <c r="A76" s="4" t="s">
        <v>21</v>
      </c>
      <c r="B76" s="4" t="s">
        <v>35</v>
      </c>
      <c r="C76" s="4" t="s">
        <v>36</v>
      </c>
      <c r="D76" s="4" t="s">
        <v>39</v>
      </c>
      <c r="E76" s="4" t="s">
        <v>25</v>
      </c>
      <c r="F76" s="4" t="s">
        <v>25</v>
      </c>
      <c r="G76" s="4" t="s">
        <v>25</v>
      </c>
      <c r="H76" s="4" t="s">
        <v>37</v>
      </c>
      <c r="I76" s="5">
        <v>44682</v>
      </c>
      <c r="J76" s="6">
        <v>0</v>
      </c>
      <c r="K76" s="6">
        <v>0</v>
      </c>
      <c r="L76" s="6">
        <v>37.75</v>
      </c>
      <c r="M76" s="6">
        <v>37.75</v>
      </c>
      <c r="N76" s="6">
        <v>37.75</v>
      </c>
      <c r="O76" s="6">
        <v>37.75</v>
      </c>
      <c r="P76" s="6">
        <v>0</v>
      </c>
      <c r="Q76" s="4" t="s">
        <v>26</v>
      </c>
      <c r="R76" s="4">
        <v>0</v>
      </c>
      <c r="S76" s="4" t="s">
        <v>136</v>
      </c>
      <c r="T76" s="4" t="s">
        <v>244</v>
      </c>
      <c r="U76" s="4">
        <v>0</v>
      </c>
      <c r="V76" s="4">
        <v>7</v>
      </c>
      <c r="W76" s="4">
        <v>41</v>
      </c>
    </row>
    <row r="77" spans="1:23" ht="11.25" customHeight="1" x14ac:dyDescent="0.25">
      <c r="A77" s="4" t="s">
        <v>28</v>
      </c>
      <c r="B77" s="4" t="s">
        <v>35</v>
      </c>
      <c r="C77" s="4" t="s">
        <v>36</v>
      </c>
      <c r="D77" s="4" t="s">
        <v>39</v>
      </c>
      <c r="E77" s="4" t="s">
        <v>25</v>
      </c>
      <c r="F77" s="4" t="s">
        <v>25</v>
      </c>
      <c r="G77" s="4" t="s">
        <v>25</v>
      </c>
      <c r="H77" s="4" t="s">
        <v>37</v>
      </c>
      <c r="I77" s="5">
        <v>44682</v>
      </c>
      <c r="J77" s="6">
        <v>0</v>
      </c>
      <c r="K77" s="6">
        <v>0</v>
      </c>
      <c r="L77" s="6">
        <v>6.29</v>
      </c>
      <c r="M77" s="6">
        <v>6.29</v>
      </c>
      <c r="N77" s="6">
        <v>6.29</v>
      </c>
      <c r="O77" s="6">
        <v>6.29</v>
      </c>
      <c r="P77" s="6">
        <v>0</v>
      </c>
      <c r="Q77" s="4" t="s">
        <v>26</v>
      </c>
      <c r="R77" s="4">
        <v>0</v>
      </c>
      <c r="S77" s="4" t="s">
        <v>136</v>
      </c>
      <c r="T77" s="4" t="s">
        <v>244</v>
      </c>
      <c r="U77" s="4">
        <v>0</v>
      </c>
      <c r="V77" s="4">
        <v>7</v>
      </c>
      <c r="W77" s="4">
        <v>41</v>
      </c>
    </row>
    <row r="78" spans="1:23" ht="11.25" customHeight="1" x14ac:dyDescent="0.25">
      <c r="A78" s="4" t="s">
        <v>21</v>
      </c>
      <c r="B78" s="4" t="s">
        <v>35</v>
      </c>
      <c r="C78" s="4" t="s">
        <v>36</v>
      </c>
      <c r="D78" s="4" t="s">
        <v>39</v>
      </c>
      <c r="E78" s="4" t="s">
        <v>25</v>
      </c>
      <c r="F78" s="4" t="s">
        <v>25</v>
      </c>
      <c r="G78" s="4" t="s">
        <v>25</v>
      </c>
      <c r="H78" s="4" t="s">
        <v>37</v>
      </c>
      <c r="I78" s="5">
        <v>44713</v>
      </c>
      <c r="J78" s="6">
        <v>0</v>
      </c>
      <c r="K78" s="6">
        <v>0</v>
      </c>
      <c r="L78" s="6">
        <v>19.905000000000001</v>
      </c>
      <c r="M78" s="6">
        <v>19.905000000000001</v>
      </c>
      <c r="N78" s="6">
        <v>19.905000000000001</v>
      </c>
      <c r="O78" s="6">
        <v>19.905000000000001</v>
      </c>
      <c r="P78" s="6">
        <v>0</v>
      </c>
      <c r="Q78" s="4" t="s">
        <v>26</v>
      </c>
      <c r="R78" s="4">
        <v>0</v>
      </c>
      <c r="S78" s="4" t="s">
        <v>137</v>
      </c>
      <c r="T78" s="4" t="s">
        <v>236</v>
      </c>
      <c r="U78" s="4">
        <v>0</v>
      </c>
      <c r="V78" s="4">
        <v>7</v>
      </c>
      <c r="W78" s="4">
        <v>41</v>
      </c>
    </row>
    <row r="79" spans="1:23" ht="11.25" customHeight="1" x14ac:dyDescent="0.25">
      <c r="A79" s="4" t="s">
        <v>28</v>
      </c>
      <c r="B79" s="4" t="s">
        <v>35</v>
      </c>
      <c r="C79" s="4" t="s">
        <v>36</v>
      </c>
      <c r="D79" s="4" t="s">
        <v>39</v>
      </c>
      <c r="E79" s="4" t="s">
        <v>25</v>
      </c>
      <c r="F79" s="4" t="s">
        <v>25</v>
      </c>
      <c r="G79" s="4" t="s">
        <v>25</v>
      </c>
      <c r="H79" s="4" t="s">
        <v>37</v>
      </c>
      <c r="I79" s="5">
        <v>44713</v>
      </c>
      <c r="J79" s="6">
        <v>0</v>
      </c>
      <c r="K79" s="6">
        <v>0</v>
      </c>
      <c r="L79" s="6">
        <v>3.4780000000000002</v>
      </c>
      <c r="M79" s="6">
        <v>3.4780000000000002</v>
      </c>
      <c r="N79" s="6">
        <v>3.4780000000000002</v>
      </c>
      <c r="O79" s="6">
        <v>3.4780000000000002</v>
      </c>
      <c r="P79" s="6">
        <v>0</v>
      </c>
      <c r="Q79" s="4" t="s">
        <v>26</v>
      </c>
      <c r="R79" s="4">
        <v>0</v>
      </c>
      <c r="S79" s="4" t="s">
        <v>137</v>
      </c>
      <c r="T79" s="4" t="s">
        <v>236</v>
      </c>
      <c r="U79" s="4">
        <v>0</v>
      </c>
      <c r="V79" s="4">
        <v>7</v>
      </c>
      <c r="W79" s="4">
        <v>41</v>
      </c>
    </row>
    <row r="80" spans="1:23" ht="11.25" customHeight="1" x14ac:dyDescent="0.25">
      <c r="A80" s="4" t="s">
        <v>21</v>
      </c>
      <c r="B80" s="4" t="s">
        <v>35</v>
      </c>
      <c r="C80" s="4" t="s">
        <v>36</v>
      </c>
      <c r="D80" s="4" t="s">
        <v>34</v>
      </c>
      <c r="E80" s="4" t="s">
        <v>25</v>
      </c>
      <c r="F80" s="4" t="s">
        <v>53</v>
      </c>
      <c r="G80" s="4" t="s">
        <v>25</v>
      </c>
      <c r="H80" s="4" t="s">
        <v>38</v>
      </c>
      <c r="I80" s="5">
        <v>44440</v>
      </c>
      <c r="J80" s="6">
        <v>0</v>
      </c>
      <c r="K80" s="6">
        <v>0</v>
      </c>
      <c r="L80" s="6">
        <v>4.87</v>
      </c>
      <c r="M80" s="6">
        <v>4.87</v>
      </c>
      <c r="N80" s="6">
        <v>0</v>
      </c>
      <c r="O80" s="6">
        <v>0</v>
      </c>
      <c r="P80" s="6">
        <v>0</v>
      </c>
      <c r="Q80" s="4" t="s">
        <v>54</v>
      </c>
      <c r="R80" s="4">
        <v>0</v>
      </c>
      <c r="S80" s="4" t="s">
        <v>104</v>
      </c>
      <c r="U80" s="4">
        <v>0</v>
      </c>
      <c r="V80" s="4">
        <v>15</v>
      </c>
      <c r="W80" s="4">
        <v>0</v>
      </c>
    </row>
    <row r="81" spans="1:23" ht="11.25" customHeight="1" x14ac:dyDescent="0.25">
      <c r="A81" s="4" t="s">
        <v>21</v>
      </c>
      <c r="B81" s="4" t="s">
        <v>35</v>
      </c>
      <c r="C81" s="4" t="s">
        <v>36</v>
      </c>
      <c r="D81" s="4" t="s">
        <v>34</v>
      </c>
      <c r="E81" s="4" t="s">
        <v>25</v>
      </c>
      <c r="F81" s="4" t="s">
        <v>53</v>
      </c>
      <c r="G81" s="4" t="s">
        <v>25</v>
      </c>
      <c r="H81" s="4" t="s">
        <v>38</v>
      </c>
      <c r="I81" s="5">
        <v>44470</v>
      </c>
      <c r="J81" s="6">
        <v>0</v>
      </c>
      <c r="K81" s="6">
        <v>0</v>
      </c>
      <c r="L81" s="6">
        <v>7.6310000000000002</v>
      </c>
      <c r="M81" s="6">
        <v>3.8155000000000001</v>
      </c>
      <c r="N81" s="6">
        <v>0</v>
      </c>
      <c r="O81" s="6">
        <v>0</v>
      </c>
      <c r="P81" s="6">
        <v>0</v>
      </c>
      <c r="Q81" s="4" t="s">
        <v>54</v>
      </c>
      <c r="R81" s="4">
        <v>0</v>
      </c>
      <c r="S81" s="4" t="s">
        <v>105</v>
      </c>
      <c r="U81" s="4">
        <v>0</v>
      </c>
      <c r="V81" s="4">
        <v>15</v>
      </c>
      <c r="W81" s="4">
        <v>0</v>
      </c>
    </row>
    <row r="82" spans="1:23" ht="11.25" customHeight="1" x14ac:dyDescent="0.25">
      <c r="A82" s="4" t="s">
        <v>21</v>
      </c>
      <c r="B82" s="4" t="s">
        <v>35</v>
      </c>
      <c r="C82" s="4" t="s">
        <v>36</v>
      </c>
      <c r="D82" s="4" t="s">
        <v>34</v>
      </c>
      <c r="E82" s="4" t="s">
        <v>25</v>
      </c>
      <c r="F82" s="4" t="s">
        <v>53</v>
      </c>
      <c r="G82" s="4" t="s">
        <v>25</v>
      </c>
      <c r="H82" s="4" t="s">
        <v>38</v>
      </c>
      <c r="I82" s="5">
        <v>44501</v>
      </c>
      <c r="J82" s="6">
        <v>0</v>
      </c>
      <c r="K82" s="6">
        <v>0</v>
      </c>
      <c r="L82" s="6">
        <v>10.301</v>
      </c>
      <c r="M82" s="6">
        <v>10.301</v>
      </c>
      <c r="N82" s="6">
        <v>0</v>
      </c>
      <c r="O82" s="6">
        <v>0</v>
      </c>
      <c r="P82" s="6">
        <v>0</v>
      </c>
      <c r="Q82" s="4" t="s">
        <v>54</v>
      </c>
      <c r="R82" s="4">
        <v>0</v>
      </c>
      <c r="S82" s="4" t="s">
        <v>106</v>
      </c>
      <c r="U82" s="4">
        <v>0</v>
      </c>
      <c r="V82" s="4">
        <v>15</v>
      </c>
      <c r="W82" s="4">
        <v>0</v>
      </c>
    </row>
    <row r="83" spans="1:23" ht="11.25" customHeight="1" x14ac:dyDescent="0.25">
      <c r="A83" s="4" t="s">
        <v>21</v>
      </c>
      <c r="B83" s="4" t="s">
        <v>35</v>
      </c>
      <c r="C83" s="4" t="s">
        <v>36</v>
      </c>
      <c r="D83" s="4" t="s">
        <v>34</v>
      </c>
      <c r="E83" s="4" t="s">
        <v>25</v>
      </c>
      <c r="F83" s="4" t="s">
        <v>53</v>
      </c>
      <c r="G83" s="4" t="s">
        <v>25</v>
      </c>
      <c r="H83" s="4" t="s">
        <v>38</v>
      </c>
      <c r="I83" s="5">
        <v>44531</v>
      </c>
      <c r="J83" s="6">
        <v>0</v>
      </c>
      <c r="K83" s="6">
        <v>0</v>
      </c>
      <c r="L83" s="6">
        <v>19.350999999999999</v>
      </c>
      <c r="M83" s="6">
        <v>19.350999999999999</v>
      </c>
      <c r="N83" s="6">
        <v>0</v>
      </c>
      <c r="O83" s="6">
        <v>0</v>
      </c>
      <c r="P83" s="6">
        <v>0</v>
      </c>
      <c r="Q83" s="4" t="s">
        <v>54</v>
      </c>
      <c r="R83" s="4">
        <v>0</v>
      </c>
      <c r="S83" s="4" t="s">
        <v>107</v>
      </c>
      <c r="U83" s="4">
        <v>0</v>
      </c>
      <c r="V83" s="4">
        <v>15</v>
      </c>
      <c r="W83" s="4">
        <v>0</v>
      </c>
    </row>
    <row r="84" spans="1:23" ht="11.25" customHeight="1" x14ac:dyDescent="0.25">
      <c r="A84" s="4" t="s">
        <v>21</v>
      </c>
      <c r="B84" s="4" t="s">
        <v>35</v>
      </c>
      <c r="C84" s="4" t="s">
        <v>36</v>
      </c>
      <c r="D84" s="4" t="s">
        <v>34</v>
      </c>
      <c r="E84" s="4" t="s">
        <v>25</v>
      </c>
      <c r="F84" s="4" t="s">
        <v>53</v>
      </c>
      <c r="G84" s="4" t="s">
        <v>25</v>
      </c>
      <c r="H84" s="4" t="s">
        <v>38</v>
      </c>
      <c r="I84" s="5">
        <v>44562</v>
      </c>
      <c r="J84" s="6">
        <v>0</v>
      </c>
      <c r="K84" s="6">
        <v>0</v>
      </c>
      <c r="L84" s="6">
        <v>9.2880000000000003</v>
      </c>
      <c r="M84" s="6">
        <v>9.2880000000000003</v>
      </c>
      <c r="N84" s="6">
        <v>0</v>
      </c>
      <c r="O84" s="6">
        <v>0</v>
      </c>
      <c r="P84" s="6">
        <v>0</v>
      </c>
      <c r="Q84" s="4" t="s">
        <v>54</v>
      </c>
      <c r="R84" s="4">
        <v>0</v>
      </c>
      <c r="S84" s="4" t="s">
        <v>108</v>
      </c>
      <c r="U84" s="4">
        <v>0</v>
      </c>
      <c r="V84" s="4">
        <v>15</v>
      </c>
      <c r="W84" s="4">
        <v>0</v>
      </c>
    </row>
    <row r="85" spans="1:23" ht="11.25" customHeight="1" x14ac:dyDescent="0.25">
      <c r="A85" s="4" t="s">
        <v>21</v>
      </c>
      <c r="B85" s="4" t="s">
        <v>35</v>
      </c>
      <c r="C85" s="4" t="s">
        <v>36</v>
      </c>
      <c r="D85" s="4" t="s">
        <v>34</v>
      </c>
      <c r="E85" s="4" t="s">
        <v>25</v>
      </c>
      <c r="F85" s="4" t="s">
        <v>53</v>
      </c>
      <c r="G85" s="4" t="s">
        <v>25</v>
      </c>
      <c r="H85" s="4" t="s">
        <v>38</v>
      </c>
      <c r="I85" s="5">
        <v>44593</v>
      </c>
      <c r="J85" s="6">
        <v>0</v>
      </c>
      <c r="K85" s="6">
        <v>0</v>
      </c>
      <c r="L85" s="6">
        <v>6.9539999999999997</v>
      </c>
      <c r="M85" s="6">
        <v>6.9539999999999997</v>
      </c>
      <c r="N85" s="6">
        <v>0</v>
      </c>
      <c r="O85" s="6">
        <v>0</v>
      </c>
      <c r="P85" s="6">
        <v>0</v>
      </c>
      <c r="Q85" s="4" t="s">
        <v>54</v>
      </c>
      <c r="R85" s="4">
        <v>0</v>
      </c>
      <c r="S85" s="4" t="s">
        <v>109</v>
      </c>
      <c r="U85" s="4">
        <v>0</v>
      </c>
      <c r="V85" s="4">
        <v>15</v>
      </c>
      <c r="W85" s="4">
        <v>0</v>
      </c>
    </row>
    <row r="86" spans="1:23" ht="11.25" customHeight="1" x14ac:dyDescent="0.25">
      <c r="A86" s="4" t="s">
        <v>21</v>
      </c>
      <c r="B86" s="4" t="s">
        <v>35</v>
      </c>
      <c r="C86" s="4" t="s">
        <v>36</v>
      </c>
      <c r="D86" s="4" t="s">
        <v>34</v>
      </c>
      <c r="E86" s="4" t="s">
        <v>25</v>
      </c>
      <c r="F86" s="4" t="s">
        <v>53</v>
      </c>
      <c r="G86" s="4" t="s">
        <v>25</v>
      </c>
      <c r="H86" s="4" t="s">
        <v>38</v>
      </c>
      <c r="I86" s="5">
        <v>44621</v>
      </c>
      <c r="J86" s="6">
        <v>0</v>
      </c>
      <c r="K86" s="6">
        <v>0</v>
      </c>
      <c r="L86" s="6">
        <v>10.055</v>
      </c>
      <c r="M86" s="6">
        <v>10.055</v>
      </c>
      <c r="N86" s="6">
        <v>0</v>
      </c>
      <c r="O86" s="6">
        <v>0</v>
      </c>
      <c r="P86" s="6">
        <v>0</v>
      </c>
      <c r="Q86" s="4" t="s">
        <v>54</v>
      </c>
      <c r="R86" s="4">
        <v>0</v>
      </c>
      <c r="S86" s="4" t="s">
        <v>110</v>
      </c>
      <c r="U86" s="4">
        <v>0</v>
      </c>
      <c r="V86" s="4">
        <v>15</v>
      </c>
      <c r="W86" s="4">
        <v>0</v>
      </c>
    </row>
    <row r="87" spans="1:23" ht="11.25" customHeight="1" x14ac:dyDescent="0.25">
      <c r="A87" s="4" t="s">
        <v>21</v>
      </c>
      <c r="B87" s="4" t="s">
        <v>35</v>
      </c>
      <c r="C87" s="4" t="s">
        <v>36</v>
      </c>
      <c r="D87" s="4" t="s">
        <v>34</v>
      </c>
      <c r="E87" s="4" t="s">
        <v>25</v>
      </c>
      <c r="F87" s="4" t="s">
        <v>53</v>
      </c>
      <c r="G87" s="4" t="s">
        <v>25</v>
      </c>
      <c r="H87" s="4" t="s">
        <v>38</v>
      </c>
      <c r="I87" s="5">
        <v>44652</v>
      </c>
      <c r="J87" s="6">
        <v>0</v>
      </c>
      <c r="K87" s="6">
        <v>0</v>
      </c>
      <c r="L87" s="6">
        <v>38.299999999999997</v>
      </c>
      <c r="M87" s="6">
        <v>38.299999999999997</v>
      </c>
      <c r="N87" s="6">
        <v>0</v>
      </c>
      <c r="O87" s="6">
        <v>0</v>
      </c>
      <c r="P87" s="6">
        <v>0</v>
      </c>
      <c r="Q87" s="4" t="s">
        <v>54</v>
      </c>
      <c r="R87" s="4">
        <v>0</v>
      </c>
      <c r="S87" s="4" t="s">
        <v>111</v>
      </c>
      <c r="U87" s="4">
        <v>0</v>
      </c>
      <c r="V87" s="4">
        <v>15</v>
      </c>
      <c r="W87" s="4">
        <v>0</v>
      </c>
    </row>
    <row r="88" spans="1:23" ht="11.25" customHeight="1" x14ac:dyDescent="0.25">
      <c r="A88" s="4" t="s">
        <v>21</v>
      </c>
      <c r="B88" s="4" t="s">
        <v>35</v>
      </c>
      <c r="C88" s="4" t="s">
        <v>36</v>
      </c>
      <c r="D88" s="4" t="s">
        <v>34</v>
      </c>
      <c r="E88" s="4" t="s">
        <v>25</v>
      </c>
      <c r="F88" s="4" t="s">
        <v>53</v>
      </c>
      <c r="G88" s="4" t="s">
        <v>25</v>
      </c>
      <c r="H88" s="4" t="s">
        <v>38</v>
      </c>
      <c r="I88" s="5">
        <v>44682</v>
      </c>
      <c r="J88" s="6">
        <v>0</v>
      </c>
      <c r="K88" s="6">
        <v>0</v>
      </c>
      <c r="L88" s="6">
        <v>115.378</v>
      </c>
      <c r="M88" s="6">
        <v>115.378</v>
      </c>
      <c r="N88" s="6">
        <v>0</v>
      </c>
      <c r="O88" s="6">
        <v>0</v>
      </c>
      <c r="P88" s="6">
        <v>0</v>
      </c>
      <c r="Q88" s="4" t="s">
        <v>54</v>
      </c>
      <c r="R88" s="4">
        <v>0</v>
      </c>
      <c r="S88" s="4" t="s">
        <v>112</v>
      </c>
      <c r="U88" s="4">
        <v>0</v>
      </c>
      <c r="V88" s="4">
        <v>15</v>
      </c>
      <c r="W88" s="4">
        <v>0</v>
      </c>
    </row>
    <row r="89" spans="1:23" ht="11.25" customHeight="1" x14ac:dyDescent="0.25">
      <c r="A89" s="4" t="s">
        <v>21</v>
      </c>
      <c r="B89" s="4" t="s">
        <v>35</v>
      </c>
      <c r="C89" s="4" t="s">
        <v>36</v>
      </c>
      <c r="D89" s="4" t="s">
        <v>34</v>
      </c>
      <c r="E89" s="4" t="s">
        <v>25</v>
      </c>
      <c r="F89" s="4" t="s">
        <v>53</v>
      </c>
      <c r="G89" s="4" t="s">
        <v>25</v>
      </c>
      <c r="H89" s="4" t="s">
        <v>38</v>
      </c>
      <c r="I89" s="5">
        <v>44713</v>
      </c>
      <c r="J89" s="6">
        <v>0</v>
      </c>
      <c r="K89" s="6">
        <v>0</v>
      </c>
      <c r="L89" s="6">
        <v>43.594999999999999</v>
      </c>
      <c r="M89" s="6">
        <v>43.594999999999999</v>
      </c>
      <c r="N89" s="6">
        <v>0</v>
      </c>
      <c r="O89" s="6">
        <v>0</v>
      </c>
      <c r="P89" s="6">
        <v>0</v>
      </c>
      <c r="Q89" s="4" t="s">
        <v>54</v>
      </c>
      <c r="R89" s="4">
        <v>0</v>
      </c>
      <c r="S89" s="4" t="s">
        <v>113</v>
      </c>
      <c r="U89" s="4">
        <v>0</v>
      </c>
      <c r="V89" s="4">
        <v>15</v>
      </c>
      <c r="W89" s="4">
        <v>0</v>
      </c>
    </row>
    <row r="90" spans="1:23" ht="11.25" customHeight="1" x14ac:dyDescent="0.25">
      <c r="A90" s="4" t="s">
        <v>21</v>
      </c>
      <c r="B90" s="4" t="s">
        <v>35</v>
      </c>
      <c r="C90" s="4" t="s">
        <v>36</v>
      </c>
      <c r="D90" s="4" t="s">
        <v>34</v>
      </c>
      <c r="E90" s="4" t="s">
        <v>25</v>
      </c>
      <c r="F90" s="4" t="s">
        <v>53</v>
      </c>
      <c r="G90" s="4" t="s">
        <v>25</v>
      </c>
      <c r="H90" s="4" t="s">
        <v>25</v>
      </c>
      <c r="I90" s="5">
        <v>44378</v>
      </c>
      <c r="J90" s="6">
        <v>1200</v>
      </c>
      <c r="K90" s="6">
        <v>600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4" t="s">
        <v>54</v>
      </c>
      <c r="R90" s="4">
        <v>0</v>
      </c>
      <c r="S90" s="4" t="s">
        <v>114</v>
      </c>
      <c r="U90" s="4">
        <v>11</v>
      </c>
      <c r="V90" s="4">
        <v>0</v>
      </c>
      <c r="W90" s="4">
        <v>0</v>
      </c>
    </row>
    <row r="91" spans="1:23" ht="11.25" customHeight="1" x14ac:dyDescent="0.25">
      <c r="A91" s="4" t="s">
        <v>21</v>
      </c>
      <c r="B91" s="4" t="s">
        <v>35</v>
      </c>
      <c r="C91" s="4" t="s">
        <v>36</v>
      </c>
      <c r="D91" s="4" t="s">
        <v>34</v>
      </c>
      <c r="E91" s="4" t="s">
        <v>25</v>
      </c>
      <c r="F91" s="4" t="s">
        <v>53</v>
      </c>
      <c r="G91" s="4" t="s">
        <v>25</v>
      </c>
      <c r="H91" s="4" t="s">
        <v>25</v>
      </c>
      <c r="I91" s="5">
        <v>44409</v>
      </c>
      <c r="J91" s="6">
        <v>600</v>
      </c>
      <c r="K91" s="6">
        <v>600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4" t="s">
        <v>54</v>
      </c>
      <c r="R91" s="4">
        <v>0</v>
      </c>
      <c r="S91" s="4" t="s">
        <v>115</v>
      </c>
      <c r="U91" s="4">
        <v>11</v>
      </c>
      <c r="V91" s="4">
        <v>0</v>
      </c>
      <c r="W91" s="4">
        <v>0</v>
      </c>
    </row>
    <row r="92" spans="1:23" ht="11.25" customHeight="1" x14ac:dyDescent="0.25">
      <c r="A92" s="4" t="s">
        <v>21</v>
      </c>
      <c r="B92" s="4" t="s">
        <v>35</v>
      </c>
      <c r="C92" s="4" t="s">
        <v>36</v>
      </c>
      <c r="D92" s="4" t="s">
        <v>34</v>
      </c>
      <c r="E92" s="4" t="s">
        <v>25</v>
      </c>
      <c r="F92" s="4" t="s">
        <v>53</v>
      </c>
      <c r="G92" s="4" t="s">
        <v>25</v>
      </c>
      <c r="H92" s="4" t="s">
        <v>25</v>
      </c>
      <c r="I92" s="5">
        <v>44440</v>
      </c>
      <c r="J92" s="6">
        <v>600</v>
      </c>
      <c r="K92" s="6">
        <v>600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4" t="s">
        <v>54</v>
      </c>
      <c r="R92" s="4">
        <v>0</v>
      </c>
      <c r="S92" s="4" t="s">
        <v>116</v>
      </c>
      <c r="U92" s="4">
        <v>11</v>
      </c>
      <c r="V92" s="4">
        <v>0</v>
      </c>
      <c r="W92" s="4">
        <v>0</v>
      </c>
    </row>
    <row r="93" spans="1:23" ht="11.25" customHeight="1" x14ac:dyDescent="0.25">
      <c r="A93" s="4" t="s">
        <v>21</v>
      </c>
      <c r="B93" s="4" t="s">
        <v>35</v>
      </c>
      <c r="C93" s="4" t="s">
        <v>36</v>
      </c>
      <c r="D93" s="4" t="s">
        <v>34</v>
      </c>
      <c r="E93" s="4" t="s">
        <v>25</v>
      </c>
      <c r="F93" s="4" t="s">
        <v>53</v>
      </c>
      <c r="G93" s="4" t="s">
        <v>25</v>
      </c>
      <c r="H93" s="4" t="s">
        <v>25</v>
      </c>
      <c r="I93" s="5">
        <v>44470</v>
      </c>
      <c r="J93" s="6">
        <v>600</v>
      </c>
      <c r="K93" s="6">
        <v>317.64</v>
      </c>
      <c r="L93" s="6">
        <v>0</v>
      </c>
      <c r="M93" s="6">
        <v>0</v>
      </c>
      <c r="N93" s="6">
        <v>0</v>
      </c>
      <c r="O93" s="6">
        <v>0</v>
      </c>
      <c r="P93" s="6">
        <v>1</v>
      </c>
      <c r="Q93" s="4" t="s">
        <v>54</v>
      </c>
      <c r="R93" s="4">
        <v>0</v>
      </c>
      <c r="S93" s="4" t="s">
        <v>117</v>
      </c>
      <c r="U93" s="4">
        <v>11</v>
      </c>
      <c r="V93" s="4">
        <v>0</v>
      </c>
      <c r="W93" s="4">
        <v>0</v>
      </c>
    </row>
    <row r="94" spans="1:23" ht="11.25" customHeight="1" x14ac:dyDescent="0.25">
      <c r="A94" s="4" t="s">
        <v>21</v>
      </c>
      <c r="B94" s="4" t="s">
        <v>35</v>
      </c>
      <c r="C94" s="4" t="s">
        <v>36</v>
      </c>
      <c r="D94" s="4" t="s">
        <v>34</v>
      </c>
      <c r="E94" s="4" t="s">
        <v>25</v>
      </c>
      <c r="F94" s="4" t="s">
        <v>53</v>
      </c>
      <c r="G94" s="4" t="s">
        <v>25</v>
      </c>
      <c r="H94" s="4" t="s">
        <v>25</v>
      </c>
      <c r="I94" s="5">
        <v>44501</v>
      </c>
      <c r="J94" s="6">
        <v>600</v>
      </c>
      <c r="K94" s="6">
        <v>209.04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4" t="s">
        <v>54</v>
      </c>
      <c r="R94" s="4">
        <v>0</v>
      </c>
      <c r="S94" s="4" t="s">
        <v>118</v>
      </c>
      <c r="U94" s="4">
        <v>11</v>
      </c>
      <c r="V94" s="4">
        <v>0</v>
      </c>
      <c r="W94" s="4">
        <v>0</v>
      </c>
    </row>
    <row r="95" spans="1:23" ht="11.25" customHeight="1" x14ac:dyDescent="0.25">
      <c r="A95" s="4" t="s">
        <v>21</v>
      </c>
      <c r="B95" s="4" t="s">
        <v>35</v>
      </c>
      <c r="C95" s="4" t="s">
        <v>36</v>
      </c>
      <c r="D95" s="4" t="s">
        <v>34</v>
      </c>
      <c r="E95" s="4" t="s">
        <v>25</v>
      </c>
      <c r="F95" s="4" t="s">
        <v>53</v>
      </c>
      <c r="G95" s="4" t="s">
        <v>25</v>
      </c>
      <c r="H95" s="4" t="s">
        <v>25</v>
      </c>
      <c r="I95" s="5">
        <v>44531</v>
      </c>
      <c r="J95" s="6">
        <v>600</v>
      </c>
      <c r="K95" s="6">
        <v>322.5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4" t="s">
        <v>54</v>
      </c>
      <c r="R95" s="4">
        <v>0</v>
      </c>
      <c r="S95" s="4" t="s">
        <v>119</v>
      </c>
      <c r="U95" s="4">
        <v>11</v>
      </c>
      <c r="V95" s="4">
        <v>0</v>
      </c>
      <c r="W95" s="4">
        <v>0</v>
      </c>
    </row>
    <row r="96" spans="1:23" ht="11.25" customHeight="1" x14ac:dyDescent="0.25">
      <c r="A96" s="4" t="s">
        <v>21</v>
      </c>
      <c r="B96" s="4" t="s">
        <v>35</v>
      </c>
      <c r="C96" s="4" t="s">
        <v>36</v>
      </c>
      <c r="D96" s="4" t="s">
        <v>34</v>
      </c>
      <c r="E96" s="4" t="s">
        <v>25</v>
      </c>
      <c r="F96" s="4" t="s">
        <v>53</v>
      </c>
      <c r="G96" s="4" t="s">
        <v>25</v>
      </c>
      <c r="H96" s="4" t="s">
        <v>25</v>
      </c>
      <c r="I96" s="5">
        <v>44562</v>
      </c>
      <c r="J96" s="6">
        <v>600</v>
      </c>
      <c r="K96" s="6">
        <v>600</v>
      </c>
      <c r="L96" s="6">
        <v>0</v>
      </c>
      <c r="M96" s="6">
        <v>0</v>
      </c>
      <c r="N96" s="6">
        <v>0</v>
      </c>
      <c r="O96" s="6">
        <v>0</v>
      </c>
      <c r="P96" s="6">
        <v>1</v>
      </c>
      <c r="Q96" s="4" t="s">
        <v>54</v>
      </c>
      <c r="R96" s="4">
        <v>0</v>
      </c>
      <c r="S96" s="4" t="s">
        <v>120</v>
      </c>
      <c r="U96" s="4">
        <v>11</v>
      </c>
      <c r="V96" s="4">
        <v>0</v>
      </c>
      <c r="W96" s="4">
        <v>0</v>
      </c>
    </row>
    <row r="97" spans="1:23" ht="11.25" customHeight="1" x14ac:dyDescent="0.25">
      <c r="A97" s="4" t="s">
        <v>21</v>
      </c>
      <c r="B97" s="4" t="s">
        <v>35</v>
      </c>
      <c r="C97" s="4" t="s">
        <v>36</v>
      </c>
      <c r="D97" s="4" t="s">
        <v>34</v>
      </c>
      <c r="E97" s="4" t="s">
        <v>25</v>
      </c>
      <c r="F97" s="4" t="s">
        <v>53</v>
      </c>
      <c r="G97" s="4" t="s">
        <v>25</v>
      </c>
      <c r="H97" s="4" t="s">
        <v>25</v>
      </c>
      <c r="I97" s="5">
        <v>44593</v>
      </c>
      <c r="J97" s="6">
        <v>600</v>
      </c>
      <c r="K97" s="6">
        <v>219.78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4" t="s">
        <v>54</v>
      </c>
      <c r="R97" s="4">
        <v>0</v>
      </c>
      <c r="S97" s="4" t="s">
        <v>121</v>
      </c>
      <c r="U97" s="4">
        <v>11</v>
      </c>
      <c r="V97" s="4">
        <v>0</v>
      </c>
      <c r="W97" s="4">
        <v>0</v>
      </c>
    </row>
    <row r="98" spans="1:23" ht="11.25" customHeight="1" x14ac:dyDescent="0.25">
      <c r="A98" s="4" t="s">
        <v>21</v>
      </c>
      <c r="B98" s="4" t="s">
        <v>35</v>
      </c>
      <c r="C98" s="4" t="s">
        <v>36</v>
      </c>
      <c r="D98" s="4" t="s">
        <v>34</v>
      </c>
      <c r="E98" s="4" t="s">
        <v>25</v>
      </c>
      <c r="F98" s="4" t="s">
        <v>53</v>
      </c>
      <c r="G98" s="4" t="s">
        <v>25</v>
      </c>
      <c r="H98" s="4" t="s">
        <v>25</v>
      </c>
      <c r="I98" s="5">
        <v>44621</v>
      </c>
      <c r="J98" s="6">
        <v>600</v>
      </c>
      <c r="K98" s="6">
        <v>128.69999999999999</v>
      </c>
      <c r="L98" s="6">
        <v>0</v>
      </c>
      <c r="M98" s="6">
        <v>0</v>
      </c>
      <c r="N98" s="6">
        <v>0</v>
      </c>
      <c r="O98" s="6">
        <v>0</v>
      </c>
      <c r="P98" s="6">
        <v>1</v>
      </c>
      <c r="Q98" s="4" t="s">
        <v>54</v>
      </c>
      <c r="R98" s="4">
        <v>0</v>
      </c>
      <c r="S98" s="4" t="s">
        <v>122</v>
      </c>
      <c r="U98" s="4">
        <v>11</v>
      </c>
      <c r="V98" s="4">
        <v>0</v>
      </c>
      <c r="W98" s="4">
        <v>0</v>
      </c>
    </row>
    <row r="99" spans="1:23" ht="11.25" customHeight="1" x14ac:dyDescent="0.25">
      <c r="A99" s="4" t="s">
        <v>21</v>
      </c>
      <c r="B99" s="4" t="s">
        <v>35</v>
      </c>
      <c r="C99" s="4" t="s">
        <v>36</v>
      </c>
      <c r="D99" s="4" t="s">
        <v>34</v>
      </c>
      <c r="E99" s="4" t="s">
        <v>25</v>
      </c>
      <c r="F99" s="4" t="s">
        <v>53</v>
      </c>
      <c r="G99" s="4" t="s">
        <v>25</v>
      </c>
      <c r="H99" s="4" t="s">
        <v>25</v>
      </c>
      <c r="I99" s="5">
        <v>44652</v>
      </c>
      <c r="J99" s="6">
        <v>600</v>
      </c>
      <c r="K99" s="6">
        <v>146.16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4" t="s">
        <v>54</v>
      </c>
      <c r="R99" s="4">
        <v>0</v>
      </c>
      <c r="S99" s="4" t="s">
        <v>123</v>
      </c>
      <c r="U99" s="4">
        <v>11</v>
      </c>
      <c r="V99" s="4">
        <v>0</v>
      </c>
      <c r="W99" s="4">
        <v>0</v>
      </c>
    </row>
    <row r="100" spans="1:23" ht="11.25" customHeight="1" x14ac:dyDescent="0.25">
      <c r="A100" s="4" t="s">
        <v>21</v>
      </c>
      <c r="B100" s="4" t="s">
        <v>35</v>
      </c>
      <c r="C100" s="4" t="s">
        <v>36</v>
      </c>
      <c r="D100" s="4" t="s">
        <v>34</v>
      </c>
      <c r="E100" s="4" t="s">
        <v>25</v>
      </c>
      <c r="F100" s="4" t="s">
        <v>53</v>
      </c>
      <c r="G100" s="4" t="s">
        <v>25</v>
      </c>
      <c r="H100" s="4" t="s">
        <v>25</v>
      </c>
      <c r="I100" s="5">
        <v>44682</v>
      </c>
      <c r="J100" s="6">
        <v>600</v>
      </c>
      <c r="K100" s="6">
        <v>25.38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4" t="s">
        <v>54</v>
      </c>
      <c r="R100" s="4">
        <v>0</v>
      </c>
      <c r="S100" s="4" t="s">
        <v>124</v>
      </c>
      <c r="U100" s="4">
        <v>11</v>
      </c>
      <c r="V100" s="4">
        <v>0</v>
      </c>
      <c r="W100" s="4">
        <v>0</v>
      </c>
    </row>
    <row r="101" spans="1:23" ht="11.25" customHeight="1" x14ac:dyDescent="0.25">
      <c r="A101" s="4" t="s">
        <v>21</v>
      </c>
      <c r="B101" s="4" t="s">
        <v>35</v>
      </c>
      <c r="C101" s="4" t="s">
        <v>36</v>
      </c>
      <c r="D101" s="4" t="s">
        <v>34</v>
      </c>
      <c r="E101" s="4" t="s">
        <v>25</v>
      </c>
      <c r="F101" s="4" t="s">
        <v>53</v>
      </c>
      <c r="G101" s="4" t="s">
        <v>25</v>
      </c>
      <c r="H101" s="4" t="s">
        <v>25</v>
      </c>
      <c r="I101" s="5">
        <v>44713</v>
      </c>
      <c r="J101" s="6">
        <v>600</v>
      </c>
      <c r="K101" s="6">
        <v>206.7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4" t="s">
        <v>54</v>
      </c>
      <c r="R101" s="4">
        <v>0</v>
      </c>
      <c r="S101" s="4" t="s">
        <v>125</v>
      </c>
      <c r="U101" s="4">
        <v>11</v>
      </c>
      <c r="V101" s="4">
        <v>0</v>
      </c>
      <c r="W101" s="4">
        <v>0</v>
      </c>
    </row>
    <row r="102" spans="1:23" ht="11.25" customHeight="1" x14ac:dyDescent="0.25">
      <c r="A102" s="4" t="s">
        <v>21</v>
      </c>
      <c r="B102" s="4" t="s">
        <v>35</v>
      </c>
      <c r="C102" s="4" t="s">
        <v>36</v>
      </c>
      <c r="D102" s="4" t="s">
        <v>34</v>
      </c>
      <c r="E102" s="4" t="s">
        <v>25</v>
      </c>
      <c r="F102" s="4" t="s">
        <v>53</v>
      </c>
      <c r="G102" s="4" t="s">
        <v>25</v>
      </c>
      <c r="H102" s="4" t="s">
        <v>37</v>
      </c>
      <c r="I102" s="5">
        <v>44440</v>
      </c>
      <c r="J102" s="6">
        <v>0</v>
      </c>
      <c r="K102" s="6">
        <v>0</v>
      </c>
      <c r="L102" s="6">
        <v>0.6</v>
      </c>
      <c r="M102" s="6">
        <v>0.6</v>
      </c>
      <c r="N102" s="6">
        <v>0</v>
      </c>
      <c r="O102" s="6">
        <v>0</v>
      </c>
      <c r="P102" s="6">
        <v>0</v>
      </c>
      <c r="Q102" s="4" t="s">
        <v>54</v>
      </c>
      <c r="R102" s="4">
        <v>0</v>
      </c>
      <c r="S102" s="4" t="s">
        <v>128</v>
      </c>
      <c r="U102" s="4">
        <v>0</v>
      </c>
      <c r="V102" s="4">
        <v>7</v>
      </c>
      <c r="W102" s="4">
        <v>0</v>
      </c>
    </row>
    <row r="103" spans="1:23" ht="11.25" customHeight="1" x14ac:dyDescent="0.25">
      <c r="A103" s="4" t="s">
        <v>21</v>
      </c>
      <c r="B103" s="4" t="s">
        <v>35</v>
      </c>
      <c r="C103" s="4" t="s">
        <v>36</v>
      </c>
      <c r="D103" s="4" t="s">
        <v>34</v>
      </c>
      <c r="E103" s="4" t="s">
        <v>25</v>
      </c>
      <c r="F103" s="4" t="s">
        <v>53</v>
      </c>
      <c r="G103" s="4" t="s">
        <v>25</v>
      </c>
      <c r="H103" s="4" t="s">
        <v>37</v>
      </c>
      <c r="I103" s="5">
        <v>44470</v>
      </c>
      <c r="J103" s="6">
        <v>0</v>
      </c>
      <c r="K103" s="6">
        <v>0</v>
      </c>
      <c r="L103" s="6">
        <v>0.54300000000000004</v>
      </c>
      <c r="M103" s="6">
        <v>0.27150000000000002</v>
      </c>
      <c r="N103" s="6">
        <v>0</v>
      </c>
      <c r="O103" s="6">
        <v>0</v>
      </c>
      <c r="P103" s="6">
        <v>0</v>
      </c>
      <c r="Q103" s="4" t="s">
        <v>54</v>
      </c>
      <c r="R103" s="4">
        <v>0</v>
      </c>
      <c r="S103" s="4" t="s">
        <v>129</v>
      </c>
      <c r="U103" s="4">
        <v>0</v>
      </c>
      <c r="V103" s="4">
        <v>7</v>
      </c>
      <c r="W103" s="4">
        <v>0</v>
      </c>
    </row>
    <row r="104" spans="1:23" ht="11.25" customHeight="1" x14ac:dyDescent="0.25">
      <c r="A104" s="4" t="s">
        <v>21</v>
      </c>
      <c r="B104" s="4" t="s">
        <v>35</v>
      </c>
      <c r="C104" s="4" t="s">
        <v>36</v>
      </c>
      <c r="D104" s="4" t="s">
        <v>34</v>
      </c>
      <c r="E104" s="4" t="s">
        <v>25</v>
      </c>
      <c r="F104" s="4" t="s">
        <v>53</v>
      </c>
      <c r="G104" s="4" t="s">
        <v>25</v>
      </c>
      <c r="H104" s="4" t="s">
        <v>37</v>
      </c>
      <c r="I104" s="5">
        <v>44501</v>
      </c>
      <c r="J104" s="6">
        <v>0</v>
      </c>
      <c r="K104" s="6">
        <v>0</v>
      </c>
      <c r="L104" s="6">
        <v>0.63800000000000001</v>
      </c>
      <c r="M104" s="6">
        <v>0.63800000000000001</v>
      </c>
      <c r="N104" s="6">
        <v>0</v>
      </c>
      <c r="O104" s="6">
        <v>0</v>
      </c>
      <c r="P104" s="6">
        <v>0</v>
      </c>
      <c r="Q104" s="4" t="s">
        <v>54</v>
      </c>
      <c r="R104" s="4">
        <v>0</v>
      </c>
      <c r="S104" s="4" t="s">
        <v>130</v>
      </c>
      <c r="U104" s="4">
        <v>0</v>
      </c>
      <c r="V104" s="4">
        <v>7</v>
      </c>
      <c r="W104" s="4">
        <v>0</v>
      </c>
    </row>
    <row r="105" spans="1:23" ht="11.25" customHeight="1" x14ac:dyDescent="0.25">
      <c r="A105" s="4" t="s">
        <v>21</v>
      </c>
      <c r="B105" s="4" t="s">
        <v>35</v>
      </c>
      <c r="C105" s="4" t="s">
        <v>36</v>
      </c>
      <c r="D105" s="4" t="s">
        <v>34</v>
      </c>
      <c r="E105" s="4" t="s">
        <v>25</v>
      </c>
      <c r="F105" s="4" t="s">
        <v>53</v>
      </c>
      <c r="G105" s="4" t="s">
        <v>25</v>
      </c>
      <c r="H105" s="4" t="s">
        <v>37</v>
      </c>
      <c r="I105" s="5">
        <v>44531</v>
      </c>
      <c r="J105" s="6">
        <v>0</v>
      </c>
      <c r="K105" s="6">
        <v>0</v>
      </c>
      <c r="L105" s="6">
        <v>0.81</v>
      </c>
      <c r="M105" s="6">
        <v>0.81</v>
      </c>
      <c r="N105" s="6">
        <v>0</v>
      </c>
      <c r="O105" s="6">
        <v>0</v>
      </c>
      <c r="P105" s="6">
        <v>0</v>
      </c>
      <c r="Q105" s="4" t="s">
        <v>54</v>
      </c>
      <c r="R105" s="4">
        <v>0</v>
      </c>
      <c r="S105" s="4" t="s">
        <v>131</v>
      </c>
      <c r="U105" s="4">
        <v>0</v>
      </c>
      <c r="V105" s="4">
        <v>7</v>
      </c>
      <c r="W105" s="4">
        <v>0</v>
      </c>
    </row>
    <row r="106" spans="1:23" ht="11.25" customHeight="1" x14ac:dyDescent="0.25">
      <c r="A106" s="4" t="s">
        <v>21</v>
      </c>
      <c r="B106" s="4" t="s">
        <v>35</v>
      </c>
      <c r="C106" s="4" t="s">
        <v>36</v>
      </c>
      <c r="D106" s="4" t="s">
        <v>34</v>
      </c>
      <c r="E106" s="4" t="s">
        <v>25</v>
      </c>
      <c r="F106" s="4" t="s">
        <v>53</v>
      </c>
      <c r="G106" s="4" t="s">
        <v>25</v>
      </c>
      <c r="H106" s="4" t="s">
        <v>37</v>
      </c>
      <c r="I106" s="5">
        <v>44562</v>
      </c>
      <c r="J106" s="6">
        <v>0</v>
      </c>
      <c r="K106" s="6">
        <v>0</v>
      </c>
      <c r="L106" s="6">
        <v>0.77</v>
      </c>
      <c r="M106" s="6">
        <v>0.77</v>
      </c>
      <c r="N106" s="6">
        <v>0</v>
      </c>
      <c r="O106" s="6">
        <v>0</v>
      </c>
      <c r="P106" s="6">
        <v>0</v>
      </c>
      <c r="Q106" s="4" t="s">
        <v>54</v>
      </c>
      <c r="R106" s="4">
        <v>0</v>
      </c>
      <c r="S106" s="4" t="s">
        <v>132</v>
      </c>
      <c r="U106" s="4">
        <v>0</v>
      </c>
      <c r="V106" s="4">
        <v>7</v>
      </c>
      <c r="W106" s="4">
        <v>0</v>
      </c>
    </row>
    <row r="107" spans="1:23" ht="11.25" customHeight="1" x14ac:dyDescent="0.25">
      <c r="A107" s="4" t="s">
        <v>21</v>
      </c>
      <c r="B107" s="4" t="s">
        <v>35</v>
      </c>
      <c r="C107" s="4" t="s">
        <v>36</v>
      </c>
      <c r="D107" s="4" t="s">
        <v>34</v>
      </c>
      <c r="E107" s="4" t="s">
        <v>25</v>
      </c>
      <c r="F107" s="4" t="s">
        <v>53</v>
      </c>
      <c r="G107" s="4" t="s">
        <v>25</v>
      </c>
      <c r="H107" s="4" t="s">
        <v>37</v>
      </c>
      <c r="I107" s="5">
        <v>44593</v>
      </c>
      <c r="J107" s="6">
        <v>0</v>
      </c>
      <c r="K107" s="6">
        <v>0</v>
      </c>
      <c r="L107" s="6">
        <v>0.77700000000000002</v>
      </c>
      <c r="M107" s="6">
        <v>0.77700000000000002</v>
      </c>
      <c r="N107" s="6">
        <v>0</v>
      </c>
      <c r="O107" s="6">
        <v>0</v>
      </c>
      <c r="P107" s="6">
        <v>0</v>
      </c>
      <c r="Q107" s="4" t="s">
        <v>54</v>
      </c>
      <c r="R107" s="4">
        <v>0</v>
      </c>
      <c r="S107" s="4" t="s">
        <v>133</v>
      </c>
      <c r="U107" s="4">
        <v>0</v>
      </c>
      <c r="V107" s="4">
        <v>7</v>
      </c>
      <c r="W107" s="4">
        <v>0</v>
      </c>
    </row>
    <row r="108" spans="1:23" ht="11.25" customHeight="1" x14ac:dyDescent="0.25">
      <c r="A108" s="4" t="s">
        <v>21</v>
      </c>
      <c r="B108" s="4" t="s">
        <v>35</v>
      </c>
      <c r="C108" s="4" t="s">
        <v>36</v>
      </c>
      <c r="D108" s="4" t="s">
        <v>34</v>
      </c>
      <c r="E108" s="4" t="s">
        <v>25</v>
      </c>
      <c r="F108" s="4" t="s">
        <v>53</v>
      </c>
      <c r="G108" s="4" t="s">
        <v>25</v>
      </c>
      <c r="H108" s="4" t="s">
        <v>37</v>
      </c>
      <c r="I108" s="5">
        <v>44621</v>
      </c>
      <c r="J108" s="6">
        <v>0</v>
      </c>
      <c r="K108" s="6">
        <v>0</v>
      </c>
      <c r="L108" s="6">
        <v>1.5289999999999999</v>
      </c>
      <c r="M108" s="6">
        <v>1.5289999999999999</v>
      </c>
      <c r="N108" s="6">
        <v>0</v>
      </c>
      <c r="O108" s="6">
        <v>0</v>
      </c>
      <c r="P108" s="6">
        <v>0</v>
      </c>
      <c r="Q108" s="4" t="s">
        <v>54</v>
      </c>
      <c r="R108" s="4">
        <v>0</v>
      </c>
      <c r="S108" s="4" t="s">
        <v>134</v>
      </c>
      <c r="U108" s="4">
        <v>0</v>
      </c>
      <c r="V108" s="4">
        <v>7</v>
      </c>
      <c r="W108" s="4">
        <v>0</v>
      </c>
    </row>
    <row r="109" spans="1:23" ht="11.25" customHeight="1" x14ac:dyDescent="0.25">
      <c r="A109" s="4" t="s">
        <v>21</v>
      </c>
      <c r="B109" s="4" t="s">
        <v>35</v>
      </c>
      <c r="C109" s="4" t="s">
        <v>36</v>
      </c>
      <c r="D109" s="4" t="s">
        <v>34</v>
      </c>
      <c r="E109" s="4" t="s">
        <v>25</v>
      </c>
      <c r="F109" s="4" t="s">
        <v>53</v>
      </c>
      <c r="G109" s="4" t="s">
        <v>25</v>
      </c>
      <c r="H109" s="4" t="s">
        <v>37</v>
      </c>
      <c r="I109" s="5">
        <v>44652</v>
      </c>
      <c r="J109" s="6">
        <v>0</v>
      </c>
      <c r="K109" s="6">
        <v>0</v>
      </c>
      <c r="L109" s="6">
        <v>4.9880000000000004</v>
      </c>
      <c r="M109" s="6">
        <v>4.9880000000000004</v>
      </c>
      <c r="N109" s="6">
        <v>0</v>
      </c>
      <c r="O109" s="6">
        <v>0</v>
      </c>
      <c r="P109" s="6">
        <v>0</v>
      </c>
      <c r="Q109" s="4" t="s">
        <v>54</v>
      </c>
      <c r="R109" s="4">
        <v>0</v>
      </c>
      <c r="S109" s="4" t="s">
        <v>135</v>
      </c>
      <c r="U109" s="4">
        <v>0</v>
      </c>
      <c r="V109" s="4">
        <v>7</v>
      </c>
      <c r="W109" s="4">
        <v>0</v>
      </c>
    </row>
    <row r="110" spans="1:23" ht="11.25" customHeight="1" x14ac:dyDescent="0.25">
      <c r="A110" s="4" t="s">
        <v>21</v>
      </c>
      <c r="B110" s="4" t="s">
        <v>35</v>
      </c>
      <c r="C110" s="4" t="s">
        <v>36</v>
      </c>
      <c r="D110" s="4" t="s">
        <v>34</v>
      </c>
      <c r="E110" s="4" t="s">
        <v>25</v>
      </c>
      <c r="F110" s="4" t="s">
        <v>53</v>
      </c>
      <c r="G110" s="4" t="s">
        <v>25</v>
      </c>
      <c r="H110" s="4" t="s">
        <v>37</v>
      </c>
      <c r="I110" s="5">
        <v>44682</v>
      </c>
      <c r="J110" s="6">
        <v>0</v>
      </c>
      <c r="K110" s="6">
        <v>0</v>
      </c>
      <c r="L110" s="6">
        <v>17.71</v>
      </c>
      <c r="M110" s="6">
        <v>17.71</v>
      </c>
      <c r="N110" s="6">
        <v>0</v>
      </c>
      <c r="O110" s="6">
        <v>0</v>
      </c>
      <c r="P110" s="6">
        <v>0</v>
      </c>
      <c r="Q110" s="4" t="s">
        <v>54</v>
      </c>
      <c r="R110" s="4">
        <v>0</v>
      </c>
      <c r="S110" s="4" t="s">
        <v>136</v>
      </c>
      <c r="U110" s="4">
        <v>0</v>
      </c>
      <c r="V110" s="4">
        <v>7</v>
      </c>
      <c r="W110" s="4">
        <v>0</v>
      </c>
    </row>
    <row r="111" spans="1:23" ht="11.25" customHeight="1" x14ac:dyDescent="0.25">
      <c r="A111" s="4" t="s">
        <v>21</v>
      </c>
      <c r="B111" s="4" t="s">
        <v>35</v>
      </c>
      <c r="C111" s="4" t="s">
        <v>36</v>
      </c>
      <c r="D111" s="4" t="s">
        <v>34</v>
      </c>
      <c r="E111" s="4" t="s">
        <v>25</v>
      </c>
      <c r="F111" s="4" t="s">
        <v>53</v>
      </c>
      <c r="G111" s="4" t="s">
        <v>25</v>
      </c>
      <c r="H111" s="4" t="s">
        <v>37</v>
      </c>
      <c r="I111" s="5">
        <v>44713</v>
      </c>
      <c r="J111" s="6">
        <v>0</v>
      </c>
      <c r="K111" s="6">
        <v>0</v>
      </c>
      <c r="L111" s="6">
        <v>2.4889999999999999</v>
      </c>
      <c r="M111" s="6">
        <v>2.4889999999999999</v>
      </c>
      <c r="N111" s="6">
        <v>0</v>
      </c>
      <c r="O111" s="6">
        <v>0</v>
      </c>
      <c r="P111" s="6">
        <v>0</v>
      </c>
      <c r="Q111" s="4" t="s">
        <v>54</v>
      </c>
      <c r="R111" s="4">
        <v>0</v>
      </c>
      <c r="S111" s="4" t="s">
        <v>137</v>
      </c>
      <c r="U111" s="4">
        <v>0</v>
      </c>
      <c r="V111" s="4">
        <v>7</v>
      </c>
      <c r="W111" s="4">
        <v>0</v>
      </c>
    </row>
    <row r="112" spans="1:23" ht="11.25" customHeight="1" x14ac:dyDescent="0.25">
      <c r="A112" s="4" t="s">
        <v>21</v>
      </c>
      <c r="B112" s="4" t="s">
        <v>35</v>
      </c>
      <c r="C112" s="4" t="s">
        <v>36</v>
      </c>
      <c r="D112" s="4" t="s">
        <v>34</v>
      </c>
      <c r="E112" s="4" t="s">
        <v>25</v>
      </c>
      <c r="F112" s="4" t="s">
        <v>25</v>
      </c>
      <c r="G112" s="4" t="s">
        <v>25</v>
      </c>
      <c r="H112" s="4" t="s">
        <v>38</v>
      </c>
      <c r="I112" s="5">
        <v>44378</v>
      </c>
      <c r="J112" s="6">
        <v>0</v>
      </c>
      <c r="K112" s="6">
        <v>0</v>
      </c>
      <c r="L112" s="6">
        <v>307.83600000000001</v>
      </c>
      <c r="M112" s="6">
        <v>307.83600000000001</v>
      </c>
      <c r="N112" s="6">
        <v>307.83600000000001</v>
      </c>
      <c r="O112" s="6">
        <v>307.83600000000001</v>
      </c>
      <c r="P112" s="6">
        <v>0</v>
      </c>
      <c r="Q112" s="4" t="s">
        <v>26</v>
      </c>
      <c r="R112" s="4">
        <v>0</v>
      </c>
      <c r="S112" s="4" t="s">
        <v>102</v>
      </c>
      <c r="T112" s="4" t="s">
        <v>245</v>
      </c>
      <c r="U112" s="4">
        <v>0</v>
      </c>
      <c r="V112" s="4">
        <v>15</v>
      </c>
      <c r="W112" s="4">
        <v>28</v>
      </c>
    </row>
    <row r="113" spans="1:23" ht="11.25" customHeight="1" x14ac:dyDescent="0.25">
      <c r="A113" s="4" t="s">
        <v>21</v>
      </c>
      <c r="B113" s="4" t="s">
        <v>35</v>
      </c>
      <c r="C113" s="4" t="s">
        <v>36</v>
      </c>
      <c r="D113" s="4" t="s">
        <v>34</v>
      </c>
      <c r="E113" s="4" t="s">
        <v>25</v>
      </c>
      <c r="F113" s="4" t="s">
        <v>25</v>
      </c>
      <c r="G113" s="4" t="s">
        <v>25</v>
      </c>
      <c r="H113" s="4" t="s">
        <v>38</v>
      </c>
      <c r="I113" s="5">
        <v>44409</v>
      </c>
      <c r="J113" s="6">
        <v>0</v>
      </c>
      <c r="K113" s="6">
        <v>0</v>
      </c>
      <c r="L113" s="6">
        <v>428.952</v>
      </c>
      <c r="M113" s="6">
        <v>428.952</v>
      </c>
      <c r="N113" s="6">
        <v>428.952</v>
      </c>
      <c r="O113" s="6">
        <v>428.952</v>
      </c>
      <c r="P113" s="6">
        <v>0</v>
      </c>
      <c r="Q113" s="4" t="s">
        <v>26</v>
      </c>
      <c r="R113" s="4">
        <v>0</v>
      </c>
      <c r="S113" s="4" t="s">
        <v>103</v>
      </c>
      <c r="T113" s="4" t="s">
        <v>246</v>
      </c>
      <c r="U113" s="4">
        <v>0</v>
      </c>
      <c r="V113" s="4">
        <v>15</v>
      </c>
      <c r="W113" s="4">
        <v>28</v>
      </c>
    </row>
    <row r="114" spans="1:23" ht="11.25" customHeight="1" x14ac:dyDescent="0.25">
      <c r="A114" s="4" t="s">
        <v>21</v>
      </c>
      <c r="B114" s="4" t="s">
        <v>35</v>
      </c>
      <c r="C114" s="4" t="s">
        <v>36</v>
      </c>
      <c r="D114" s="4" t="s">
        <v>34</v>
      </c>
      <c r="E114" s="4" t="s">
        <v>25</v>
      </c>
      <c r="F114" s="4" t="s">
        <v>25</v>
      </c>
      <c r="G114" s="4" t="s">
        <v>25</v>
      </c>
      <c r="H114" s="4" t="s">
        <v>38</v>
      </c>
      <c r="I114" s="5">
        <v>44440</v>
      </c>
      <c r="J114" s="6">
        <v>0</v>
      </c>
      <c r="K114" s="6">
        <v>0</v>
      </c>
      <c r="L114" s="6">
        <v>379.90899999999999</v>
      </c>
      <c r="M114" s="6">
        <v>379.90899999999999</v>
      </c>
      <c r="N114" s="6">
        <v>379.90899999999999</v>
      </c>
      <c r="O114" s="6">
        <v>379.90899999999999</v>
      </c>
      <c r="P114" s="6">
        <v>0</v>
      </c>
      <c r="Q114" s="4" t="s">
        <v>26</v>
      </c>
      <c r="R114" s="4">
        <v>0</v>
      </c>
      <c r="S114" s="4" t="s">
        <v>104</v>
      </c>
      <c r="T114" s="4" t="s">
        <v>247</v>
      </c>
      <c r="U114" s="4">
        <v>0</v>
      </c>
      <c r="V114" s="4">
        <v>15</v>
      </c>
      <c r="W114" s="4">
        <v>28</v>
      </c>
    </row>
    <row r="115" spans="1:23" ht="11.25" customHeight="1" x14ac:dyDescent="0.25">
      <c r="A115" s="4" t="s">
        <v>21</v>
      </c>
      <c r="B115" s="4" t="s">
        <v>35</v>
      </c>
      <c r="C115" s="4" t="s">
        <v>36</v>
      </c>
      <c r="D115" s="4" t="s">
        <v>34</v>
      </c>
      <c r="E115" s="4" t="s">
        <v>25</v>
      </c>
      <c r="F115" s="4" t="s">
        <v>25</v>
      </c>
      <c r="G115" s="4" t="s">
        <v>25</v>
      </c>
      <c r="H115" s="4" t="s">
        <v>38</v>
      </c>
      <c r="I115" s="5">
        <v>44470</v>
      </c>
      <c r="J115" s="6">
        <v>0</v>
      </c>
      <c r="K115" s="6">
        <v>0</v>
      </c>
      <c r="L115" s="6">
        <v>412.01</v>
      </c>
      <c r="M115" s="6">
        <v>412.01</v>
      </c>
      <c r="N115" s="6">
        <v>412.01</v>
      </c>
      <c r="O115" s="6">
        <v>412.01</v>
      </c>
      <c r="P115" s="6">
        <v>0</v>
      </c>
      <c r="Q115" s="4" t="s">
        <v>26</v>
      </c>
      <c r="R115" s="4">
        <v>0</v>
      </c>
      <c r="S115" s="4" t="s">
        <v>105</v>
      </c>
      <c r="T115" s="4" t="s">
        <v>248</v>
      </c>
      <c r="U115" s="4">
        <v>0</v>
      </c>
      <c r="V115" s="4">
        <v>15</v>
      </c>
      <c r="W115" s="4">
        <v>28</v>
      </c>
    </row>
    <row r="116" spans="1:23" ht="11.25" customHeight="1" x14ac:dyDescent="0.25">
      <c r="A116" s="4" t="s">
        <v>21</v>
      </c>
      <c r="B116" s="4" t="s">
        <v>35</v>
      </c>
      <c r="C116" s="4" t="s">
        <v>36</v>
      </c>
      <c r="D116" s="4" t="s">
        <v>34</v>
      </c>
      <c r="E116" s="4" t="s">
        <v>25</v>
      </c>
      <c r="F116" s="4" t="s">
        <v>25</v>
      </c>
      <c r="G116" s="4" t="s">
        <v>25</v>
      </c>
      <c r="H116" s="4" t="s">
        <v>38</v>
      </c>
      <c r="I116" s="5">
        <v>44501</v>
      </c>
      <c r="J116" s="6">
        <v>0</v>
      </c>
      <c r="K116" s="6">
        <v>0</v>
      </c>
      <c r="L116" s="6">
        <v>433.82400000000001</v>
      </c>
      <c r="M116" s="6">
        <v>433.82400000000001</v>
      </c>
      <c r="N116" s="6">
        <v>433.82400000000001</v>
      </c>
      <c r="O116" s="6">
        <v>433.82400000000001</v>
      </c>
      <c r="P116" s="6">
        <v>0</v>
      </c>
      <c r="Q116" s="4" t="s">
        <v>26</v>
      </c>
      <c r="R116" s="4">
        <v>0</v>
      </c>
      <c r="S116" s="4" t="s">
        <v>106</v>
      </c>
      <c r="T116" s="4" t="s">
        <v>249</v>
      </c>
      <c r="U116" s="4">
        <v>0</v>
      </c>
      <c r="V116" s="4">
        <v>15</v>
      </c>
      <c r="W116" s="4">
        <v>28</v>
      </c>
    </row>
    <row r="117" spans="1:23" ht="11.25" customHeight="1" x14ac:dyDescent="0.25">
      <c r="A117" s="4" t="s">
        <v>21</v>
      </c>
      <c r="B117" s="4" t="s">
        <v>35</v>
      </c>
      <c r="C117" s="4" t="s">
        <v>36</v>
      </c>
      <c r="D117" s="4" t="s">
        <v>34</v>
      </c>
      <c r="E117" s="4" t="s">
        <v>25</v>
      </c>
      <c r="F117" s="4" t="s">
        <v>25</v>
      </c>
      <c r="G117" s="4" t="s">
        <v>25</v>
      </c>
      <c r="H117" s="4" t="s">
        <v>38</v>
      </c>
      <c r="I117" s="5">
        <v>44531</v>
      </c>
      <c r="J117" s="6">
        <v>0</v>
      </c>
      <c r="K117" s="6">
        <v>0</v>
      </c>
      <c r="L117" s="6">
        <v>386.30700000000002</v>
      </c>
      <c r="M117" s="6">
        <v>386.30700000000002</v>
      </c>
      <c r="N117" s="6">
        <v>386.30700000000002</v>
      </c>
      <c r="O117" s="6">
        <v>386.30700000000002</v>
      </c>
      <c r="P117" s="6">
        <v>0</v>
      </c>
      <c r="Q117" s="4" t="s">
        <v>26</v>
      </c>
      <c r="R117" s="4">
        <v>0</v>
      </c>
      <c r="S117" s="4" t="s">
        <v>107</v>
      </c>
      <c r="T117" s="4" t="s">
        <v>250</v>
      </c>
      <c r="U117" s="4">
        <v>0</v>
      </c>
      <c r="V117" s="4">
        <v>15</v>
      </c>
      <c r="W117" s="4">
        <v>28</v>
      </c>
    </row>
    <row r="118" spans="1:23" ht="11.25" customHeight="1" x14ac:dyDescent="0.25">
      <c r="A118" s="4" t="s">
        <v>21</v>
      </c>
      <c r="B118" s="4" t="s">
        <v>35</v>
      </c>
      <c r="C118" s="4" t="s">
        <v>36</v>
      </c>
      <c r="D118" s="4" t="s">
        <v>34</v>
      </c>
      <c r="E118" s="4" t="s">
        <v>25</v>
      </c>
      <c r="F118" s="4" t="s">
        <v>25</v>
      </c>
      <c r="G118" s="4" t="s">
        <v>25</v>
      </c>
      <c r="H118" s="4" t="s">
        <v>38</v>
      </c>
      <c r="I118" s="5">
        <v>44562</v>
      </c>
      <c r="J118" s="6">
        <v>0</v>
      </c>
      <c r="K118" s="6">
        <v>0</v>
      </c>
      <c r="L118" s="6">
        <v>372.16</v>
      </c>
      <c r="M118" s="6">
        <v>372.16</v>
      </c>
      <c r="N118" s="6">
        <v>372.16</v>
      </c>
      <c r="O118" s="6">
        <v>372.16</v>
      </c>
      <c r="P118" s="6">
        <v>0</v>
      </c>
      <c r="Q118" s="4" t="s">
        <v>26</v>
      </c>
      <c r="R118" s="4">
        <v>0</v>
      </c>
      <c r="S118" s="4" t="s">
        <v>108</v>
      </c>
      <c r="T118" s="4" t="s">
        <v>251</v>
      </c>
      <c r="U118" s="4">
        <v>0</v>
      </c>
      <c r="V118" s="4">
        <v>15</v>
      </c>
      <c r="W118" s="4">
        <v>28</v>
      </c>
    </row>
    <row r="119" spans="1:23" ht="11.25" customHeight="1" x14ac:dyDescent="0.25">
      <c r="A119" s="4" t="s">
        <v>21</v>
      </c>
      <c r="B119" s="4" t="s">
        <v>35</v>
      </c>
      <c r="C119" s="4" t="s">
        <v>36</v>
      </c>
      <c r="D119" s="4" t="s">
        <v>34</v>
      </c>
      <c r="E119" s="4" t="s">
        <v>25</v>
      </c>
      <c r="F119" s="4" t="s">
        <v>25</v>
      </c>
      <c r="G119" s="4" t="s">
        <v>25</v>
      </c>
      <c r="H119" s="4" t="s">
        <v>38</v>
      </c>
      <c r="I119" s="5">
        <v>44593</v>
      </c>
      <c r="J119" s="6">
        <v>0</v>
      </c>
      <c r="K119" s="6">
        <v>0</v>
      </c>
      <c r="L119" s="6">
        <v>403.423</v>
      </c>
      <c r="M119" s="6">
        <v>403.423</v>
      </c>
      <c r="N119" s="6">
        <v>403.423</v>
      </c>
      <c r="O119" s="6">
        <v>403.423</v>
      </c>
      <c r="P119" s="6">
        <v>0</v>
      </c>
      <c r="Q119" s="4" t="s">
        <v>26</v>
      </c>
      <c r="R119" s="4">
        <v>0</v>
      </c>
      <c r="S119" s="4" t="s">
        <v>109</v>
      </c>
      <c r="T119" s="4" t="s">
        <v>237</v>
      </c>
      <c r="U119" s="4">
        <v>0</v>
      </c>
      <c r="V119" s="4">
        <v>15</v>
      </c>
      <c r="W119" s="4">
        <v>28</v>
      </c>
    </row>
    <row r="120" spans="1:23" ht="11.25" customHeight="1" x14ac:dyDescent="0.25">
      <c r="A120" s="4" t="s">
        <v>21</v>
      </c>
      <c r="B120" s="4" t="s">
        <v>35</v>
      </c>
      <c r="C120" s="4" t="s">
        <v>36</v>
      </c>
      <c r="D120" s="4" t="s">
        <v>34</v>
      </c>
      <c r="E120" s="4" t="s">
        <v>25</v>
      </c>
      <c r="F120" s="4" t="s">
        <v>25</v>
      </c>
      <c r="G120" s="4" t="s">
        <v>25</v>
      </c>
      <c r="H120" s="4" t="s">
        <v>38</v>
      </c>
      <c r="I120" s="5">
        <v>44621</v>
      </c>
      <c r="J120" s="6">
        <v>0</v>
      </c>
      <c r="K120" s="6">
        <v>0</v>
      </c>
      <c r="L120" s="6">
        <v>542.94899999999996</v>
      </c>
      <c r="M120" s="6">
        <v>542.94899999999996</v>
      </c>
      <c r="N120" s="6">
        <v>542.94899999999996</v>
      </c>
      <c r="O120" s="6">
        <v>542.94899999999996</v>
      </c>
      <c r="P120" s="6">
        <v>0</v>
      </c>
      <c r="Q120" s="4" t="s">
        <v>26</v>
      </c>
      <c r="R120" s="4">
        <v>0</v>
      </c>
      <c r="S120" s="4" t="s">
        <v>110</v>
      </c>
      <c r="T120" s="4" t="s">
        <v>238</v>
      </c>
      <c r="U120" s="4">
        <v>0</v>
      </c>
      <c r="V120" s="4">
        <v>15</v>
      </c>
      <c r="W120" s="4">
        <v>28</v>
      </c>
    </row>
    <row r="121" spans="1:23" ht="11.25" customHeight="1" x14ac:dyDescent="0.25">
      <c r="A121" s="4" t="s">
        <v>21</v>
      </c>
      <c r="B121" s="4" t="s">
        <v>35</v>
      </c>
      <c r="C121" s="4" t="s">
        <v>36</v>
      </c>
      <c r="D121" s="4" t="s">
        <v>34</v>
      </c>
      <c r="E121" s="4" t="s">
        <v>25</v>
      </c>
      <c r="F121" s="4" t="s">
        <v>25</v>
      </c>
      <c r="G121" s="4" t="s">
        <v>25</v>
      </c>
      <c r="H121" s="4" t="s">
        <v>38</v>
      </c>
      <c r="I121" s="5">
        <v>44652</v>
      </c>
      <c r="J121" s="6">
        <v>0</v>
      </c>
      <c r="K121" s="6">
        <v>0</v>
      </c>
      <c r="L121" s="6">
        <v>851.36900000000003</v>
      </c>
      <c r="M121" s="6">
        <v>851.36900000000003</v>
      </c>
      <c r="N121" s="6">
        <v>851.36900000000003</v>
      </c>
      <c r="O121" s="6">
        <v>851.36900000000003</v>
      </c>
      <c r="P121" s="6">
        <v>0</v>
      </c>
      <c r="Q121" s="4" t="s">
        <v>26</v>
      </c>
      <c r="R121" s="4">
        <v>0</v>
      </c>
      <c r="S121" s="4" t="s">
        <v>111</v>
      </c>
      <c r="T121" s="4" t="s">
        <v>239</v>
      </c>
      <c r="U121" s="4">
        <v>0</v>
      </c>
      <c r="V121" s="4">
        <v>15</v>
      </c>
      <c r="W121" s="4">
        <v>28</v>
      </c>
    </row>
    <row r="122" spans="1:23" ht="11.25" customHeight="1" x14ac:dyDescent="0.25">
      <c r="A122" s="4" t="s">
        <v>21</v>
      </c>
      <c r="B122" s="4" t="s">
        <v>35</v>
      </c>
      <c r="C122" s="4" t="s">
        <v>36</v>
      </c>
      <c r="D122" s="4" t="s">
        <v>34</v>
      </c>
      <c r="E122" s="4" t="s">
        <v>25</v>
      </c>
      <c r="F122" s="4" t="s">
        <v>25</v>
      </c>
      <c r="G122" s="4" t="s">
        <v>25</v>
      </c>
      <c r="H122" s="4" t="s">
        <v>38</v>
      </c>
      <c r="I122" s="5">
        <v>44682</v>
      </c>
      <c r="J122" s="6">
        <v>0</v>
      </c>
      <c r="K122" s="6">
        <v>0</v>
      </c>
      <c r="L122" s="6">
        <v>661.17499999999995</v>
      </c>
      <c r="M122" s="6">
        <v>661.17499999999995</v>
      </c>
      <c r="N122" s="6">
        <v>661.17499999999995</v>
      </c>
      <c r="O122" s="6">
        <v>661.17499999999995</v>
      </c>
      <c r="P122" s="6">
        <v>0</v>
      </c>
      <c r="Q122" s="4" t="s">
        <v>26</v>
      </c>
      <c r="R122" s="4">
        <v>0</v>
      </c>
      <c r="S122" s="4" t="s">
        <v>112</v>
      </c>
      <c r="T122" s="4" t="s">
        <v>240</v>
      </c>
      <c r="U122" s="4">
        <v>0</v>
      </c>
      <c r="V122" s="4">
        <v>15</v>
      </c>
      <c r="W122" s="4">
        <v>28</v>
      </c>
    </row>
    <row r="123" spans="1:23" ht="11.25" customHeight="1" x14ac:dyDescent="0.25">
      <c r="A123" s="4" t="s">
        <v>27</v>
      </c>
      <c r="B123" s="4" t="s">
        <v>35</v>
      </c>
      <c r="C123" s="4" t="s">
        <v>36</v>
      </c>
      <c r="D123" s="4" t="s">
        <v>34</v>
      </c>
      <c r="E123" s="4" t="s">
        <v>25</v>
      </c>
      <c r="F123" s="4" t="s">
        <v>25</v>
      </c>
      <c r="G123" s="4" t="s">
        <v>25</v>
      </c>
      <c r="H123" s="4" t="s">
        <v>38</v>
      </c>
      <c r="I123" s="5">
        <v>44682</v>
      </c>
      <c r="J123" s="6">
        <v>0</v>
      </c>
      <c r="K123" s="6">
        <v>0</v>
      </c>
      <c r="L123" s="6">
        <v>-65.236999999999995</v>
      </c>
      <c r="M123" s="6">
        <v>-65.236999999999995</v>
      </c>
      <c r="N123" s="6">
        <v>-65.236999999999995</v>
      </c>
      <c r="O123" s="6">
        <v>-65.236999999999995</v>
      </c>
      <c r="P123" s="6">
        <v>0</v>
      </c>
      <c r="Q123" s="4" t="s">
        <v>26</v>
      </c>
      <c r="R123" s="4">
        <v>0</v>
      </c>
      <c r="S123" s="4" t="s">
        <v>112</v>
      </c>
      <c r="T123" s="4" t="s">
        <v>240</v>
      </c>
      <c r="U123" s="4">
        <v>0</v>
      </c>
      <c r="V123" s="4">
        <v>15</v>
      </c>
      <c r="W123" s="4">
        <v>28</v>
      </c>
    </row>
    <row r="124" spans="1:23" ht="11.25" customHeight="1" x14ac:dyDescent="0.25">
      <c r="A124" s="4" t="s">
        <v>21</v>
      </c>
      <c r="B124" s="4" t="s">
        <v>35</v>
      </c>
      <c r="C124" s="4" t="s">
        <v>36</v>
      </c>
      <c r="D124" s="4" t="s">
        <v>34</v>
      </c>
      <c r="E124" s="4" t="s">
        <v>25</v>
      </c>
      <c r="F124" s="4" t="s">
        <v>25</v>
      </c>
      <c r="G124" s="4" t="s">
        <v>25</v>
      </c>
      <c r="H124" s="4" t="s">
        <v>38</v>
      </c>
      <c r="I124" s="5">
        <v>44713</v>
      </c>
      <c r="J124" s="6">
        <v>0</v>
      </c>
      <c r="K124" s="6">
        <v>0</v>
      </c>
      <c r="L124" s="6">
        <v>340.99799999999999</v>
      </c>
      <c r="M124" s="6">
        <v>340.99799999999999</v>
      </c>
      <c r="N124" s="6">
        <v>340.99799999999999</v>
      </c>
      <c r="O124" s="6">
        <v>340.99799999999999</v>
      </c>
      <c r="P124" s="6">
        <v>0</v>
      </c>
      <c r="Q124" s="4" t="s">
        <v>26</v>
      </c>
      <c r="R124" s="4">
        <v>0</v>
      </c>
      <c r="S124" s="4" t="s">
        <v>113</v>
      </c>
      <c r="T124" s="4" t="s">
        <v>235</v>
      </c>
      <c r="U124" s="4">
        <v>0</v>
      </c>
      <c r="V124" s="4">
        <v>15</v>
      </c>
      <c r="W124" s="4">
        <v>28</v>
      </c>
    </row>
    <row r="125" spans="1:23" ht="11.25" customHeight="1" x14ac:dyDescent="0.25">
      <c r="A125" s="4" t="s">
        <v>28</v>
      </c>
      <c r="B125" s="4" t="s">
        <v>35</v>
      </c>
      <c r="C125" s="4" t="s">
        <v>36</v>
      </c>
      <c r="D125" s="4" t="s">
        <v>34</v>
      </c>
      <c r="E125" s="4" t="s">
        <v>25</v>
      </c>
      <c r="F125" s="4" t="s">
        <v>25</v>
      </c>
      <c r="G125" s="4" t="s">
        <v>25</v>
      </c>
      <c r="H125" s="4" t="s">
        <v>38</v>
      </c>
      <c r="I125" s="5">
        <v>44713</v>
      </c>
      <c r="J125" s="6">
        <v>0</v>
      </c>
      <c r="K125" s="6">
        <v>0</v>
      </c>
      <c r="L125" s="6">
        <v>7.8609999999999998</v>
      </c>
      <c r="M125" s="6">
        <v>7.8609999999999998</v>
      </c>
      <c r="N125" s="6">
        <v>7.8609999999999998</v>
      </c>
      <c r="O125" s="6">
        <v>7.8609999999999998</v>
      </c>
      <c r="P125" s="6">
        <v>0</v>
      </c>
      <c r="Q125" s="4" t="s">
        <v>26</v>
      </c>
      <c r="R125" s="4">
        <v>0</v>
      </c>
      <c r="S125" s="4" t="s">
        <v>113</v>
      </c>
      <c r="T125" s="4" t="s">
        <v>235</v>
      </c>
      <c r="U125" s="4">
        <v>0</v>
      </c>
      <c r="V125" s="4">
        <v>15</v>
      </c>
      <c r="W125" s="4">
        <v>28</v>
      </c>
    </row>
    <row r="126" spans="1:23" ht="11.25" customHeight="1" x14ac:dyDescent="0.25">
      <c r="A126" s="4" t="s">
        <v>21</v>
      </c>
      <c r="B126" s="4" t="s">
        <v>35</v>
      </c>
      <c r="C126" s="4" t="s">
        <v>36</v>
      </c>
      <c r="D126" s="4" t="s">
        <v>34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44378</v>
      </c>
      <c r="J126" s="6">
        <v>1342</v>
      </c>
      <c r="K126" s="6">
        <v>1342</v>
      </c>
      <c r="L126" s="6">
        <v>0</v>
      </c>
      <c r="M126" s="6">
        <v>0</v>
      </c>
      <c r="N126" s="6">
        <v>0</v>
      </c>
      <c r="O126" s="6">
        <v>0</v>
      </c>
      <c r="P126" s="6">
        <v>5</v>
      </c>
      <c r="Q126" s="4" t="s">
        <v>26</v>
      </c>
      <c r="R126" s="4">
        <v>0</v>
      </c>
      <c r="S126" s="4" t="s">
        <v>114</v>
      </c>
      <c r="U126" s="4">
        <v>11</v>
      </c>
      <c r="V126" s="4">
        <v>0</v>
      </c>
      <c r="W126" s="4">
        <v>0</v>
      </c>
    </row>
    <row r="127" spans="1:23" ht="11.25" customHeight="1" x14ac:dyDescent="0.25">
      <c r="A127" s="4" t="s">
        <v>21</v>
      </c>
      <c r="B127" s="4" t="s">
        <v>35</v>
      </c>
      <c r="C127" s="4" t="s">
        <v>36</v>
      </c>
      <c r="D127" s="4" t="s">
        <v>34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44409</v>
      </c>
      <c r="J127" s="6">
        <v>2254</v>
      </c>
      <c r="K127" s="6">
        <v>2254</v>
      </c>
      <c r="L127" s="6">
        <v>0</v>
      </c>
      <c r="M127" s="6">
        <v>0</v>
      </c>
      <c r="N127" s="6">
        <v>0</v>
      </c>
      <c r="O127" s="6">
        <v>0</v>
      </c>
      <c r="P127" s="6">
        <v>9</v>
      </c>
      <c r="Q127" s="4" t="s">
        <v>26</v>
      </c>
      <c r="R127" s="4">
        <v>0</v>
      </c>
      <c r="S127" s="4" t="s">
        <v>115</v>
      </c>
      <c r="U127" s="4">
        <v>11</v>
      </c>
      <c r="V127" s="4">
        <v>0</v>
      </c>
      <c r="W127" s="4">
        <v>0</v>
      </c>
    </row>
    <row r="128" spans="1:23" ht="11.25" customHeight="1" x14ac:dyDescent="0.25">
      <c r="A128" s="4" t="s">
        <v>21</v>
      </c>
      <c r="B128" s="4" t="s">
        <v>35</v>
      </c>
      <c r="C128" s="4" t="s">
        <v>36</v>
      </c>
      <c r="D128" s="4" t="s">
        <v>34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44440</v>
      </c>
      <c r="J128" s="6">
        <v>1713</v>
      </c>
      <c r="K128" s="6">
        <v>1713</v>
      </c>
      <c r="L128" s="6">
        <v>0</v>
      </c>
      <c r="M128" s="6">
        <v>0</v>
      </c>
      <c r="N128" s="6">
        <v>0</v>
      </c>
      <c r="O128" s="6">
        <v>0</v>
      </c>
      <c r="P128" s="6">
        <v>9</v>
      </c>
      <c r="Q128" s="4" t="s">
        <v>26</v>
      </c>
      <c r="R128" s="4">
        <v>0</v>
      </c>
      <c r="S128" s="4" t="s">
        <v>116</v>
      </c>
      <c r="U128" s="4">
        <v>11</v>
      </c>
      <c r="V128" s="4">
        <v>0</v>
      </c>
      <c r="W128" s="4">
        <v>0</v>
      </c>
    </row>
    <row r="129" spans="1:23" ht="11.25" customHeight="1" x14ac:dyDescent="0.25">
      <c r="A129" s="4" t="s">
        <v>21</v>
      </c>
      <c r="B129" s="4" t="s">
        <v>35</v>
      </c>
      <c r="C129" s="4" t="s">
        <v>36</v>
      </c>
      <c r="D129" s="4" t="s">
        <v>34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44470</v>
      </c>
      <c r="J129" s="6">
        <v>1914</v>
      </c>
      <c r="K129" s="6">
        <v>1914</v>
      </c>
      <c r="L129" s="6">
        <v>0</v>
      </c>
      <c r="M129" s="6">
        <v>0</v>
      </c>
      <c r="N129" s="6">
        <v>0</v>
      </c>
      <c r="O129" s="6">
        <v>0</v>
      </c>
      <c r="P129" s="6">
        <v>9</v>
      </c>
      <c r="Q129" s="4" t="s">
        <v>26</v>
      </c>
      <c r="R129" s="4">
        <v>0</v>
      </c>
      <c r="S129" s="4" t="s">
        <v>117</v>
      </c>
      <c r="U129" s="4">
        <v>11</v>
      </c>
      <c r="V129" s="4">
        <v>0</v>
      </c>
      <c r="W129" s="4">
        <v>0</v>
      </c>
    </row>
    <row r="130" spans="1:23" ht="11.25" customHeight="1" x14ac:dyDescent="0.25">
      <c r="A130" s="4" t="s">
        <v>21</v>
      </c>
      <c r="B130" s="4" t="s">
        <v>35</v>
      </c>
      <c r="C130" s="4" t="s">
        <v>36</v>
      </c>
      <c r="D130" s="4" t="s">
        <v>34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44501</v>
      </c>
      <c r="J130" s="6">
        <v>1974</v>
      </c>
      <c r="K130" s="6">
        <v>1974</v>
      </c>
      <c r="L130" s="6">
        <v>0</v>
      </c>
      <c r="M130" s="6">
        <v>0</v>
      </c>
      <c r="N130" s="6">
        <v>0</v>
      </c>
      <c r="O130" s="6">
        <v>0</v>
      </c>
      <c r="P130" s="6">
        <v>9</v>
      </c>
      <c r="Q130" s="4" t="s">
        <v>26</v>
      </c>
      <c r="R130" s="4">
        <v>0</v>
      </c>
      <c r="S130" s="4" t="s">
        <v>118</v>
      </c>
      <c r="U130" s="4">
        <v>11</v>
      </c>
      <c r="V130" s="4">
        <v>0</v>
      </c>
      <c r="W130" s="4">
        <v>0</v>
      </c>
    </row>
    <row r="131" spans="1:23" ht="11.25" customHeight="1" x14ac:dyDescent="0.25">
      <c r="A131" s="4" t="s">
        <v>21</v>
      </c>
      <c r="B131" s="4" t="s">
        <v>35</v>
      </c>
      <c r="C131" s="4" t="s">
        <v>36</v>
      </c>
      <c r="D131" s="4" t="s">
        <v>34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44531</v>
      </c>
      <c r="J131" s="6">
        <v>2082</v>
      </c>
      <c r="K131" s="6">
        <v>2082</v>
      </c>
      <c r="L131" s="6">
        <v>0</v>
      </c>
      <c r="M131" s="6">
        <v>0</v>
      </c>
      <c r="N131" s="6">
        <v>0</v>
      </c>
      <c r="O131" s="6">
        <v>0</v>
      </c>
      <c r="P131" s="6">
        <v>10</v>
      </c>
      <c r="Q131" s="4" t="s">
        <v>26</v>
      </c>
      <c r="R131" s="4">
        <v>0</v>
      </c>
      <c r="S131" s="4" t="s">
        <v>119</v>
      </c>
      <c r="U131" s="4">
        <v>11</v>
      </c>
      <c r="V131" s="4">
        <v>0</v>
      </c>
      <c r="W131" s="4">
        <v>0</v>
      </c>
    </row>
    <row r="132" spans="1:23" ht="11.25" customHeight="1" x14ac:dyDescent="0.25">
      <c r="A132" s="4" t="s">
        <v>21</v>
      </c>
      <c r="B132" s="4" t="s">
        <v>35</v>
      </c>
      <c r="C132" s="4" t="s">
        <v>36</v>
      </c>
      <c r="D132" s="4" t="s">
        <v>34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44562</v>
      </c>
      <c r="J132" s="6">
        <v>1848</v>
      </c>
      <c r="K132" s="6">
        <v>1848</v>
      </c>
      <c r="L132" s="6">
        <v>0</v>
      </c>
      <c r="M132" s="6">
        <v>0</v>
      </c>
      <c r="N132" s="6">
        <v>0</v>
      </c>
      <c r="O132" s="6">
        <v>0</v>
      </c>
      <c r="P132" s="6">
        <v>9</v>
      </c>
      <c r="Q132" s="4" t="s">
        <v>26</v>
      </c>
      <c r="R132" s="4">
        <v>0</v>
      </c>
      <c r="S132" s="4" t="s">
        <v>120</v>
      </c>
      <c r="U132" s="4">
        <v>11</v>
      </c>
      <c r="V132" s="4">
        <v>0</v>
      </c>
      <c r="W132" s="4">
        <v>0</v>
      </c>
    </row>
    <row r="133" spans="1:23" ht="11.25" customHeight="1" x14ac:dyDescent="0.25">
      <c r="A133" s="4" t="s">
        <v>28</v>
      </c>
      <c r="B133" s="4" t="s">
        <v>35</v>
      </c>
      <c r="C133" s="4" t="s">
        <v>36</v>
      </c>
      <c r="D133" s="4" t="s">
        <v>34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44562</v>
      </c>
      <c r="J133" s="6">
        <v>80</v>
      </c>
      <c r="K133" s="6">
        <v>80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4" t="s">
        <v>26</v>
      </c>
      <c r="R133" s="4">
        <v>0</v>
      </c>
      <c r="S133" s="4" t="s">
        <v>120</v>
      </c>
      <c r="U133" s="4">
        <v>11</v>
      </c>
      <c r="V133" s="4">
        <v>0</v>
      </c>
      <c r="W133" s="4">
        <v>0</v>
      </c>
    </row>
    <row r="134" spans="1:23" ht="11.25" customHeight="1" x14ac:dyDescent="0.25">
      <c r="A134" s="4" t="s">
        <v>21</v>
      </c>
      <c r="B134" s="4" t="s">
        <v>35</v>
      </c>
      <c r="C134" s="4" t="s">
        <v>36</v>
      </c>
      <c r="D134" s="4" t="s">
        <v>34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44593</v>
      </c>
      <c r="J134" s="6">
        <v>2251</v>
      </c>
      <c r="K134" s="6">
        <v>2251</v>
      </c>
      <c r="L134" s="6">
        <v>0</v>
      </c>
      <c r="M134" s="6">
        <v>0</v>
      </c>
      <c r="N134" s="6">
        <v>0</v>
      </c>
      <c r="O134" s="6">
        <v>0</v>
      </c>
      <c r="P134" s="6">
        <v>9</v>
      </c>
      <c r="Q134" s="4" t="s">
        <v>26</v>
      </c>
      <c r="R134" s="4">
        <v>0</v>
      </c>
      <c r="S134" s="4" t="s">
        <v>121</v>
      </c>
      <c r="U134" s="4">
        <v>11</v>
      </c>
      <c r="V134" s="4">
        <v>0</v>
      </c>
      <c r="W134" s="4">
        <v>0</v>
      </c>
    </row>
    <row r="135" spans="1:23" ht="11.25" customHeight="1" x14ac:dyDescent="0.25">
      <c r="A135" s="4" t="s">
        <v>28</v>
      </c>
      <c r="B135" s="4" t="s">
        <v>35</v>
      </c>
      <c r="C135" s="4" t="s">
        <v>36</v>
      </c>
      <c r="D135" s="4" t="s">
        <v>34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44593</v>
      </c>
      <c r="J135" s="6">
        <v>78</v>
      </c>
      <c r="K135" s="6">
        <v>78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4" t="s">
        <v>26</v>
      </c>
      <c r="R135" s="4">
        <v>0</v>
      </c>
      <c r="S135" s="4" t="s">
        <v>121</v>
      </c>
      <c r="U135" s="4">
        <v>11</v>
      </c>
      <c r="V135" s="4">
        <v>0</v>
      </c>
      <c r="W135" s="4">
        <v>0</v>
      </c>
    </row>
    <row r="136" spans="1:23" ht="11.25" customHeight="1" x14ac:dyDescent="0.25">
      <c r="A136" s="4" t="s">
        <v>21</v>
      </c>
      <c r="B136" s="4" t="s">
        <v>35</v>
      </c>
      <c r="C136" s="4" t="s">
        <v>36</v>
      </c>
      <c r="D136" s="4" t="s">
        <v>34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44621</v>
      </c>
      <c r="J136" s="6">
        <v>2865</v>
      </c>
      <c r="K136" s="6">
        <v>2865</v>
      </c>
      <c r="L136" s="6">
        <v>0</v>
      </c>
      <c r="M136" s="6">
        <v>0</v>
      </c>
      <c r="N136" s="6">
        <v>0</v>
      </c>
      <c r="O136" s="6">
        <v>0</v>
      </c>
      <c r="P136" s="6">
        <v>11</v>
      </c>
      <c r="Q136" s="4" t="s">
        <v>26</v>
      </c>
      <c r="R136" s="4">
        <v>0</v>
      </c>
      <c r="S136" s="4" t="s">
        <v>122</v>
      </c>
      <c r="U136" s="4">
        <v>11</v>
      </c>
      <c r="V136" s="4">
        <v>0</v>
      </c>
      <c r="W136" s="4">
        <v>0</v>
      </c>
    </row>
    <row r="137" spans="1:23" ht="11.25" customHeight="1" x14ac:dyDescent="0.25">
      <c r="A137" s="4" t="s">
        <v>28</v>
      </c>
      <c r="B137" s="4" t="s">
        <v>35</v>
      </c>
      <c r="C137" s="4" t="s">
        <v>36</v>
      </c>
      <c r="D137" s="4" t="s">
        <v>34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44621</v>
      </c>
      <c r="J137" s="6">
        <v>80</v>
      </c>
      <c r="K137" s="6">
        <v>80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4" t="s">
        <v>26</v>
      </c>
      <c r="R137" s="4">
        <v>0</v>
      </c>
      <c r="S137" s="4" t="s">
        <v>122</v>
      </c>
      <c r="U137" s="4">
        <v>11</v>
      </c>
      <c r="V137" s="4">
        <v>0</v>
      </c>
      <c r="W137" s="4">
        <v>0</v>
      </c>
    </row>
    <row r="138" spans="1:23" ht="11.25" customHeight="1" x14ac:dyDescent="0.25">
      <c r="A138" s="4" t="s">
        <v>21</v>
      </c>
      <c r="B138" s="4" t="s">
        <v>35</v>
      </c>
      <c r="C138" s="4" t="s">
        <v>36</v>
      </c>
      <c r="D138" s="4" t="s">
        <v>34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44652</v>
      </c>
      <c r="J138" s="6">
        <v>3403</v>
      </c>
      <c r="K138" s="6">
        <v>3403</v>
      </c>
      <c r="L138" s="6">
        <v>0</v>
      </c>
      <c r="M138" s="6">
        <v>0</v>
      </c>
      <c r="N138" s="6">
        <v>0</v>
      </c>
      <c r="O138" s="6">
        <v>0</v>
      </c>
      <c r="P138" s="6">
        <v>12</v>
      </c>
      <c r="Q138" s="4" t="s">
        <v>26</v>
      </c>
      <c r="R138" s="4">
        <v>0</v>
      </c>
      <c r="S138" s="4" t="s">
        <v>123</v>
      </c>
      <c r="U138" s="4">
        <v>11</v>
      </c>
      <c r="V138" s="4">
        <v>0</v>
      </c>
      <c r="W138" s="4">
        <v>0</v>
      </c>
    </row>
    <row r="139" spans="1:23" ht="11.25" customHeight="1" x14ac:dyDescent="0.25">
      <c r="A139" s="4" t="s">
        <v>28</v>
      </c>
      <c r="B139" s="4" t="s">
        <v>35</v>
      </c>
      <c r="C139" s="4" t="s">
        <v>36</v>
      </c>
      <c r="D139" s="4" t="s">
        <v>34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44652</v>
      </c>
      <c r="J139" s="6">
        <v>172</v>
      </c>
      <c r="K139" s="6">
        <v>172</v>
      </c>
      <c r="L139" s="6">
        <v>0</v>
      </c>
      <c r="M139" s="6">
        <v>0</v>
      </c>
      <c r="N139" s="6">
        <v>0</v>
      </c>
      <c r="O139" s="6">
        <v>0</v>
      </c>
      <c r="P139" s="6">
        <v>1</v>
      </c>
      <c r="Q139" s="4" t="s">
        <v>26</v>
      </c>
      <c r="R139" s="4">
        <v>0</v>
      </c>
      <c r="S139" s="4" t="s">
        <v>123</v>
      </c>
      <c r="U139" s="4">
        <v>11</v>
      </c>
      <c r="V139" s="4">
        <v>0</v>
      </c>
      <c r="W139" s="4">
        <v>0</v>
      </c>
    </row>
    <row r="140" spans="1:23" ht="11.25" customHeight="1" x14ac:dyDescent="0.25">
      <c r="A140" s="4" t="s">
        <v>21</v>
      </c>
      <c r="B140" s="4" t="s">
        <v>35</v>
      </c>
      <c r="C140" s="4" t="s">
        <v>36</v>
      </c>
      <c r="D140" s="4" t="s">
        <v>34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44682</v>
      </c>
      <c r="J140" s="6">
        <v>3351</v>
      </c>
      <c r="K140" s="6">
        <v>3351</v>
      </c>
      <c r="L140" s="6">
        <v>0</v>
      </c>
      <c r="M140" s="6">
        <v>0</v>
      </c>
      <c r="N140" s="6">
        <v>0</v>
      </c>
      <c r="O140" s="6">
        <v>0</v>
      </c>
      <c r="P140" s="6">
        <v>12</v>
      </c>
      <c r="Q140" s="4" t="s">
        <v>26</v>
      </c>
      <c r="R140" s="4">
        <v>0</v>
      </c>
      <c r="S140" s="4" t="s">
        <v>124</v>
      </c>
      <c r="U140" s="4">
        <v>11</v>
      </c>
      <c r="V140" s="4">
        <v>0</v>
      </c>
      <c r="W140" s="4">
        <v>0</v>
      </c>
    </row>
    <row r="141" spans="1:23" ht="11.25" customHeight="1" x14ac:dyDescent="0.25">
      <c r="A141" s="4" t="s">
        <v>28</v>
      </c>
      <c r="B141" s="4" t="s">
        <v>35</v>
      </c>
      <c r="C141" s="4" t="s">
        <v>36</v>
      </c>
      <c r="D141" s="4" t="s">
        <v>34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44682</v>
      </c>
      <c r="J141" s="6">
        <v>204</v>
      </c>
      <c r="K141" s="6">
        <v>204</v>
      </c>
      <c r="L141" s="6">
        <v>0</v>
      </c>
      <c r="M141" s="6">
        <v>0</v>
      </c>
      <c r="N141" s="6">
        <v>0</v>
      </c>
      <c r="O141" s="6">
        <v>0</v>
      </c>
      <c r="P141" s="6">
        <v>1</v>
      </c>
      <c r="Q141" s="4" t="s">
        <v>26</v>
      </c>
      <c r="R141" s="4">
        <v>0</v>
      </c>
      <c r="S141" s="4" t="s">
        <v>124</v>
      </c>
      <c r="U141" s="4">
        <v>11</v>
      </c>
      <c r="V141" s="4">
        <v>0</v>
      </c>
      <c r="W141" s="4">
        <v>0</v>
      </c>
    </row>
    <row r="142" spans="1:23" ht="11.25" customHeight="1" x14ac:dyDescent="0.25">
      <c r="A142" s="4" t="s">
        <v>21</v>
      </c>
      <c r="B142" s="4" t="s">
        <v>35</v>
      </c>
      <c r="C142" s="4" t="s">
        <v>36</v>
      </c>
      <c r="D142" s="4" t="s">
        <v>34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44713</v>
      </c>
      <c r="J142" s="6">
        <v>2401</v>
      </c>
      <c r="K142" s="6">
        <v>2401</v>
      </c>
      <c r="L142" s="6">
        <v>0</v>
      </c>
      <c r="M142" s="6">
        <v>0</v>
      </c>
      <c r="N142" s="6">
        <v>0</v>
      </c>
      <c r="O142" s="6">
        <v>0</v>
      </c>
      <c r="P142" s="6">
        <v>11</v>
      </c>
      <c r="Q142" s="4" t="s">
        <v>26</v>
      </c>
      <c r="R142" s="4">
        <v>0</v>
      </c>
      <c r="S142" s="4" t="s">
        <v>125</v>
      </c>
      <c r="U142" s="4">
        <v>11</v>
      </c>
      <c r="V142" s="4">
        <v>0</v>
      </c>
      <c r="W142" s="4">
        <v>0</v>
      </c>
    </row>
    <row r="143" spans="1:23" ht="11.25" customHeight="1" x14ac:dyDescent="0.25">
      <c r="A143" s="4" t="s">
        <v>28</v>
      </c>
      <c r="B143" s="4" t="s">
        <v>35</v>
      </c>
      <c r="C143" s="4" t="s">
        <v>36</v>
      </c>
      <c r="D143" s="4" t="s">
        <v>34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44713</v>
      </c>
      <c r="J143" s="6">
        <v>199</v>
      </c>
      <c r="K143" s="6">
        <v>199</v>
      </c>
      <c r="L143" s="6">
        <v>0</v>
      </c>
      <c r="M143" s="6">
        <v>0</v>
      </c>
      <c r="N143" s="6">
        <v>0</v>
      </c>
      <c r="O143" s="6">
        <v>0</v>
      </c>
      <c r="P143" s="6">
        <v>1</v>
      </c>
      <c r="Q143" s="4" t="s">
        <v>26</v>
      </c>
      <c r="R143" s="4">
        <v>0</v>
      </c>
      <c r="S143" s="4" t="s">
        <v>125</v>
      </c>
      <c r="U143" s="4">
        <v>11</v>
      </c>
      <c r="V143" s="4">
        <v>0</v>
      </c>
      <c r="W143" s="4">
        <v>0</v>
      </c>
    </row>
    <row r="144" spans="1:23" ht="11.25" customHeight="1" x14ac:dyDescent="0.25">
      <c r="A144" s="4" t="s">
        <v>21</v>
      </c>
      <c r="B144" s="4" t="s">
        <v>35</v>
      </c>
      <c r="C144" s="4" t="s">
        <v>36</v>
      </c>
      <c r="D144" s="4" t="s">
        <v>34</v>
      </c>
      <c r="E144" s="4" t="s">
        <v>25</v>
      </c>
      <c r="F144" s="4" t="s">
        <v>25</v>
      </c>
      <c r="G144" s="4" t="s">
        <v>25</v>
      </c>
      <c r="H144" s="4" t="s">
        <v>37</v>
      </c>
      <c r="I144" s="5">
        <v>44378</v>
      </c>
      <c r="J144" s="6">
        <v>0</v>
      </c>
      <c r="K144" s="6">
        <v>0</v>
      </c>
      <c r="L144" s="6">
        <v>19.803999999999998</v>
      </c>
      <c r="M144" s="6">
        <v>19.803999999999998</v>
      </c>
      <c r="N144" s="6">
        <v>19.803999999999998</v>
      </c>
      <c r="O144" s="6">
        <v>19.803999999999998</v>
      </c>
      <c r="P144" s="6">
        <v>0</v>
      </c>
      <c r="Q144" s="4" t="s">
        <v>26</v>
      </c>
      <c r="R144" s="4">
        <v>0</v>
      </c>
      <c r="S144" s="4" t="s">
        <v>126</v>
      </c>
      <c r="T144" s="4" t="s">
        <v>256</v>
      </c>
      <c r="U144" s="4">
        <v>0</v>
      </c>
      <c r="V144" s="4">
        <v>7</v>
      </c>
      <c r="W144" s="4">
        <v>41</v>
      </c>
    </row>
    <row r="145" spans="1:23" ht="11.25" customHeight="1" x14ac:dyDescent="0.25">
      <c r="A145" s="4" t="s">
        <v>21</v>
      </c>
      <c r="B145" s="4" t="s">
        <v>35</v>
      </c>
      <c r="C145" s="4" t="s">
        <v>36</v>
      </c>
      <c r="D145" s="4" t="s">
        <v>34</v>
      </c>
      <c r="E145" s="4" t="s">
        <v>25</v>
      </c>
      <c r="F145" s="4" t="s">
        <v>25</v>
      </c>
      <c r="G145" s="4" t="s">
        <v>25</v>
      </c>
      <c r="H145" s="4" t="s">
        <v>37</v>
      </c>
      <c r="I145" s="5">
        <v>44409</v>
      </c>
      <c r="J145" s="6">
        <v>0</v>
      </c>
      <c r="K145" s="6">
        <v>0</v>
      </c>
      <c r="L145" s="6">
        <v>19.786999999999999</v>
      </c>
      <c r="M145" s="6">
        <v>19.786999999999999</v>
      </c>
      <c r="N145" s="6">
        <v>19.786999999999999</v>
      </c>
      <c r="O145" s="6">
        <v>19.786999999999999</v>
      </c>
      <c r="P145" s="6">
        <v>0</v>
      </c>
      <c r="Q145" s="4" t="s">
        <v>26</v>
      </c>
      <c r="R145" s="4">
        <v>0</v>
      </c>
      <c r="S145" s="4" t="s">
        <v>127</v>
      </c>
      <c r="T145" s="4" t="s">
        <v>257</v>
      </c>
      <c r="U145" s="4">
        <v>0</v>
      </c>
      <c r="V145" s="4">
        <v>7</v>
      </c>
      <c r="W145" s="4">
        <v>41</v>
      </c>
    </row>
    <row r="146" spans="1:23" ht="11.25" customHeight="1" x14ac:dyDescent="0.25">
      <c r="A146" s="4" t="s">
        <v>21</v>
      </c>
      <c r="B146" s="4" t="s">
        <v>35</v>
      </c>
      <c r="C146" s="4" t="s">
        <v>36</v>
      </c>
      <c r="D146" s="4" t="s">
        <v>34</v>
      </c>
      <c r="E146" s="4" t="s">
        <v>25</v>
      </c>
      <c r="F146" s="4" t="s">
        <v>25</v>
      </c>
      <c r="G146" s="4" t="s">
        <v>25</v>
      </c>
      <c r="H146" s="4" t="s">
        <v>37</v>
      </c>
      <c r="I146" s="5">
        <v>44440</v>
      </c>
      <c r="J146" s="6">
        <v>0</v>
      </c>
      <c r="K146" s="6">
        <v>0</v>
      </c>
      <c r="L146" s="6">
        <v>21.138000000000002</v>
      </c>
      <c r="M146" s="6">
        <v>21.138000000000002</v>
      </c>
      <c r="N146" s="6">
        <v>21.138000000000002</v>
      </c>
      <c r="O146" s="6">
        <v>21.138000000000002</v>
      </c>
      <c r="P146" s="6">
        <v>0</v>
      </c>
      <c r="Q146" s="4" t="s">
        <v>26</v>
      </c>
      <c r="R146" s="4">
        <v>0</v>
      </c>
      <c r="S146" s="4" t="s">
        <v>128</v>
      </c>
      <c r="T146" s="4" t="s">
        <v>258</v>
      </c>
      <c r="U146" s="4">
        <v>0</v>
      </c>
      <c r="V146" s="4">
        <v>7</v>
      </c>
      <c r="W146" s="4">
        <v>41</v>
      </c>
    </row>
    <row r="147" spans="1:23" ht="11.25" customHeight="1" x14ac:dyDescent="0.25">
      <c r="A147" s="4" t="s">
        <v>21</v>
      </c>
      <c r="B147" s="4" t="s">
        <v>35</v>
      </c>
      <c r="C147" s="4" t="s">
        <v>36</v>
      </c>
      <c r="D147" s="4" t="s">
        <v>34</v>
      </c>
      <c r="E147" s="4" t="s">
        <v>25</v>
      </c>
      <c r="F147" s="4" t="s">
        <v>25</v>
      </c>
      <c r="G147" s="4" t="s">
        <v>25</v>
      </c>
      <c r="H147" s="4" t="s">
        <v>37</v>
      </c>
      <c r="I147" s="5">
        <v>44470</v>
      </c>
      <c r="J147" s="6">
        <v>0</v>
      </c>
      <c r="K147" s="6">
        <v>0</v>
      </c>
      <c r="L147" s="6">
        <v>20.082999999999998</v>
      </c>
      <c r="M147" s="6">
        <v>20.082999999999998</v>
      </c>
      <c r="N147" s="6">
        <v>20.082999999999998</v>
      </c>
      <c r="O147" s="6">
        <v>20.082999999999998</v>
      </c>
      <c r="P147" s="6">
        <v>0</v>
      </c>
      <c r="Q147" s="4" t="s">
        <v>26</v>
      </c>
      <c r="R147" s="4">
        <v>0</v>
      </c>
      <c r="S147" s="4" t="s">
        <v>129</v>
      </c>
      <c r="T147" s="4" t="s">
        <v>259</v>
      </c>
      <c r="U147" s="4">
        <v>0</v>
      </c>
      <c r="V147" s="4">
        <v>7</v>
      </c>
      <c r="W147" s="4">
        <v>41</v>
      </c>
    </row>
    <row r="148" spans="1:23" ht="11.25" customHeight="1" x14ac:dyDescent="0.25">
      <c r="A148" s="4" t="s">
        <v>21</v>
      </c>
      <c r="B148" s="4" t="s">
        <v>35</v>
      </c>
      <c r="C148" s="4" t="s">
        <v>36</v>
      </c>
      <c r="D148" s="4" t="s">
        <v>34</v>
      </c>
      <c r="E148" s="4" t="s">
        <v>25</v>
      </c>
      <c r="F148" s="4" t="s">
        <v>25</v>
      </c>
      <c r="G148" s="4" t="s">
        <v>25</v>
      </c>
      <c r="H148" s="4" t="s">
        <v>37</v>
      </c>
      <c r="I148" s="5">
        <v>44501</v>
      </c>
      <c r="J148" s="6">
        <v>0</v>
      </c>
      <c r="K148" s="6">
        <v>0</v>
      </c>
      <c r="L148" s="6">
        <v>24.431000000000001</v>
      </c>
      <c r="M148" s="6">
        <v>24.431000000000001</v>
      </c>
      <c r="N148" s="6">
        <v>24.431000000000001</v>
      </c>
      <c r="O148" s="6">
        <v>24.431000000000001</v>
      </c>
      <c r="P148" s="6">
        <v>0</v>
      </c>
      <c r="Q148" s="4" t="s">
        <v>26</v>
      </c>
      <c r="R148" s="4">
        <v>0</v>
      </c>
      <c r="S148" s="4" t="s">
        <v>130</v>
      </c>
      <c r="T148" s="4" t="s">
        <v>260</v>
      </c>
      <c r="U148" s="4">
        <v>0</v>
      </c>
      <c r="V148" s="4">
        <v>7</v>
      </c>
      <c r="W148" s="4">
        <v>41</v>
      </c>
    </row>
    <row r="149" spans="1:23" ht="11.25" customHeight="1" x14ac:dyDescent="0.25">
      <c r="A149" s="4" t="s">
        <v>21</v>
      </c>
      <c r="B149" s="4" t="s">
        <v>35</v>
      </c>
      <c r="C149" s="4" t="s">
        <v>36</v>
      </c>
      <c r="D149" s="4" t="s">
        <v>34</v>
      </c>
      <c r="E149" s="4" t="s">
        <v>25</v>
      </c>
      <c r="F149" s="4" t="s">
        <v>25</v>
      </c>
      <c r="G149" s="4" t="s">
        <v>25</v>
      </c>
      <c r="H149" s="4" t="s">
        <v>37</v>
      </c>
      <c r="I149" s="5">
        <v>44531</v>
      </c>
      <c r="J149" s="6">
        <v>0</v>
      </c>
      <c r="K149" s="6">
        <v>0</v>
      </c>
      <c r="L149" s="6">
        <v>22.405000000000001</v>
      </c>
      <c r="M149" s="6">
        <v>22.405000000000001</v>
      </c>
      <c r="N149" s="6">
        <v>22.405000000000001</v>
      </c>
      <c r="O149" s="6">
        <v>22.405000000000001</v>
      </c>
      <c r="P149" s="6">
        <v>0</v>
      </c>
      <c r="Q149" s="4" t="s">
        <v>26</v>
      </c>
      <c r="R149" s="4">
        <v>0</v>
      </c>
      <c r="S149" s="4" t="s">
        <v>131</v>
      </c>
      <c r="T149" s="4" t="s">
        <v>261</v>
      </c>
      <c r="U149" s="4">
        <v>0</v>
      </c>
      <c r="V149" s="4">
        <v>7</v>
      </c>
      <c r="W149" s="4">
        <v>41</v>
      </c>
    </row>
    <row r="150" spans="1:23" ht="11.25" customHeight="1" x14ac:dyDescent="0.25">
      <c r="A150" s="4" t="s">
        <v>21</v>
      </c>
      <c r="B150" s="4" t="s">
        <v>35</v>
      </c>
      <c r="C150" s="4" t="s">
        <v>36</v>
      </c>
      <c r="D150" s="4" t="s">
        <v>34</v>
      </c>
      <c r="E150" s="4" t="s">
        <v>25</v>
      </c>
      <c r="F150" s="4" t="s">
        <v>25</v>
      </c>
      <c r="G150" s="4" t="s">
        <v>25</v>
      </c>
      <c r="H150" s="4" t="s">
        <v>37</v>
      </c>
      <c r="I150" s="5">
        <v>44562</v>
      </c>
      <c r="J150" s="6">
        <v>0</v>
      </c>
      <c r="K150" s="6">
        <v>0</v>
      </c>
      <c r="L150" s="6">
        <v>26.715</v>
      </c>
      <c r="M150" s="6">
        <v>26.715</v>
      </c>
      <c r="N150" s="6">
        <v>26.715</v>
      </c>
      <c r="O150" s="6">
        <v>26.715</v>
      </c>
      <c r="P150" s="6">
        <v>0</v>
      </c>
      <c r="Q150" s="4" t="s">
        <v>26</v>
      </c>
      <c r="R150" s="4">
        <v>0</v>
      </c>
      <c r="S150" s="4" t="s">
        <v>132</v>
      </c>
      <c r="T150" s="4" t="s">
        <v>262</v>
      </c>
      <c r="U150" s="4">
        <v>0</v>
      </c>
      <c r="V150" s="4">
        <v>7</v>
      </c>
      <c r="W150" s="4">
        <v>41</v>
      </c>
    </row>
    <row r="151" spans="1:23" ht="11.25" customHeight="1" x14ac:dyDescent="0.25">
      <c r="A151" s="4" t="s">
        <v>21</v>
      </c>
      <c r="B151" s="4" t="s">
        <v>35</v>
      </c>
      <c r="C151" s="4" t="s">
        <v>36</v>
      </c>
      <c r="D151" s="4" t="s">
        <v>34</v>
      </c>
      <c r="E151" s="4" t="s">
        <v>25</v>
      </c>
      <c r="F151" s="4" t="s">
        <v>25</v>
      </c>
      <c r="G151" s="4" t="s">
        <v>25</v>
      </c>
      <c r="H151" s="4" t="s">
        <v>37</v>
      </c>
      <c r="I151" s="5">
        <v>44593</v>
      </c>
      <c r="J151" s="6">
        <v>0</v>
      </c>
      <c r="K151" s="6">
        <v>0</v>
      </c>
      <c r="L151" s="6">
        <v>25.806000000000001</v>
      </c>
      <c r="M151" s="6">
        <v>25.806000000000001</v>
      </c>
      <c r="N151" s="6">
        <v>25.806000000000001</v>
      </c>
      <c r="O151" s="6">
        <v>25.806000000000001</v>
      </c>
      <c r="P151" s="6">
        <v>0</v>
      </c>
      <c r="Q151" s="4" t="s">
        <v>26</v>
      </c>
      <c r="R151" s="4">
        <v>0</v>
      </c>
      <c r="S151" s="4" t="s">
        <v>133</v>
      </c>
      <c r="T151" s="4" t="s">
        <v>241</v>
      </c>
      <c r="U151" s="4">
        <v>0</v>
      </c>
      <c r="V151" s="4">
        <v>7</v>
      </c>
      <c r="W151" s="4">
        <v>41</v>
      </c>
    </row>
    <row r="152" spans="1:23" ht="11.25" customHeight="1" x14ac:dyDescent="0.25">
      <c r="A152" s="4" t="s">
        <v>21</v>
      </c>
      <c r="B152" s="4" t="s">
        <v>35</v>
      </c>
      <c r="C152" s="4" t="s">
        <v>36</v>
      </c>
      <c r="D152" s="4" t="s">
        <v>34</v>
      </c>
      <c r="E152" s="4" t="s">
        <v>25</v>
      </c>
      <c r="F152" s="4" t="s">
        <v>25</v>
      </c>
      <c r="G152" s="4" t="s">
        <v>25</v>
      </c>
      <c r="H152" s="4" t="s">
        <v>37</v>
      </c>
      <c r="I152" s="5">
        <v>44621</v>
      </c>
      <c r="J152" s="6">
        <v>0</v>
      </c>
      <c r="K152" s="6">
        <v>0</v>
      </c>
      <c r="L152" s="6">
        <v>47.436</v>
      </c>
      <c r="M152" s="6">
        <v>47.436</v>
      </c>
      <c r="N152" s="6">
        <v>47.436</v>
      </c>
      <c r="O152" s="6">
        <v>47.436</v>
      </c>
      <c r="P152" s="6">
        <v>0</v>
      </c>
      <c r="Q152" s="4" t="s">
        <v>26</v>
      </c>
      <c r="R152" s="4">
        <v>0</v>
      </c>
      <c r="S152" s="4" t="s">
        <v>134</v>
      </c>
      <c r="T152" s="4" t="s">
        <v>242</v>
      </c>
      <c r="U152" s="4">
        <v>0</v>
      </c>
      <c r="V152" s="4">
        <v>7</v>
      </c>
      <c r="W152" s="4">
        <v>41</v>
      </c>
    </row>
    <row r="153" spans="1:23" ht="11.25" customHeight="1" x14ac:dyDescent="0.25">
      <c r="A153" s="4" t="s">
        <v>21</v>
      </c>
      <c r="B153" s="4" t="s">
        <v>35</v>
      </c>
      <c r="C153" s="4" t="s">
        <v>36</v>
      </c>
      <c r="D153" s="4" t="s">
        <v>34</v>
      </c>
      <c r="E153" s="4" t="s">
        <v>25</v>
      </c>
      <c r="F153" s="4" t="s">
        <v>25</v>
      </c>
      <c r="G153" s="4" t="s">
        <v>25</v>
      </c>
      <c r="H153" s="4" t="s">
        <v>37</v>
      </c>
      <c r="I153" s="5">
        <v>44652</v>
      </c>
      <c r="J153" s="6">
        <v>0</v>
      </c>
      <c r="K153" s="6">
        <v>0</v>
      </c>
      <c r="L153" s="6">
        <v>59.216000000000001</v>
      </c>
      <c r="M153" s="6">
        <v>59.216000000000001</v>
      </c>
      <c r="N153" s="6">
        <v>59.216000000000001</v>
      </c>
      <c r="O153" s="6">
        <v>59.216000000000001</v>
      </c>
      <c r="P153" s="6">
        <v>0</v>
      </c>
      <c r="Q153" s="4" t="s">
        <v>26</v>
      </c>
      <c r="R153" s="4">
        <v>0</v>
      </c>
      <c r="S153" s="4" t="s">
        <v>135</v>
      </c>
      <c r="T153" s="4" t="s">
        <v>243</v>
      </c>
      <c r="U153" s="4">
        <v>0</v>
      </c>
      <c r="V153" s="4">
        <v>7</v>
      </c>
      <c r="W153" s="4">
        <v>41</v>
      </c>
    </row>
    <row r="154" spans="1:23" ht="11.25" customHeight="1" x14ac:dyDescent="0.25">
      <c r="A154" s="4" t="s">
        <v>21</v>
      </c>
      <c r="B154" s="4" t="s">
        <v>35</v>
      </c>
      <c r="C154" s="4" t="s">
        <v>36</v>
      </c>
      <c r="D154" s="4" t="s">
        <v>34</v>
      </c>
      <c r="E154" s="4" t="s">
        <v>25</v>
      </c>
      <c r="F154" s="4" t="s">
        <v>25</v>
      </c>
      <c r="G154" s="4" t="s">
        <v>25</v>
      </c>
      <c r="H154" s="4" t="s">
        <v>37</v>
      </c>
      <c r="I154" s="5">
        <v>44682</v>
      </c>
      <c r="J154" s="6">
        <v>0</v>
      </c>
      <c r="K154" s="6">
        <v>0</v>
      </c>
      <c r="L154" s="6">
        <v>49.643000000000001</v>
      </c>
      <c r="M154" s="6">
        <v>49.643000000000001</v>
      </c>
      <c r="N154" s="6">
        <v>49.643000000000001</v>
      </c>
      <c r="O154" s="6">
        <v>49.643000000000001</v>
      </c>
      <c r="P154" s="6">
        <v>0</v>
      </c>
      <c r="Q154" s="4" t="s">
        <v>26</v>
      </c>
      <c r="R154" s="4">
        <v>0</v>
      </c>
      <c r="S154" s="4" t="s">
        <v>136</v>
      </c>
      <c r="T154" s="4" t="s">
        <v>244</v>
      </c>
      <c r="U154" s="4">
        <v>0</v>
      </c>
      <c r="V154" s="4">
        <v>7</v>
      </c>
      <c r="W154" s="4">
        <v>41</v>
      </c>
    </row>
    <row r="155" spans="1:23" ht="11.25" customHeight="1" x14ac:dyDescent="0.25">
      <c r="A155" s="4" t="s">
        <v>27</v>
      </c>
      <c r="B155" s="4" t="s">
        <v>35</v>
      </c>
      <c r="C155" s="4" t="s">
        <v>36</v>
      </c>
      <c r="D155" s="4" t="s">
        <v>34</v>
      </c>
      <c r="E155" s="4" t="s">
        <v>25</v>
      </c>
      <c r="F155" s="4" t="s">
        <v>25</v>
      </c>
      <c r="G155" s="4" t="s">
        <v>25</v>
      </c>
      <c r="H155" s="4" t="s">
        <v>37</v>
      </c>
      <c r="I155" s="5">
        <v>44682</v>
      </c>
      <c r="J155" s="6">
        <v>0</v>
      </c>
      <c r="K155" s="6">
        <v>0</v>
      </c>
      <c r="L155" s="6">
        <v>-4.9020000000000001</v>
      </c>
      <c r="M155" s="6">
        <v>-4.9020000000000001</v>
      </c>
      <c r="N155" s="6">
        <v>-4.9020000000000001</v>
      </c>
      <c r="O155" s="6">
        <v>-4.9020000000000001</v>
      </c>
      <c r="P155" s="6">
        <v>0</v>
      </c>
      <c r="Q155" s="4" t="s">
        <v>26</v>
      </c>
      <c r="R155" s="4">
        <v>0</v>
      </c>
      <c r="S155" s="4" t="s">
        <v>136</v>
      </c>
      <c r="T155" s="4" t="s">
        <v>244</v>
      </c>
      <c r="U155" s="4">
        <v>0</v>
      </c>
      <c r="V155" s="4">
        <v>7</v>
      </c>
      <c r="W155" s="4">
        <v>41</v>
      </c>
    </row>
    <row r="156" spans="1:23" ht="11.25" customHeight="1" x14ac:dyDescent="0.25">
      <c r="A156" s="4" t="s">
        <v>21</v>
      </c>
      <c r="B156" s="4" t="s">
        <v>35</v>
      </c>
      <c r="C156" s="4" t="s">
        <v>36</v>
      </c>
      <c r="D156" s="4" t="s">
        <v>34</v>
      </c>
      <c r="E156" s="4" t="s">
        <v>25</v>
      </c>
      <c r="F156" s="4" t="s">
        <v>25</v>
      </c>
      <c r="G156" s="4" t="s">
        <v>25</v>
      </c>
      <c r="H156" s="4" t="s">
        <v>37</v>
      </c>
      <c r="I156" s="5">
        <v>44713</v>
      </c>
      <c r="J156" s="6">
        <v>0</v>
      </c>
      <c r="K156" s="6">
        <v>0</v>
      </c>
      <c r="L156" s="6">
        <v>24.045000000000002</v>
      </c>
      <c r="M156" s="6">
        <v>24.045000000000002</v>
      </c>
      <c r="N156" s="6">
        <v>24.045000000000002</v>
      </c>
      <c r="O156" s="6">
        <v>24.045000000000002</v>
      </c>
      <c r="P156" s="6">
        <v>0</v>
      </c>
      <c r="Q156" s="4" t="s">
        <v>26</v>
      </c>
      <c r="R156" s="4">
        <v>0</v>
      </c>
      <c r="S156" s="4" t="s">
        <v>137</v>
      </c>
      <c r="T156" s="4" t="s">
        <v>236</v>
      </c>
      <c r="U156" s="4">
        <v>0</v>
      </c>
      <c r="V156" s="4">
        <v>7</v>
      </c>
      <c r="W156" s="4">
        <v>41</v>
      </c>
    </row>
    <row r="157" spans="1:23" ht="11.25" customHeight="1" x14ac:dyDescent="0.25">
      <c r="A157" s="4" t="s">
        <v>28</v>
      </c>
      <c r="B157" s="4" t="s">
        <v>35</v>
      </c>
      <c r="C157" s="4" t="s">
        <v>36</v>
      </c>
      <c r="D157" s="4" t="s">
        <v>34</v>
      </c>
      <c r="E157" s="4" t="s">
        <v>25</v>
      </c>
      <c r="F157" s="4" t="s">
        <v>25</v>
      </c>
      <c r="G157" s="4" t="s">
        <v>25</v>
      </c>
      <c r="H157" s="4" t="s">
        <v>37</v>
      </c>
      <c r="I157" s="5">
        <v>44713</v>
      </c>
      <c r="J157" s="6">
        <v>0</v>
      </c>
      <c r="K157" s="6">
        <v>0</v>
      </c>
      <c r="L157" s="6">
        <v>1.319</v>
      </c>
      <c r="M157" s="6">
        <v>1.319</v>
      </c>
      <c r="N157" s="6">
        <v>1.319</v>
      </c>
      <c r="O157" s="6">
        <v>1.319</v>
      </c>
      <c r="P157" s="6">
        <v>0</v>
      </c>
      <c r="Q157" s="4" t="s">
        <v>26</v>
      </c>
      <c r="R157" s="4">
        <v>0</v>
      </c>
      <c r="S157" s="4" t="s">
        <v>137</v>
      </c>
      <c r="T157" s="4" t="s">
        <v>236</v>
      </c>
      <c r="U157" s="4">
        <v>0</v>
      </c>
      <c r="V157" s="4">
        <v>7</v>
      </c>
      <c r="W157" s="4">
        <v>41</v>
      </c>
    </row>
    <row r="158" spans="1:23" ht="11.25" customHeight="1" x14ac:dyDescent="0.25">
      <c r="A158" s="4" t="s">
        <v>21</v>
      </c>
      <c r="B158" s="4" t="s">
        <v>35</v>
      </c>
      <c r="C158" s="4" t="s">
        <v>36</v>
      </c>
      <c r="D158" s="4" t="s">
        <v>41</v>
      </c>
      <c r="E158" s="4" t="s">
        <v>49</v>
      </c>
      <c r="F158" s="4" t="s">
        <v>51</v>
      </c>
      <c r="G158" s="4" t="s">
        <v>25</v>
      </c>
      <c r="H158" s="4" t="s">
        <v>38</v>
      </c>
      <c r="I158" s="5">
        <v>44378</v>
      </c>
      <c r="J158" s="6">
        <v>0</v>
      </c>
      <c r="K158" s="6">
        <v>0</v>
      </c>
      <c r="L158" s="6">
        <v>17.12</v>
      </c>
      <c r="M158" s="6">
        <v>5.1360000000000001</v>
      </c>
      <c r="N158" s="6">
        <v>17.12</v>
      </c>
      <c r="O158" s="6">
        <v>5.1360000000000001</v>
      </c>
      <c r="P158" s="6">
        <v>0</v>
      </c>
      <c r="Q158" s="4" t="s">
        <v>26</v>
      </c>
      <c r="R158" s="4">
        <v>0</v>
      </c>
      <c r="S158" s="4" t="s">
        <v>102</v>
      </c>
      <c r="T158" s="4" t="s">
        <v>245</v>
      </c>
      <c r="U158" s="4">
        <v>0</v>
      </c>
      <c r="V158" s="4">
        <v>15</v>
      </c>
      <c r="W158" s="4">
        <v>28</v>
      </c>
    </row>
    <row r="159" spans="1:23" ht="11.25" customHeight="1" x14ac:dyDescent="0.25">
      <c r="A159" s="4" t="s">
        <v>21</v>
      </c>
      <c r="B159" s="4" t="s">
        <v>35</v>
      </c>
      <c r="C159" s="4" t="s">
        <v>36</v>
      </c>
      <c r="D159" s="4" t="s">
        <v>41</v>
      </c>
      <c r="E159" s="4" t="s">
        <v>49</v>
      </c>
      <c r="F159" s="4" t="s">
        <v>51</v>
      </c>
      <c r="G159" s="4" t="s">
        <v>25</v>
      </c>
      <c r="H159" s="4" t="s">
        <v>38</v>
      </c>
      <c r="I159" s="5">
        <v>44409</v>
      </c>
      <c r="J159" s="6">
        <v>0</v>
      </c>
      <c r="K159" s="6">
        <v>0</v>
      </c>
      <c r="L159" s="6">
        <v>27.2</v>
      </c>
      <c r="M159" s="6">
        <v>8.16</v>
      </c>
      <c r="N159" s="6">
        <v>27.2</v>
      </c>
      <c r="O159" s="6">
        <v>8.16</v>
      </c>
      <c r="P159" s="6">
        <v>0</v>
      </c>
      <c r="Q159" s="4" t="s">
        <v>26</v>
      </c>
      <c r="R159" s="4">
        <v>0</v>
      </c>
      <c r="S159" s="4" t="s">
        <v>103</v>
      </c>
      <c r="T159" s="4" t="s">
        <v>246</v>
      </c>
      <c r="U159" s="4">
        <v>0</v>
      </c>
      <c r="V159" s="4">
        <v>15</v>
      </c>
      <c r="W159" s="4">
        <v>28</v>
      </c>
    </row>
    <row r="160" spans="1:23" ht="11.25" customHeight="1" x14ac:dyDescent="0.25">
      <c r="A160" s="4" t="s">
        <v>21</v>
      </c>
      <c r="B160" s="4" t="s">
        <v>35</v>
      </c>
      <c r="C160" s="4" t="s">
        <v>36</v>
      </c>
      <c r="D160" s="4" t="s">
        <v>41</v>
      </c>
      <c r="E160" s="4" t="s">
        <v>49</v>
      </c>
      <c r="F160" s="4" t="s">
        <v>51</v>
      </c>
      <c r="G160" s="4" t="s">
        <v>25</v>
      </c>
      <c r="H160" s="4" t="s">
        <v>38</v>
      </c>
      <c r="I160" s="5">
        <v>44440</v>
      </c>
      <c r="J160" s="6">
        <v>0</v>
      </c>
      <c r="K160" s="6">
        <v>0</v>
      </c>
      <c r="L160" s="6">
        <v>19.091000000000001</v>
      </c>
      <c r="M160" s="6">
        <v>5.7272999999999996</v>
      </c>
      <c r="N160" s="6">
        <v>19.091000000000001</v>
      </c>
      <c r="O160" s="6">
        <v>5.7272999999999996</v>
      </c>
      <c r="P160" s="6">
        <v>0</v>
      </c>
      <c r="Q160" s="4" t="s">
        <v>26</v>
      </c>
      <c r="R160" s="4">
        <v>0</v>
      </c>
      <c r="S160" s="4" t="s">
        <v>104</v>
      </c>
      <c r="T160" s="4" t="s">
        <v>247</v>
      </c>
      <c r="U160" s="4">
        <v>0</v>
      </c>
      <c r="V160" s="4">
        <v>15</v>
      </c>
      <c r="W160" s="4">
        <v>28</v>
      </c>
    </row>
    <row r="161" spans="1:23" ht="11.25" customHeight="1" x14ac:dyDescent="0.25">
      <c r="A161" s="4" t="s">
        <v>21</v>
      </c>
      <c r="B161" s="4" t="s">
        <v>35</v>
      </c>
      <c r="C161" s="4" t="s">
        <v>36</v>
      </c>
      <c r="D161" s="4" t="s">
        <v>41</v>
      </c>
      <c r="E161" s="4" t="s">
        <v>49</v>
      </c>
      <c r="F161" s="4" t="s">
        <v>51</v>
      </c>
      <c r="G161" s="4" t="s">
        <v>25</v>
      </c>
      <c r="H161" s="4" t="s">
        <v>38</v>
      </c>
      <c r="I161" s="5">
        <v>44470</v>
      </c>
      <c r="J161" s="6">
        <v>0</v>
      </c>
      <c r="K161" s="6">
        <v>0</v>
      </c>
      <c r="L161" s="6">
        <v>33.917999999999999</v>
      </c>
      <c r="M161" s="6">
        <v>10.1754</v>
      </c>
      <c r="N161" s="6">
        <v>33.917999999999999</v>
      </c>
      <c r="O161" s="6">
        <v>10.1754</v>
      </c>
      <c r="P161" s="6">
        <v>0</v>
      </c>
      <c r="Q161" s="4" t="s">
        <v>26</v>
      </c>
      <c r="R161" s="4">
        <v>0</v>
      </c>
      <c r="S161" s="4" t="s">
        <v>105</v>
      </c>
      <c r="T161" s="4" t="s">
        <v>248</v>
      </c>
      <c r="U161" s="4">
        <v>0</v>
      </c>
      <c r="V161" s="4">
        <v>15</v>
      </c>
      <c r="W161" s="4">
        <v>28</v>
      </c>
    </row>
    <row r="162" spans="1:23" ht="11.25" customHeight="1" x14ac:dyDescent="0.25">
      <c r="A162" s="4" t="s">
        <v>21</v>
      </c>
      <c r="B162" s="4" t="s">
        <v>35</v>
      </c>
      <c r="C162" s="4" t="s">
        <v>36</v>
      </c>
      <c r="D162" s="4" t="s">
        <v>41</v>
      </c>
      <c r="E162" s="4" t="s">
        <v>49</v>
      </c>
      <c r="F162" s="4" t="s">
        <v>51</v>
      </c>
      <c r="G162" s="4" t="s">
        <v>25</v>
      </c>
      <c r="H162" s="4" t="s">
        <v>38</v>
      </c>
      <c r="I162" s="5">
        <v>44501</v>
      </c>
      <c r="J162" s="6">
        <v>0</v>
      </c>
      <c r="K162" s="6">
        <v>0</v>
      </c>
      <c r="L162" s="6">
        <v>313.84899999999999</v>
      </c>
      <c r="M162" s="6">
        <v>94.154700000000005</v>
      </c>
      <c r="N162" s="6">
        <v>313.84899999999999</v>
      </c>
      <c r="O162" s="6">
        <v>94.154700000000005</v>
      </c>
      <c r="P162" s="6">
        <v>0</v>
      </c>
      <c r="Q162" s="4" t="s">
        <v>26</v>
      </c>
      <c r="R162" s="4">
        <v>0</v>
      </c>
      <c r="S162" s="4" t="s">
        <v>106</v>
      </c>
      <c r="T162" s="4" t="s">
        <v>249</v>
      </c>
      <c r="U162" s="4">
        <v>0</v>
      </c>
      <c r="V162" s="4">
        <v>15</v>
      </c>
      <c r="W162" s="4">
        <v>28</v>
      </c>
    </row>
    <row r="163" spans="1:23" ht="11.25" customHeight="1" x14ac:dyDescent="0.25">
      <c r="A163" s="4" t="s">
        <v>21</v>
      </c>
      <c r="B163" s="4" t="s">
        <v>35</v>
      </c>
      <c r="C163" s="4" t="s">
        <v>36</v>
      </c>
      <c r="D163" s="4" t="s">
        <v>41</v>
      </c>
      <c r="E163" s="4" t="s">
        <v>49</v>
      </c>
      <c r="F163" s="4" t="s">
        <v>51</v>
      </c>
      <c r="G163" s="4" t="s">
        <v>25</v>
      </c>
      <c r="H163" s="4" t="s">
        <v>38</v>
      </c>
      <c r="I163" s="5">
        <v>44531</v>
      </c>
      <c r="J163" s="6">
        <v>0</v>
      </c>
      <c r="K163" s="6">
        <v>0</v>
      </c>
      <c r="L163" s="6">
        <v>439.04</v>
      </c>
      <c r="M163" s="6">
        <v>131.71199999999999</v>
      </c>
      <c r="N163" s="6">
        <v>439.04</v>
      </c>
      <c r="O163" s="6">
        <v>131.71199999999999</v>
      </c>
      <c r="P163" s="6">
        <v>0</v>
      </c>
      <c r="Q163" s="4" t="s">
        <v>26</v>
      </c>
      <c r="R163" s="4">
        <v>0</v>
      </c>
      <c r="S163" s="4" t="s">
        <v>107</v>
      </c>
      <c r="T163" s="4" t="s">
        <v>250</v>
      </c>
      <c r="U163" s="4">
        <v>0</v>
      </c>
      <c r="V163" s="4">
        <v>15</v>
      </c>
      <c r="W163" s="4">
        <v>28</v>
      </c>
    </row>
    <row r="164" spans="1:23" ht="11.25" customHeight="1" x14ac:dyDescent="0.25">
      <c r="A164" s="4" t="s">
        <v>21</v>
      </c>
      <c r="B164" s="4" t="s">
        <v>35</v>
      </c>
      <c r="C164" s="4" t="s">
        <v>36</v>
      </c>
      <c r="D164" s="4" t="s">
        <v>41</v>
      </c>
      <c r="E164" s="4" t="s">
        <v>49</v>
      </c>
      <c r="F164" s="4" t="s">
        <v>51</v>
      </c>
      <c r="G164" s="4" t="s">
        <v>25</v>
      </c>
      <c r="H164" s="4" t="s">
        <v>38</v>
      </c>
      <c r="I164" s="5">
        <v>44562</v>
      </c>
      <c r="J164" s="6">
        <v>0</v>
      </c>
      <c r="K164" s="6">
        <v>0</v>
      </c>
      <c r="L164" s="6">
        <v>465.23399999999998</v>
      </c>
      <c r="M164" s="6">
        <v>139.5702</v>
      </c>
      <c r="N164" s="6">
        <v>465.23399999999998</v>
      </c>
      <c r="O164" s="6">
        <v>139.5702</v>
      </c>
      <c r="P164" s="6">
        <v>0</v>
      </c>
      <c r="Q164" s="4" t="s">
        <v>26</v>
      </c>
      <c r="R164" s="4">
        <v>0</v>
      </c>
      <c r="S164" s="4" t="s">
        <v>108</v>
      </c>
      <c r="T164" s="4" t="s">
        <v>251</v>
      </c>
      <c r="U164" s="4">
        <v>0</v>
      </c>
      <c r="V164" s="4">
        <v>15</v>
      </c>
      <c r="W164" s="4">
        <v>28</v>
      </c>
    </row>
    <row r="165" spans="1:23" ht="11.25" customHeight="1" x14ac:dyDescent="0.25">
      <c r="A165" s="4" t="s">
        <v>21</v>
      </c>
      <c r="B165" s="4" t="s">
        <v>35</v>
      </c>
      <c r="C165" s="4" t="s">
        <v>36</v>
      </c>
      <c r="D165" s="4" t="s">
        <v>41</v>
      </c>
      <c r="E165" s="4" t="s">
        <v>49</v>
      </c>
      <c r="F165" s="4" t="s">
        <v>51</v>
      </c>
      <c r="G165" s="4" t="s">
        <v>25</v>
      </c>
      <c r="H165" s="4" t="s">
        <v>38</v>
      </c>
      <c r="I165" s="5">
        <v>44593</v>
      </c>
      <c r="J165" s="6">
        <v>0</v>
      </c>
      <c r="K165" s="6">
        <v>0</v>
      </c>
      <c r="L165" s="6">
        <v>333.94200000000001</v>
      </c>
      <c r="M165" s="6">
        <v>100.18259999999999</v>
      </c>
      <c r="N165" s="6">
        <v>333.94200000000001</v>
      </c>
      <c r="O165" s="6">
        <v>100.18259999999999</v>
      </c>
      <c r="P165" s="6">
        <v>0</v>
      </c>
      <c r="Q165" s="4" t="s">
        <v>26</v>
      </c>
      <c r="R165" s="4">
        <v>0</v>
      </c>
      <c r="S165" s="4" t="s">
        <v>109</v>
      </c>
      <c r="T165" s="4" t="s">
        <v>237</v>
      </c>
      <c r="U165" s="4">
        <v>0</v>
      </c>
      <c r="V165" s="4">
        <v>15</v>
      </c>
      <c r="W165" s="4">
        <v>28</v>
      </c>
    </row>
    <row r="166" spans="1:23" ht="11.25" customHeight="1" x14ac:dyDescent="0.25">
      <c r="A166" s="4" t="s">
        <v>21</v>
      </c>
      <c r="B166" s="4" t="s">
        <v>35</v>
      </c>
      <c r="C166" s="4" t="s">
        <v>36</v>
      </c>
      <c r="D166" s="4" t="s">
        <v>41</v>
      </c>
      <c r="E166" s="4" t="s">
        <v>49</v>
      </c>
      <c r="F166" s="4" t="s">
        <v>51</v>
      </c>
      <c r="G166" s="4" t="s">
        <v>25</v>
      </c>
      <c r="H166" s="4" t="s">
        <v>38</v>
      </c>
      <c r="I166" s="5">
        <v>44621</v>
      </c>
      <c r="J166" s="6">
        <v>0</v>
      </c>
      <c r="K166" s="6">
        <v>0</v>
      </c>
      <c r="L166" s="6">
        <v>160.22999999999999</v>
      </c>
      <c r="M166" s="6">
        <v>48.069000000000003</v>
      </c>
      <c r="N166" s="6">
        <v>160.22999999999999</v>
      </c>
      <c r="O166" s="6">
        <v>48.069000000000003</v>
      </c>
      <c r="P166" s="6">
        <v>0</v>
      </c>
      <c r="Q166" s="4" t="s">
        <v>26</v>
      </c>
      <c r="R166" s="4">
        <v>0</v>
      </c>
      <c r="S166" s="4" t="s">
        <v>110</v>
      </c>
      <c r="T166" s="4" t="s">
        <v>238</v>
      </c>
      <c r="U166" s="4">
        <v>0</v>
      </c>
      <c r="V166" s="4">
        <v>15</v>
      </c>
      <c r="W166" s="4">
        <v>28</v>
      </c>
    </row>
    <row r="167" spans="1:23" ht="11.25" customHeight="1" x14ac:dyDescent="0.25">
      <c r="A167" s="4" t="s">
        <v>21</v>
      </c>
      <c r="B167" s="4" t="s">
        <v>35</v>
      </c>
      <c r="C167" s="4" t="s">
        <v>36</v>
      </c>
      <c r="D167" s="4" t="s">
        <v>41</v>
      </c>
      <c r="E167" s="4" t="s">
        <v>49</v>
      </c>
      <c r="F167" s="4" t="s">
        <v>51</v>
      </c>
      <c r="G167" s="4" t="s">
        <v>25</v>
      </c>
      <c r="H167" s="4" t="s">
        <v>38</v>
      </c>
      <c r="I167" s="5">
        <v>44652</v>
      </c>
      <c r="J167" s="6">
        <v>0</v>
      </c>
      <c r="K167" s="6">
        <v>0</v>
      </c>
      <c r="L167" s="6">
        <v>40.447000000000003</v>
      </c>
      <c r="M167" s="6">
        <v>12.1341</v>
      </c>
      <c r="N167" s="6">
        <v>40.447000000000003</v>
      </c>
      <c r="O167" s="6">
        <v>12.1341</v>
      </c>
      <c r="P167" s="6">
        <v>0</v>
      </c>
      <c r="Q167" s="4" t="s">
        <v>26</v>
      </c>
      <c r="R167" s="4">
        <v>0</v>
      </c>
      <c r="S167" s="4" t="s">
        <v>111</v>
      </c>
      <c r="T167" s="4" t="s">
        <v>239</v>
      </c>
      <c r="U167" s="4">
        <v>0</v>
      </c>
      <c r="V167" s="4">
        <v>15</v>
      </c>
      <c r="W167" s="4">
        <v>28</v>
      </c>
    </row>
    <row r="168" spans="1:23" ht="11.25" customHeight="1" x14ac:dyDescent="0.25">
      <c r="A168" s="4" t="s">
        <v>21</v>
      </c>
      <c r="B168" s="4" t="s">
        <v>35</v>
      </c>
      <c r="C168" s="4" t="s">
        <v>36</v>
      </c>
      <c r="D168" s="4" t="s">
        <v>41</v>
      </c>
      <c r="E168" s="4" t="s">
        <v>49</v>
      </c>
      <c r="F168" s="4" t="s">
        <v>51</v>
      </c>
      <c r="G168" s="4" t="s">
        <v>25</v>
      </c>
      <c r="H168" s="4" t="s">
        <v>38</v>
      </c>
      <c r="I168" s="5">
        <v>44682</v>
      </c>
      <c r="J168" s="6">
        <v>0</v>
      </c>
      <c r="K168" s="6">
        <v>0</v>
      </c>
      <c r="L168" s="6">
        <v>18.097999999999999</v>
      </c>
      <c r="M168" s="6">
        <v>5.4294000000000002</v>
      </c>
      <c r="N168" s="6">
        <v>18.097999999999999</v>
      </c>
      <c r="O168" s="6">
        <v>5.4294000000000002</v>
      </c>
      <c r="P168" s="6">
        <v>0</v>
      </c>
      <c r="Q168" s="4" t="s">
        <v>26</v>
      </c>
      <c r="R168" s="4">
        <v>0</v>
      </c>
      <c r="S168" s="4" t="s">
        <v>112</v>
      </c>
      <c r="T168" s="4" t="s">
        <v>240</v>
      </c>
      <c r="U168" s="4">
        <v>0</v>
      </c>
      <c r="V168" s="4">
        <v>15</v>
      </c>
      <c r="W168" s="4">
        <v>28</v>
      </c>
    </row>
    <row r="169" spans="1:23" ht="11.25" customHeight="1" x14ac:dyDescent="0.25">
      <c r="A169" s="4" t="s">
        <v>21</v>
      </c>
      <c r="B169" s="4" t="s">
        <v>35</v>
      </c>
      <c r="C169" s="4" t="s">
        <v>36</v>
      </c>
      <c r="D169" s="4" t="s">
        <v>41</v>
      </c>
      <c r="E169" s="4" t="s">
        <v>49</v>
      </c>
      <c r="F169" s="4" t="s">
        <v>51</v>
      </c>
      <c r="G169" s="4" t="s">
        <v>25</v>
      </c>
      <c r="H169" s="4" t="s">
        <v>38</v>
      </c>
      <c r="I169" s="5">
        <v>44713</v>
      </c>
      <c r="J169" s="6">
        <v>0</v>
      </c>
      <c r="K169" s="6">
        <v>0</v>
      </c>
      <c r="L169" s="6">
        <v>11.398</v>
      </c>
      <c r="M169" s="6">
        <v>3.4194</v>
      </c>
      <c r="N169" s="6">
        <v>11.398</v>
      </c>
      <c r="O169" s="6">
        <v>3.4194</v>
      </c>
      <c r="P169" s="6">
        <v>0</v>
      </c>
      <c r="Q169" s="4" t="s">
        <v>26</v>
      </c>
      <c r="R169" s="4">
        <v>0</v>
      </c>
      <c r="S169" s="4" t="s">
        <v>113</v>
      </c>
      <c r="T169" s="4" t="s">
        <v>235</v>
      </c>
      <c r="U169" s="4">
        <v>0</v>
      </c>
      <c r="V169" s="4">
        <v>15</v>
      </c>
      <c r="W169" s="4">
        <v>28</v>
      </c>
    </row>
    <row r="170" spans="1:23" ht="11.25" customHeight="1" x14ac:dyDescent="0.25">
      <c r="A170" s="4" t="s">
        <v>21</v>
      </c>
      <c r="B170" s="4" t="s">
        <v>35</v>
      </c>
      <c r="C170" s="4" t="s">
        <v>36</v>
      </c>
      <c r="D170" s="4" t="s">
        <v>41</v>
      </c>
      <c r="E170" s="4" t="s">
        <v>49</v>
      </c>
      <c r="F170" s="4" t="s">
        <v>25</v>
      </c>
      <c r="G170" s="4" t="s">
        <v>25</v>
      </c>
      <c r="H170" s="4" t="s">
        <v>38</v>
      </c>
      <c r="I170" s="5">
        <v>44378</v>
      </c>
      <c r="J170" s="6">
        <v>0</v>
      </c>
      <c r="K170" s="6">
        <v>0</v>
      </c>
      <c r="L170" s="6">
        <v>30.774000000000001</v>
      </c>
      <c r="M170" s="6">
        <v>29.543040000000001</v>
      </c>
      <c r="N170" s="6">
        <v>30.774000000000001</v>
      </c>
      <c r="O170" s="6">
        <v>29.543040000000001</v>
      </c>
      <c r="P170" s="6">
        <v>0</v>
      </c>
      <c r="Q170" s="4" t="s">
        <v>26</v>
      </c>
      <c r="R170" s="4">
        <v>0</v>
      </c>
      <c r="S170" s="4" t="s">
        <v>102</v>
      </c>
      <c r="T170" s="4" t="s">
        <v>245</v>
      </c>
      <c r="U170" s="4">
        <v>0</v>
      </c>
      <c r="V170" s="4">
        <v>15</v>
      </c>
      <c r="W170" s="4">
        <v>28</v>
      </c>
    </row>
    <row r="171" spans="1:23" ht="11.25" customHeight="1" x14ac:dyDescent="0.25">
      <c r="A171" s="4" t="s">
        <v>21</v>
      </c>
      <c r="B171" s="4" t="s">
        <v>35</v>
      </c>
      <c r="C171" s="4" t="s">
        <v>36</v>
      </c>
      <c r="D171" s="4" t="s">
        <v>41</v>
      </c>
      <c r="E171" s="4" t="s">
        <v>49</v>
      </c>
      <c r="F171" s="4" t="s">
        <v>25</v>
      </c>
      <c r="G171" s="4" t="s">
        <v>25</v>
      </c>
      <c r="H171" s="4" t="s">
        <v>38</v>
      </c>
      <c r="I171" s="5">
        <v>44409</v>
      </c>
      <c r="J171" s="6">
        <v>0</v>
      </c>
      <c r="K171" s="6">
        <v>0</v>
      </c>
      <c r="L171" s="6">
        <v>57.018999999999998</v>
      </c>
      <c r="M171" s="6">
        <v>54.738239999999998</v>
      </c>
      <c r="N171" s="6">
        <v>57.018999999999998</v>
      </c>
      <c r="O171" s="6">
        <v>54.738239999999998</v>
      </c>
      <c r="P171" s="6">
        <v>0</v>
      </c>
      <c r="Q171" s="4" t="s">
        <v>26</v>
      </c>
      <c r="R171" s="4">
        <v>0</v>
      </c>
      <c r="S171" s="4" t="s">
        <v>103</v>
      </c>
      <c r="T171" s="4" t="s">
        <v>246</v>
      </c>
      <c r="U171" s="4">
        <v>0</v>
      </c>
      <c r="V171" s="4">
        <v>15</v>
      </c>
      <c r="W171" s="4">
        <v>28</v>
      </c>
    </row>
    <row r="172" spans="1:23" ht="11.25" customHeight="1" x14ac:dyDescent="0.25">
      <c r="A172" s="4" t="s">
        <v>21</v>
      </c>
      <c r="B172" s="4" t="s">
        <v>35</v>
      </c>
      <c r="C172" s="4" t="s">
        <v>36</v>
      </c>
      <c r="D172" s="4" t="s">
        <v>41</v>
      </c>
      <c r="E172" s="4" t="s">
        <v>49</v>
      </c>
      <c r="F172" s="4" t="s">
        <v>25</v>
      </c>
      <c r="G172" s="4" t="s">
        <v>25</v>
      </c>
      <c r="H172" s="4" t="s">
        <v>38</v>
      </c>
      <c r="I172" s="5">
        <v>44440</v>
      </c>
      <c r="J172" s="6">
        <v>0</v>
      </c>
      <c r="K172" s="6">
        <v>0</v>
      </c>
      <c r="L172" s="6">
        <v>38.441000000000003</v>
      </c>
      <c r="M172" s="6">
        <v>36.903359999999999</v>
      </c>
      <c r="N172" s="6">
        <v>38.441000000000003</v>
      </c>
      <c r="O172" s="6">
        <v>36.903359999999999</v>
      </c>
      <c r="P172" s="6">
        <v>0</v>
      </c>
      <c r="Q172" s="4" t="s">
        <v>26</v>
      </c>
      <c r="R172" s="4">
        <v>0</v>
      </c>
      <c r="S172" s="4" t="s">
        <v>104</v>
      </c>
      <c r="T172" s="4" t="s">
        <v>247</v>
      </c>
      <c r="U172" s="4">
        <v>0</v>
      </c>
      <c r="V172" s="4">
        <v>15</v>
      </c>
      <c r="W172" s="4">
        <v>28</v>
      </c>
    </row>
    <row r="173" spans="1:23" ht="11.25" customHeight="1" x14ac:dyDescent="0.25">
      <c r="A173" s="4" t="s">
        <v>21</v>
      </c>
      <c r="B173" s="4" t="s">
        <v>35</v>
      </c>
      <c r="C173" s="4" t="s">
        <v>36</v>
      </c>
      <c r="D173" s="4" t="s">
        <v>41</v>
      </c>
      <c r="E173" s="4" t="s">
        <v>49</v>
      </c>
      <c r="F173" s="4" t="s">
        <v>25</v>
      </c>
      <c r="G173" s="4" t="s">
        <v>25</v>
      </c>
      <c r="H173" s="4" t="s">
        <v>38</v>
      </c>
      <c r="I173" s="5">
        <v>44470</v>
      </c>
      <c r="J173" s="6">
        <v>0</v>
      </c>
      <c r="K173" s="6">
        <v>0</v>
      </c>
      <c r="L173" s="6">
        <v>47.811999999999998</v>
      </c>
      <c r="M173" s="6">
        <v>45.899520000000003</v>
      </c>
      <c r="N173" s="6">
        <v>47.811999999999998</v>
      </c>
      <c r="O173" s="6">
        <v>45.899520000000003</v>
      </c>
      <c r="P173" s="6">
        <v>0</v>
      </c>
      <c r="Q173" s="4" t="s">
        <v>26</v>
      </c>
      <c r="R173" s="4">
        <v>0</v>
      </c>
      <c r="S173" s="4" t="s">
        <v>105</v>
      </c>
      <c r="T173" s="4" t="s">
        <v>248</v>
      </c>
      <c r="U173" s="4">
        <v>0</v>
      </c>
      <c r="V173" s="4">
        <v>15</v>
      </c>
      <c r="W173" s="4">
        <v>28</v>
      </c>
    </row>
    <row r="174" spans="1:23" ht="11.25" customHeight="1" x14ac:dyDescent="0.25">
      <c r="A174" s="4" t="s">
        <v>21</v>
      </c>
      <c r="B174" s="4" t="s">
        <v>35</v>
      </c>
      <c r="C174" s="4" t="s">
        <v>36</v>
      </c>
      <c r="D174" s="4" t="s">
        <v>41</v>
      </c>
      <c r="E174" s="4" t="s">
        <v>49</v>
      </c>
      <c r="F174" s="4" t="s">
        <v>25</v>
      </c>
      <c r="G174" s="4" t="s">
        <v>25</v>
      </c>
      <c r="H174" s="4" t="s">
        <v>38</v>
      </c>
      <c r="I174" s="5">
        <v>44501</v>
      </c>
      <c r="J174" s="6">
        <v>0</v>
      </c>
      <c r="K174" s="6">
        <v>0</v>
      </c>
      <c r="L174" s="6">
        <v>410.56700000000001</v>
      </c>
      <c r="M174" s="6">
        <v>394.14431999999999</v>
      </c>
      <c r="N174" s="6">
        <v>410.56700000000001</v>
      </c>
      <c r="O174" s="6">
        <v>394.14431999999999</v>
      </c>
      <c r="P174" s="6">
        <v>0</v>
      </c>
      <c r="Q174" s="4" t="s">
        <v>26</v>
      </c>
      <c r="R174" s="4">
        <v>0</v>
      </c>
      <c r="S174" s="4" t="s">
        <v>106</v>
      </c>
      <c r="T174" s="4" t="s">
        <v>249</v>
      </c>
      <c r="U174" s="4">
        <v>0</v>
      </c>
      <c r="V174" s="4">
        <v>15</v>
      </c>
      <c r="W174" s="4">
        <v>28</v>
      </c>
    </row>
    <row r="175" spans="1:23" ht="11.25" customHeight="1" x14ac:dyDescent="0.25">
      <c r="A175" s="4" t="s">
        <v>28</v>
      </c>
      <c r="B175" s="4" t="s">
        <v>35</v>
      </c>
      <c r="C175" s="4" t="s">
        <v>36</v>
      </c>
      <c r="D175" s="4" t="s">
        <v>41</v>
      </c>
      <c r="E175" s="4" t="s">
        <v>49</v>
      </c>
      <c r="F175" s="4" t="s">
        <v>25</v>
      </c>
      <c r="G175" s="4" t="s">
        <v>25</v>
      </c>
      <c r="H175" s="4" t="s">
        <v>38</v>
      </c>
      <c r="I175" s="5">
        <v>44501</v>
      </c>
      <c r="J175" s="6">
        <v>0</v>
      </c>
      <c r="K175" s="6">
        <v>0</v>
      </c>
      <c r="L175" s="6">
        <v>23.623000000000001</v>
      </c>
      <c r="M175" s="6">
        <v>22.678080000000001</v>
      </c>
      <c r="N175" s="6">
        <v>23.623000000000001</v>
      </c>
      <c r="O175" s="6">
        <v>22.678080000000001</v>
      </c>
      <c r="P175" s="6">
        <v>0</v>
      </c>
      <c r="Q175" s="4" t="s">
        <v>26</v>
      </c>
      <c r="R175" s="4">
        <v>0</v>
      </c>
      <c r="S175" s="4" t="s">
        <v>106</v>
      </c>
      <c r="T175" s="4" t="s">
        <v>249</v>
      </c>
      <c r="U175" s="4">
        <v>0</v>
      </c>
      <c r="V175" s="4">
        <v>15</v>
      </c>
      <c r="W175" s="4">
        <v>28</v>
      </c>
    </row>
    <row r="176" spans="1:23" ht="11.25" customHeight="1" x14ac:dyDescent="0.25">
      <c r="A176" s="4" t="s">
        <v>21</v>
      </c>
      <c r="B176" s="4" t="s">
        <v>35</v>
      </c>
      <c r="C176" s="4" t="s">
        <v>36</v>
      </c>
      <c r="D176" s="4" t="s">
        <v>41</v>
      </c>
      <c r="E176" s="4" t="s">
        <v>49</v>
      </c>
      <c r="F176" s="4" t="s">
        <v>25</v>
      </c>
      <c r="G176" s="4" t="s">
        <v>25</v>
      </c>
      <c r="H176" s="4" t="s">
        <v>38</v>
      </c>
      <c r="I176" s="5">
        <v>44531</v>
      </c>
      <c r="J176" s="6">
        <v>0</v>
      </c>
      <c r="K176" s="6">
        <v>0</v>
      </c>
      <c r="L176" s="6">
        <v>512.14300000000003</v>
      </c>
      <c r="M176" s="6">
        <v>491.65728000000001</v>
      </c>
      <c r="N176" s="6">
        <v>512.14300000000003</v>
      </c>
      <c r="O176" s="6">
        <v>491.65728000000001</v>
      </c>
      <c r="P176" s="6">
        <v>0</v>
      </c>
      <c r="Q176" s="4" t="s">
        <v>26</v>
      </c>
      <c r="R176" s="4">
        <v>0</v>
      </c>
      <c r="S176" s="4" t="s">
        <v>107</v>
      </c>
      <c r="T176" s="4" t="s">
        <v>250</v>
      </c>
      <c r="U176" s="4">
        <v>0</v>
      </c>
      <c r="V176" s="4">
        <v>15</v>
      </c>
      <c r="W176" s="4">
        <v>28</v>
      </c>
    </row>
    <row r="177" spans="1:23" ht="11.25" customHeight="1" x14ac:dyDescent="0.25">
      <c r="A177" s="4" t="s">
        <v>28</v>
      </c>
      <c r="B177" s="4" t="s">
        <v>35</v>
      </c>
      <c r="C177" s="4" t="s">
        <v>36</v>
      </c>
      <c r="D177" s="4" t="s">
        <v>41</v>
      </c>
      <c r="E177" s="4" t="s">
        <v>49</v>
      </c>
      <c r="F177" s="4" t="s">
        <v>25</v>
      </c>
      <c r="G177" s="4" t="s">
        <v>25</v>
      </c>
      <c r="H177" s="4" t="s">
        <v>38</v>
      </c>
      <c r="I177" s="5">
        <v>44531</v>
      </c>
      <c r="J177" s="6">
        <v>0</v>
      </c>
      <c r="K177" s="6">
        <v>0</v>
      </c>
      <c r="L177" s="6">
        <v>16.667000000000002</v>
      </c>
      <c r="M177" s="6">
        <v>16.000320000000002</v>
      </c>
      <c r="N177" s="6">
        <v>16.667000000000002</v>
      </c>
      <c r="O177" s="6">
        <v>16.000320000000002</v>
      </c>
      <c r="P177" s="6">
        <v>0</v>
      </c>
      <c r="Q177" s="4" t="s">
        <v>26</v>
      </c>
      <c r="R177" s="4">
        <v>0</v>
      </c>
      <c r="S177" s="4" t="s">
        <v>107</v>
      </c>
      <c r="T177" s="4" t="s">
        <v>250</v>
      </c>
      <c r="U177" s="4">
        <v>0</v>
      </c>
      <c r="V177" s="4">
        <v>15</v>
      </c>
      <c r="W177" s="4">
        <v>28</v>
      </c>
    </row>
    <row r="178" spans="1:23" ht="11.25" customHeight="1" x14ac:dyDescent="0.25">
      <c r="A178" s="4" t="s">
        <v>21</v>
      </c>
      <c r="B178" s="4" t="s">
        <v>35</v>
      </c>
      <c r="C178" s="4" t="s">
        <v>36</v>
      </c>
      <c r="D178" s="4" t="s">
        <v>41</v>
      </c>
      <c r="E178" s="4" t="s">
        <v>49</v>
      </c>
      <c r="F178" s="4" t="s">
        <v>25</v>
      </c>
      <c r="G178" s="4" t="s">
        <v>25</v>
      </c>
      <c r="H178" s="4" t="s">
        <v>38</v>
      </c>
      <c r="I178" s="5">
        <v>44562</v>
      </c>
      <c r="J178" s="6">
        <v>0</v>
      </c>
      <c r="K178" s="6">
        <v>0</v>
      </c>
      <c r="L178" s="6">
        <v>578.43700000000001</v>
      </c>
      <c r="M178" s="6">
        <v>555.29952000000003</v>
      </c>
      <c r="N178" s="6">
        <v>578.43700000000001</v>
      </c>
      <c r="O178" s="6">
        <v>555.29952000000003</v>
      </c>
      <c r="P178" s="6">
        <v>0</v>
      </c>
      <c r="Q178" s="4" t="s">
        <v>26</v>
      </c>
      <c r="R178" s="4">
        <v>0</v>
      </c>
      <c r="S178" s="4" t="s">
        <v>108</v>
      </c>
      <c r="T178" s="4" t="s">
        <v>251</v>
      </c>
      <c r="U178" s="4">
        <v>0</v>
      </c>
      <c r="V178" s="4">
        <v>15</v>
      </c>
      <c r="W178" s="4">
        <v>28</v>
      </c>
    </row>
    <row r="179" spans="1:23" ht="11.25" customHeight="1" x14ac:dyDescent="0.25">
      <c r="A179" s="4" t="s">
        <v>28</v>
      </c>
      <c r="B179" s="4" t="s">
        <v>35</v>
      </c>
      <c r="C179" s="4" t="s">
        <v>36</v>
      </c>
      <c r="D179" s="4" t="s">
        <v>41</v>
      </c>
      <c r="E179" s="4" t="s">
        <v>49</v>
      </c>
      <c r="F179" s="4" t="s">
        <v>25</v>
      </c>
      <c r="G179" s="4" t="s">
        <v>25</v>
      </c>
      <c r="H179" s="4" t="s">
        <v>38</v>
      </c>
      <c r="I179" s="5">
        <v>44562</v>
      </c>
      <c r="J179" s="6">
        <v>0</v>
      </c>
      <c r="K179" s="6">
        <v>0</v>
      </c>
      <c r="L179" s="6">
        <v>31.791</v>
      </c>
      <c r="M179" s="6">
        <v>30.519359999999999</v>
      </c>
      <c r="N179" s="6">
        <v>31.791</v>
      </c>
      <c r="O179" s="6">
        <v>30.519359999999999</v>
      </c>
      <c r="P179" s="6">
        <v>0</v>
      </c>
      <c r="Q179" s="4" t="s">
        <v>26</v>
      </c>
      <c r="R179" s="4">
        <v>0</v>
      </c>
      <c r="S179" s="4" t="s">
        <v>108</v>
      </c>
      <c r="T179" s="4" t="s">
        <v>251</v>
      </c>
      <c r="U179" s="4">
        <v>0</v>
      </c>
      <c r="V179" s="4">
        <v>15</v>
      </c>
      <c r="W179" s="4">
        <v>28</v>
      </c>
    </row>
    <row r="180" spans="1:23" ht="11.25" customHeight="1" x14ac:dyDescent="0.25">
      <c r="A180" s="4" t="s">
        <v>21</v>
      </c>
      <c r="B180" s="4" t="s">
        <v>35</v>
      </c>
      <c r="C180" s="4" t="s">
        <v>36</v>
      </c>
      <c r="D180" s="4" t="s">
        <v>41</v>
      </c>
      <c r="E180" s="4" t="s">
        <v>49</v>
      </c>
      <c r="F180" s="4" t="s">
        <v>25</v>
      </c>
      <c r="G180" s="4" t="s">
        <v>25</v>
      </c>
      <c r="H180" s="4" t="s">
        <v>38</v>
      </c>
      <c r="I180" s="5">
        <v>44593</v>
      </c>
      <c r="J180" s="6">
        <v>0</v>
      </c>
      <c r="K180" s="6">
        <v>0</v>
      </c>
      <c r="L180" s="6">
        <v>467.863</v>
      </c>
      <c r="M180" s="6">
        <v>449.14848000000001</v>
      </c>
      <c r="N180" s="6">
        <v>467.863</v>
      </c>
      <c r="O180" s="6">
        <v>449.14848000000001</v>
      </c>
      <c r="P180" s="6">
        <v>0</v>
      </c>
      <c r="Q180" s="4" t="s">
        <v>26</v>
      </c>
      <c r="R180" s="4">
        <v>0</v>
      </c>
      <c r="S180" s="4" t="s">
        <v>109</v>
      </c>
      <c r="T180" s="4" t="s">
        <v>237</v>
      </c>
      <c r="U180" s="4">
        <v>0</v>
      </c>
      <c r="V180" s="4">
        <v>15</v>
      </c>
      <c r="W180" s="4">
        <v>28</v>
      </c>
    </row>
    <row r="181" spans="1:23" ht="11.25" customHeight="1" x14ac:dyDescent="0.25">
      <c r="A181" s="4" t="s">
        <v>28</v>
      </c>
      <c r="B181" s="4" t="s">
        <v>35</v>
      </c>
      <c r="C181" s="4" t="s">
        <v>36</v>
      </c>
      <c r="D181" s="4" t="s">
        <v>41</v>
      </c>
      <c r="E181" s="4" t="s">
        <v>49</v>
      </c>
      <c r="F181" s="4" t="s">
        <v>25</v>
      </c>
      <c r="G181" s="4" t="s">
        <v>25</v>
      </c>
      <c r="H181" s="4" t="s">
        <v>38</v>
      </c>
      <c r="I181" s="5">
        <v>44593</v>
      </c>
      <c r="J181" s="6">
        <v>0</v>
      </c>
      <c r="K181" s="6">
        <v>0</v>
      </c>
      <c r="L181" s="6">
        <v>53.62</v>
      </c>
      <c r="M181" s="6">
        <v>51.475199999999994</v>
      </c>
      <c r="N181" s="6">
        <v>53.62</v>
      </c>
      <c r="O181" s="6">
        <v>51.475199999999994</v>
      </c>
      <c r="P181" s="6">
        <v>0</v>
      </c>
      <c r="Q181" s="4" t="s">
        <v>26</v>
      </c>
      <c r="R181" s="4">
        <v>0</v>
      </c>
      <c r="S181" s="4" t="s">
        <v>109</v>
      </c>
      <c r="T181" s="4" t="s">
        <v>237</v>
      </c>
      <c r="U181" s="4">
        <v>0</v>
      </c>
      <c r="V181" s="4">
        <v>15</v>
      </c>
      <c r="W181" s="4">
        <v>28</v>
      </c>
    </row>
    <row r="182" spans="1:23" ht="11.25" customHeight="1" x14ac:dyDescent="0.25">
      <c r="A182" s="4" t="s">
        <v>21</v>
      </c>
      <c r="B182" s="4" t="s">
        <v>35</v>
      </c>
      <c r="C182" s="4" t="s">
        <v>36</v>
      </c>
      <c r="D182" s="4" t="s">
        <v>41</v>
      </c>
      <c r="E182" s="4" t="s">
        <v>49</v>
      </c>
      <c r="F182" s="4" t="s">
        <v>25</v>
      </c>
      <c r="G182" s="4" t="s">
        <v>25</v>
      </c>
      <c r="H182" s="4" t="s">
        <v>38</v>
      </c>
      <c r="I182" s="5">
        <v>44621</v>
      </c>
      <c r="J182" s="6">
        <v>0</v>
      </c>
      <c r="K182" s="6">
        <v>0</v>
      </c>
      <c r="L182" s="6">
        <v>212.17500000000001</v>
      </c>
      <c r="M182" s="6">
        <v>203.68799999999999</v>
      </c>
      <c r="N182" s="6">
        <v>212.17500000000001</v>
      </c>
      <c r="O182" s="6">
        <v>203.68799999999999</v>
      </c>
      <c r="P182" s="6">
        <v>0</v>
      </c>
      <c r="Q182" s="4" t="s">
        <v>26</v>
      </c>
      <c r="R182" s="4">
        <v>0</v>
      </c>
      <c r="S182" s="4" t="s">
        <v>110</v>
      </c>
      <c r="T182" s="4" t="s">
        <v>238</v>
      </c>
      <c r="U182" s="4">
        <v>0</v>
      </c>
      <c r="V182" s="4">
        <v>15</v>
      </c>
      <c r="W182" s="4">
        <v>28</v>
      </c>
    </row>
    <row r="183" spans="1:23" ht="11.25" customHeight="1" x14ac:dyDescent="0.25">
      <c r="A183" s="4" t="s">
        <v>28</v>
      </c>
      <c r="B183" s="4" t="s">
        <v>35</v>
      </c>
      <c r="C183" s="4" t="s">
        <v>36</v>
      </c>
      <c r="D183" s="4" t="s">
        <v>41</v>
      </c>
      <c r="E183" s="4" t="s">
        <v>49</v>
      </c>
      <c r="F183" s="4" t="s">
        <v>25</v>
      </c>
      <c r="G183" s="4" t="s">
        <v>25</v>
      </c>
      <c r="H183" s="4" t="s">
        <v>38</v>
      </c>
      <c r="I183" s="5">
        <v>44621</v>
      </c>
      <c r="J183" s="6">
        <v>0</v>
      </c>
      <c r="K183" s="6">
        <v>0</v>
      </c>
      <c r="L183" s="6">
        <v>3.9430000000000001</v>
      </c>
      <c r="M183" s="6">
        <v>3.7852799999999998</v>
      </c>
      <c r="N183" s="6">
        <v>3.9430000000000001</v>
      </c>
      <c r="O183" s="6">
        <v>3.7852799999999998</v>
      </c>
      <c r="P183" s="6">
        <v>0</v>
      </c>
      <c r="Q183" s="4" t="s">
        <v>26</v>
      </c>
      <c r="R183" s="4">
        <v>0</v>
      </c>
      <c r="S183" s="4" t="s">
        <v>110</v>
      </c>
      <c r="T183" s="4" t="s">
        <v>238</v>
      </c>
      <c r="U183" s="4">
        <v>0</v>
      </c>
      <c r="V183" s="4">
        <v>15</v>
      </c>
      <c r="W183" s="4">
        <v>28</v>
      </c>
    </row>
    <row r="184" spans="1:23" ht="11.25" customHeight="1" x14ac:dyDescent="0.25">
      <c r="A184" s="4" t="s">
        <v>21</v>
      </c>
      <c r="B184" s="4" t="s">
        <v>35</v>
      </c>
      <c r="C184" s="4" t="s">
        <v>36</v>
      </c>
      <c r="D184" s="4" t="s">
        <v>41</v>
      </c>
      <c r="E184" s="4" t="s">
        <v>49</v>
      </c>
      <c r="F184" s="4" t="s">
        <v>25</v>
      </c>
      <c r="G184" s="4" t="s">
        <v>25</v>
      </c>
      <c r="H184" s="4" t="s">
        <v>38</v>
      </c>
      <c r="I184" s="5">
        <v>44652</v>
      </c>
      <c r="J184" s="6">
        <v>0</v>
      </c>
      <c r="K184" s="6">
        <v>0</v>
      </c>
      <c r="L184" s="6">
        <v>53.862000000000002</v>
      </c>
      <c r="M184" s="6">
        <v>51.707520000000002</v>
      </c>
      <c r="N184" s="6">
        <v>53.862000000000002</v>
      </c>
      <c r="O184" s="6">
        <v>51.707520000000002</v>
      </c>
      <c r="P184" s="6">
        <v>0</v>
      </c>
      <c r="Q184" s="4" t="s">
        <v>26</v>
      </c>
      <c r="R184" s="4">
        <v>0</v>
      </c>
      <c r="S184" s="4" t="s">
        <v>111</v>
      </c>
      <c r="T184" s="4" t="s">
        <v>239</v>
      </c>
      <c r="U184" s="4">
        <v>0</v>
      </c>
      <c r="V184" s="4">
        <v>15</v>
      </c>
      <c r="W184" s="4">
        <v>28</v>
      </c>
    </row>
    <row r="185" spans="1:23" ht="11.25" customHeight="1" x14ac:dyDescent="0.25">
      <c r="A185" s="4" t="s">
        <v>21</v>
      </c>
      <c r="B185" s="4" t="s">
        <v>35</v>
      </c>
      <c r="C185" s="4" t="s">
        <v>36</v>
      </c>
      <c r="D185" s="4" t="s">
        <v>41</v>
      </c>
      <c r="E185" s="4" t="s">
        <v>49</v>
      </c>
      <c r="F185" s="4" t="s">
        <v>25</v>
      </c>
      <c r="G185" s="4" t="s">
        <v>25</v>
      </c>
      <c r="H185" s="4" t="s">
        <v>38</v>
      </c>
      <c r="I185" s="5">
        <v>44682</v>
      </c>
      <c r="J185" s="6">
        <v>0</v>
      </c>
      <c r="K185" s="6">
        <v>0</v>
      </c>
      <c r="L185" s="6">
        <v>29.379000000000001</v>
      </c>
      <c r="M185" s="6">
        <v>28.20384</v>
      </c>
      <c r="N185" s="6">
        <v>29.379000000000001</v>
      </c>
      <c r="O185" s="6">
        <v>28.20384</v>
      </c>
      <c r="P185" s="6">
        <v>0</v>
      </c>
      <c r="Q185" s="4" t="s">
        <v>26</v>
      </c>
      <c r="R185" s="4">
        <v>0</v>
      </c>
      <c r="S185" s="4" t="s">
        <v>112</v>
      </c>
      <c r="T185" s="4" t="s">
        <v>240</v>
      </c>
      <c r="U185" s="4">
        <v>0</v>
      </c>
      <c r="V185" s="4">
        <v>15</v>
      </c>
      <c r="W185" s="4">
        <v>28</v>
      </c>
    </row>
    <row r="186" spans="1:23" ht="11.25" customHeight="1" x14ac:dyDescent="0.25">
      <c r="A186" s="4" t="s">
        <v>21</v>
      </c>
      <c r="B186" s="4" t="s">
        <v>35</v>
      </c>
      <c r="C186" s="4" t="s">
        <v>36</v>
      </c>
      <c r="D186" s="4" t="s">
        <v>41</v>
      </c>
      <c r="E186" s="4" t="s">
        <v>49</v>
      </c>
      <c r="F186" s="4" t="s">
        <v>25</v>
      </c>
      <c r="G186" s="4" t="s">
        <v>25</v>
      </c>
      <c r="H186" s="4" t="s">
        <v>38</v>
      </c>
      <c r="I186" s="5">
        <v>44713</v>
      </c>
      <c r="J186" s="6">
        <v>0</v>
      </c>
      <c r="K186" s="6">
        <v>0</v>
      </c>
      <c r="L186" s="6">
        <v>18.062999999999999</v>
      </c>
      <c r="M186" s="6">
        <v>17.340479999999999</v>
      </c>
      <c r="N186" s="6">
        <v>18.062999999999999</v>
      </c>
      <c r="O186" s="6">
        <v>17.340479999999999</v>
      </c>
      <c r="P186" s="6">
        <v>0</v>
      </c>
      <c r="Q186" s="4" t="s">
        <v>26</v>
      </c>
      <c r="R186" s="4">
        <v>0</v>
      </c>
      <c r="S186" s="4" t="s">
        <v>113</v>
      </c>
      <c r="T186" s="4" t="s">
        <v>235</v>
      </c>
      <c r="U186" s="4">
        <v>0</v>
      </c>
      <c r="V186" s="4">
        <v>15</v>
      </c>
      <c r="W186" s="4">
        <v>28</v>
      </c>
    </row>
    <row r="187" spans="1:23" ht="11.25" customHeight="1" x14ac:dyDescent="0.25">
      <c r="A187" s="4" t="s">
        <v>21</v>
      </c>
      <c r="B187" s="4" t="s">
        <v>35</v>
      </c>
      <c r="C187" s="4" t="s">
        <v>36</v>
      </c>
      <c r="D187" s="4" t="s">
        <v>41</v>
      </c>
      <c r="E187" s="4" t="s">
        <v>49</v>
      </c>
      <c r="F187" s="4" t="s">
        <v>25</v>
      </c>
      <c r="G187" s="4" t="s">
        <v>25</v>
      </c>
      <c r="H187" s="4" t="s">
        <v>25</v>
      </c>
      <c r="I187" s="5">
        <v>44378</v>
      </c>
      <c r="J187" s="6">
        <v>1250</v>
      </c>
      <c r="K187" s="6">
        <v>1200</v>
      </c>
      <c r="L187" s="6">
        <v>0</v>
      </c>
      <c r="M187" s="6">
        <v>0</v>
      </c>
      <c r="N187" s="6">
        <v>0</v>
      </c>
      <c r="O187" s="6">
        <v>0</v>
      </c>
      <c r="P187" s="6">
        <v>24</v>
      </c>
      <c r="Q187" s="4" t="s">
        <v>26</v>
      </c>
      <c r="R187" s="4">
        <v>0</v>
      </c>
      <c r="S187" s="4" t="s">
        <v>114</v>
      </c>
      <c r="U187" s="4">
        <v>11</v>
      </c>
      <c r="V187" s="4">
        <v>0</v>
      </c>
      <c r="W187" s="4">
        <v>0</v>
      </c>
    </row>
    <row r="188" spans="1:23" ht="11.25" customHeight="1" x14ac:dyDescent="0.25">
      <c r="A188" s="4" t="s">
        <v>21</v>
      </c>
      <c r="B188" s="4" t="s">
        <v>35</v>
      </c>
      <c r="C188" s="4" t="s">
        <v>36</v>
      </c>
      <c r="D188" s="4" t="s">
        <v>41</v>
      </c>
      <c r="E188" s="4" t="s">
        <v>49</v>
      </c>
      <c r="F188" s="4" t="s">
        <v>25</v>
      </c>
      <c r="G188" s="4" t="s">
        <v>25</v>
      </c>
      <c r="H188" s="4" t="s">
        <v>25</v>
      </c>
      <c r="I188" s="5">
        <v>44409</v>
      </c>
      <c r="J188" s="6">
        <v>1487</v>
      </c>
      <c r="K188" s="6">
        <v>1427.52</v>
      </c>
      <c r="L188" s="6">
        <v>0</v>
      </c>
      <c r="M188" s="6">
        <v>0</v>
      </c>
      <c r="N188" s="6">
        <v>0</v>
      </c>
      <c r="O188" s="6">
        <v>0</v>
      </c>
      <c r="P188" s="6">
        <v>24</v>
      </c>
      <c r="Q188" s="4" t="s">
        <v>26</v>
      </c>
      <c r="R188" s="4">
        <v>0</v>
      </c>
      <c r="S188" s="4" t="s">
        <v>115</v>
      </c>
      <c r="U188" s="4">
        <v>11</v>
      </c>
      <c r="V188" s="4">
        <v>0</v>
      </c>
      <c r="W188" s="4">
        <v>0</v>
      </c>
    </row>
    <row r="189" spans="1:23" ht="11.25" customHeight="1" x14ac:dyDescent="0.25">
      <c r="A189" s="4" t="s">
        <v>21</v>
      </c>
      <c r="B189" s="4" t="s">
        <v>35</v>
      </c>
      <c r="C189" s="4" t="s">
        <v>36</v>
      </c>
      <c r="D189" s="4" t="s">
        <v>41</v>
      </c>
      <c r="E189" s="4" t="s">
        <v>49</v>
      </c>
      <c r="F189" s="4" t="s">
        <v>25</v>
      </c>
      <c r="G189" s="4" t="s">
        <v>25</v>
      </c>
      <c r="H189" s="4" t="s">
        <v>25</v>
      </c>
      <c r="I189" s="5">
        <v>44440</v>
      </c>
      <c r="J189" s="6">
        <v>1999</v>
      </c>
      <c r="K189" s="6">
        <v>1919.04</v>
      </c>
      <c r="L189" s="6">
        <v>0</v>
      </c>
      <c r="M189" s="6">
        <v>0</v>
      </c>
      <c r="N189" s="6">
        <v>0</v>
      </c>
      <c r="O189" s="6">
        <v>0</v>
      </c>
      <c r="P189" s="6">
        <v>24</v>
      </c>
      <c r="Q189" s="4" t="s">
        <v>26</v>
      </c>
      <c r="R189" s="4">
        <v>0</v>
      </c>
      <c r="S189" s="4" t="s">
        <v>116</v>
      </c>
      <c r="U189" s="4">
        <v>11</v>
      </c>
      <c r="V189" s="4">
        <v>0</v>
      </c>
      <c r="W189" s="4">
        <v>0</v>
      </c>
    </row>
    <row r="190" spans="1:23" ht="11.25" customHeight="1" x14ac:dyDescent="0.25">
      <c r="A190" s="4" t="s">
        <v>21</v>
      </c>
      <c r="B190" s="4" t="s">
        <v>35</v>
      </c>
      <c r="C190" s="4" t="s">
        <v>36</v>
      </c>
      <c r="D190" s="4" t="s">
        <v>41</v>
      </c>
      <c r="E190" s="4" t="s">
        <v>49</v>
      </c>
      <c r="F190" s="4" t="s">
        <v>25</v>
      </c>
      <c r="G190" s="4" t="s">
        <v>25</v>
      </c>
      <c r="H190" s="4" t="s">
        <v>25</v>
      </c>
      <c r="I190" s="5">
        <v>44470</v>
      </c>
      <c r="J190" s="6">
        <v>1982</v>
      </c>
      <c r="K190" s="6">
        <v>1902.72</v>
      </c>
      <c r="L190" s="6">
        <v>0</v>
      </c>
      <c r="M190" s="6">
        <v>0</v>
      </c>
      <c r="N190" s="6">
        <v>0</v>
      </c>
      <c r="O190" s="6">
        <v>0</v>
      </c>
      <c r="P190" s="6">
        <v>25</v>
      </c>
      <c r="Q190" s="4" t="s">
        <v>26</v>
      </c>
      <c r="R190" s="4">
        <v>0</v>
      </c>
      <c r="S190" s="4" t="s">
        <v>117</v>
      </c>
      <c r="U190" s="4">
        <v>11</v>
      </c>
      <c r="V190" s="4">
        <v>0</v>
      </c>
      <c r="W190" s="4">
        <v>0</v>
      </c>
    </row>
    <row r="191" spans="1:23" ht="11.25" customHeight="1" x14ac:dyDescent="0.25">
      <c r="A191" s="4" t="s">
        <v>21</v>
      </c>
      <c r="B191" s="4" t="s">
        <v>35</v>
      </c>
      <c r="C191" s="4" t="s">
        <v>36</v>
      </c>
      <c r="D191" s="4" t="s">
        <v>41</v>
      </c>
      <c r="E191" s="4" t="s">
        <v>49</v>
      </c>
      <c r="F191" s="4" t="s">
        <v>25</v>
      </c>
      <c r="G191" s="4" t="s">
        <v>25</v>
      </c>
      <c r="H191" s="4" t="s">
        <v>25</v>
      </c>
      <c r="I191" s="5">
        <v>44501</v>
      </c>
      <c r="J191" s="6">
        <v>3630</v>
      </c>
      <c r="K191" s="6">
        <v>3484.8</v>
      </c>
      <c r="L191" s="6">
        <v>0</v>
      </c>
      <c r="M191" s="6">
        <v>0</v>
      </c>
      <c r="N191" s="6">
        <v>0</v>
      </c>
      <c r="O191" s="6">
        <v>0</v>
      </c>
      <c r="P191" s="6">
        <v>24</v>
      </c>
      <c r="Q191" s="4" t="s">
        <v>26</v>
      </c>
      <c r="R191" s="4">
        <v>0</v>
      </c>
      <c r="S191" s="4" t="s">
        <v>118</v>
      </c>
      <c r="U191" s="4">
        <v>11</v>
      </c>
      <c r="V191" s="4">
        <v>0</v>
      </c>
      <c r="W191" s="4">
        <v>0</v>
      </c>
    </row>
    <row r="192" spans="1:23" ht="11.25" customHeight="1" x14ac:dyDescent="0.25">
      <c r="A192" s="4" t="s">
        <v>28</v>
      </c>
      <c r="B192" s="4" t="s">
        <v>35</v>
      </c>
      <c r="C192" s="4" t="s">
        <v>36</v>
      </c>
      <c r="D192" s="4" t="s">
        <v>41</v>
      </c>
      <c r="E192" s="4" t="s">
        <v>49</v>
      </c>
      <c r="F192" s="4" t="s">
        <v>25</v>
      </c>
      <c r="G192" s="4" t="s">
        <v>25</v>
      </c>
      <c r="H192" s="4" t="s">
        <v>25</v>
      </c>
      <c r="I192" s="5">
        <v>44501</v>
      </c>
      <c r="J192" s="6">
        <v>257</v>
      </c>
      <c r="K192" s="6">
        <v>246.72</v>
      </c>
      <c r="L192" s="6">
        <v>0</v>
      </c>
      <c r="M192" s="6">
        <v>0</v>
      </c>
      <c r="N192" s="6">
        <v>0</v>
      </c>
      <c r="O192" s="6">
        <v>0</v>
      </c>
      <c r="P192" s="6">
        <v>1</v>
      </c>
      <c r="Q192" s="4" t="s">
        <v>26</v>
      </c>
      <c r="R192" s="4">
        <v>0</v>
      </c>
      <c r="S192" s="4" t="s">
        <v>118</v>
      </c>
      <c r="U192" s="4">
        <v>11</v>
      </c>
      <c r="V192" s="4">
        <v>0</v>
      </c>
      <c r="W192" s="4">
        <v>0</v>
      </c>
    </row>
    <row r="193" spans="1:23" ht="11.25" customHeight="1" x14ac:dyDescent="0.25">
      <c r="A193" s="4" t="s">
        <v>21</v>
      </c>
      <c r="B193" s="4" t="s">
        <v>35</v>
      </c>
      <c r="C193" s="4" t="s">
        <v>36</v>
      </c>
      <c r="D193" s="4" t="s">
        <v>41</v>
      </c>
      <c r="E193" s="4" t="s">
        <v>49</v>
      </c>
      <c r="F193" s="4" t="s">
        <v>25</v>
      </c>
      <c r="G193" s="4" t="s">
        <v>25</v>
      </c>
      <c r="H193" s="4" t="s">
        <v>25</v>
      </c>
      <c r="I193" s="5">
        <v>44531</v>
      </c>
      <c r="J193" s="6">
        <v>4370</v>
      </c>
      <c r="K193" s="6">
        <v>4195.2</v>
      </c>
      <c r="L193" s="6">
        <v>0</v>
      </c>
      <c r="M193" s="6">
        <v>0</v>
      </c>
      <c r="N193" s="6">
        <v>0</v>
      </c>
      <c r="O193" s="6">
        <v>0</v>
      </c>
      <c r="P193" s="6">
        <v>23</v>
      </c>
      <c r="Q193" s="4" t="s">
        <v>26</v>
      </c>
      <c r="R193" s="4">
        <v>0</v>
      </c>
      <c r="S193" s="4" t="s">
        <v>119</v>
      </c>
      <c r="U193" s="4">
        <v>11</v>
      </c>
      <c r="V193" s="4">
        <v>0</v>
      </c>
      <c r="W193" s="4">
        <v>0</v>
      </c>
    </row>
    <row r="194" spans="1:23" ht="11.25" customHeight="1" x14ac:dyDescent="0.25">
      <c r="A194" s="4" t="s">
        <v>28</v>
      </c>
      <c r="B194" s="4" t="s">
        <v>35</v>
      </c>
      <c r="C194" s="4" t="s">
        <v>36</v>
      </c>
      <c r="D194" s="4" t="s">
        <v>41</v>
      </c>
      <c r="E194" s="4" t="s">
        <v>49</v>
      </c>
      <c r="F194" s="4" t="s">
        <v>25</v>
      </c>
      <c r="G194" s="4" t="s">
        <v>25</v>
      </c>
      <c r="H194" s="4" t="s">
        <v>25</v>
      </c>
      <c r="I194" s="5">
        <v>44531</v>
      </c>
      <c r="J194" s="6">
        <v>130</v>
      </c>
      <c r="K194" s="6">
        <v>124.8</v>
      </c>
      <c r="L194" s="6">
        <v>0</v>
      </c>
      <c r="M194" s="6">
        <v>0</v>
      </c>
      <c r="N194" s="6">
        <v>0</v>
      </c>
      <c r="O194" s="6">
        <v>0</v>
      </c>
      <c r="P194" s="6">
        <v>1</v>
      </c>
      <c r="Q194" s="4" t="s">
        <v>26</v>
      </c>
      <c r="R194" s="4">
        <v>0</v>
      </c>
      <c r="S194" s="4" t="s">
        <v>119</v>
      </c>
      <c r="U194" s="4">
        <v>11</v>
      </c>
      <c r="V194" s="4">
        <v>0</v>
      </c>
      <c r="W194" s="4">
        <v>0</v>
      </c>
    </row>
    <row r="195" spans="1:23" ht="11.25" customHeight="1" x14ac:dyDescent="0.25">
      <c r="A195" s="4" t="s">
        <v>21</v>
      </c>
      <c r="B195" s="4" t="s">
        <v>35</v>
      </c>
      <c r="C195" s="4" t="s">
        <v>36</v>
      </c>
      <c r="D195" s="4" t="s">
        <v>41</v>
      </c>
      <c r="E195" s="4" t="s">
        <v>49</v>
      </c>
      <c r="F195" s="4" t="s">
        <v>25</v>
      </c>
      <c r="G195" s="4" t="s">
        <v>25</v>
      </c>
      <c r="H195" s="4" t="s">
        <v>25</v>
      </c>
      <c r="I195" s="5">
        <v>44562</v>
      </c>
      <c r="J195" s="6">
        <v>4701</v>
      </c>
      <c r="K195" s="6">
        <v>4512.96</v>
      </c>
      <c r="L195" s="6">
        <v>0</v>
      </c>
      <c r="M195" s="6">
        <v>0</v>
      </c>
      <c r="N195" s="6">
        <v>0</v>
      </c>
      <c r="O195" s="6">
        <v>0</v>
      </c>
      <c r="P195" s="6">
        <v>24</v>
      </c>
      <c r="Q195" s="4" t="s">
        <v>26</v>
      </c>
      <c r="R195" s="4">
        <v>0</v>
      </c>
      <c r="S195" s="4" t="s">
        <v>120</v>
      </c>
      <c r="U195" s="4">
        <v>11</v>
      </c>
      <c r="V195" s="4">
        <v>0</v>
      </c>
      <c r="W195" s="4">
        <v>0</v>
      </c>
    </row>
    <row r="196" spans="1:23" ht="11.25" customHeight="1" x14ac:dyDescent="0.25">
      <c r="A196" s="4" t="s">
        <v>28</v>
      </c>
      <c r="B196" s="4" t="s">
        <v>35</v>
      </c>
      <c r="C196" s="4" t="s">
        <v>36</v>
      </c>
      <c r="D196" s="4" t="s">
        <v>41</v>
      </c>
      <c r="E196" s="4" t="s">
        <v>49</v>
      </c>
      <c r="F196" s="4" t="s">
        <v>25</v>
      </c>
      <c r="G196" s="4" t="s">
        <v>25</v>
      </c>
      <c r="H196" s="4" t="s">
        <v>25</v>
      </c>
      <c r="I196" s="5">
        <v>44562</v>
      </c>
      <c r="J196" s="6">
        <v>130</v>
      </c>
      <c r="K196" s="6">
        <v>124.8</v>
      </c>
      <c r="L196" s="6">
        <v>0</v>
      </c>
      <c r="M196" s="6">
        <v>0</v>
      </c>
      <c r="N196" s="6">
        <v>0</v>
      </c>
      <c r="O196" s="6">
        <v>0</v>
      </c>
      <c r="P196" s="6">
        <v>1</v>
      </c>
      <c r="Q196" s="4" t="s">
        <v>26</v>
      </c>
      <c r="R196" s="4">
        <v>0</v>
      </c>
      <c r="S196" s="4" t="s">
        <v>120</v>
      </c>
      <c r="U196" s="4">
        <v>11</v>
      </c>
      <c r="V196" s="4">
        <v>0</v>
      </c>
      <c r="W196" s="4">
        <v>0</v>
      </c>
    </row>
    <row r="197" spans="1:23" ht="11.25" customHeight="1" x14ac:dyDescent="0.25">
      <c r="A197" s="4" t="s">
        <v>21</v>
      </c>
      <c r="B197" s="4" t="s">
        <v>35</v>
      </c>
      <c r="C197" s="4" t="s">
        <v>36</v>
      </c>
      <c r="D197" s="4" t="s">
        <v>41</v>
      </c>
      <c r="E197" s="4" t="s">
        <v>49</v>
      </c>
      <c r="F197" s="4" t="s">
        <v>25</v>
      </c>
      <c r="G197" s="4" t="s">
        <v>25</v>
      </c>
      <c r="H197" s="4" t="s">
        <v>25</v>
      </c>
      <c r="I197" s="5">
        <v>44593</v>
      </c>
      <c r="J197" s="6">
        <v>5370</v>
      </c>
      <c r="K197" s="6">
        <v>5155.2</v>
      </c>
      <c r="L197" s="6">
        <v>0</v>
      </c>
      <c r="M197" s="6">
        <v>0</v>
      </c>
      <c r="N197" s="6">
        <v>0</v>
      </c>
      <c r="O197" s="6">
        <v>0</v>
      </c>
      <c r="P197" s="6">
        <v>25</v>
      </c>
      <c r="Q197" s="4" t="s">
        <v>26</v>
      </c>
      <c r="R197" s="4">
        <v>0</v>
      </c>
      <c r="S197" s="4" t="s">
        <v>121</v>
      </c>
      <c r="U197" s="4">
        <v>11</v>
      </c>
      <c r="V197" s="4">
        <v>0</v>
      </c>
      <c r="W197" s="4">
        <v>0</v>
      </c>
    </row>
    <row r="198" spans="1:23" ht="11.25" customHeight="1" x14ac:dyDescent="0.25">
      <c r="A198" s="4" t="s">
        <v>28</v>
      </c>
      <c r="B198" s="4" t="s">
        <v>35</v>
      </c>
      <c r="C198" s="4" t="s">
        <v>36</v>
      </c>
      <c r="D198" s="4" t="s">
        <v>41</v>
      </c>
      <c r="E198" s="4" t="s">
        <v>49</v>
      </c>
      <c r="F198" s="4" t="s">
        <v>25</v>
      </c>
      <c r="G198" s="4" t="s">
        <v>25</v>
      </c>
      <c r="H198" s="4" t="s">
        <v>25</v>
      </c>
      <c r="I198" s="5">
        <v>44593</v>
      </c>
      <c r="J198" s="6">
        <v>202</v>
      </c>
      <c r="K198" s="6">
        <v>193.92</v>
      </c>
      <c r="L198" s="6">
        <v>0</v>
      </c>
      <c r="M198" s="6">
        <v>0</v>
      </c>
      <c r="N198" s="6">
        <v>0</v>
      </c>
      <c r="O198" s="6">
        <v>0</v>
      </c>
      <c r="P198" s="6">
        <v>2</v>
      </c>
      <c r="Q198" s="4" t="s">
        <v>26</v>
      </c>
      <c r="R198" s="4">
        <v>0</v>
      </c>
      <c r="S198" s="4" t="s">
        <v>121</v>
      </c>
      <c r="U198" s="4">
        <v>11</v>
      </c>
      <c r="V198" s="4">
        <v>0</v>
      </c>
      <c r="W198" s="4">
        <v>0</v>
      </c>
    </row>
    <row r="199" spans="1:23" ht="11.25" customHeight="1" x14ac:dyDescent="0.25">
      <c r="A199" s="4" t="s">
        <v>21</v>
      </c>
      <c r="B199" s="4" t="s">
        <v>35</v>
      </c>
      <c r="C199" s="4" t="s">
        <v>36</v>
      </c>
      <c r="D199" s="4" t="s">
        <v>41</v>
      </c>
      <c r="E199" s="4" t="s">
        <v>49</v>
      </c>
      <c r="F199" s="4" t="s">
        <v>25</v>
      </c>
      <c r="G199" s="4" t="s">
        <v>25</v>
      </c>
      <c r="H199" s="4" t="s">
        <v>25</v>
      </c>
      <c r="I199" s="5">
        <v>44621</v>
      </c>
      <c r="J199" s="6">
        <v>3986</v>
      </c>
      <c r="K199" s="6">
        <v>3826.56</v>
      </c>
      <c r="L199" s="6">
        <v>0</v>
      </c>
      <c r="M199" s="6">
        <v>0</v>
      </c>
      <c r="N199" s="6">
        <v>0</v>
      </c>
      <c r="O199" s="6">
        <v>0</v>
      </c>
      <c r="P199" s="6">
        <v>23</v>
      </c>
      <c r="Q199" s="4" t="s">
        <v>26</v>
      </c>
      <c r="R199" s="4">
        <v>0</v>
      </c>
      <c r="S199" s="4" t="s">
        <v>122</v>
      </c>
      <c r="U199" s="4">
        <v>11</v>
      </c>
      <c r="V199" s="4">
        <v>0</v>
      </c>
      <c r="W199" s="4">
        <v>0</v>
      </c>
    </row>
    <row r="200" spans="1:23" ht="11.25" customHeight="1" x14ac:dyDescent="0.25">
      <c r="A200" s="4" t="s">
        <v>27</v>
      </c>
      <c r="B200" s="4" t="s">
        <v>35</v>
      </c>
      <c r="C200" s="4" t="s">
        <v>36</v>
      </c>
      <c r="D200" s="4" t="s">
        <v>41</v>
      </c>
      <c r="E200" s="4" t="s">
        <v>49</v>
      </c>
      <c r="F200" s="4" t="s">
        <v>25</v>
      </c>
      <c r="G200" s="4" t="s">
        <v>25</v>
      </c>
      <c r="H200" s="4" t="s">
        <v>25</v>
      </c>
      <c r="I200" s="5">
        <v>44621</v>
      </c>
      <c r="J200" s="6">
        <v>-348</v>
      </c>
      <c r="K200" s="6">
        <v>-334.08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4" t="s">
        <v>26</v>
      </c>
      <c r="R200" s="4">
        <v>0</v>
      </c>
      <c r="S200" s="4" t="s">
        <v>122</v>
      </c>
      <c r="U200" s="4">
        <v>11</v>
      </c>
      <c r="V200" s="4">
        <v>0</v>
      </c>
      <c r="W200" s="4">
        <v>0</v>
      </c>
    </row>
    <row r="201" spans="1:23" ht="11.25" customHeight="1" x14ac:dyDescent="0.25">
      <c r="A201" s="4" t="s">
        <v>28</v>
      </c>
      <c r="B201" s="4" t="s">
        <v>35</v>
      </c>
      <c r="C201" s="4" t="s">
        <v>36</v>
      </c>
      <c r="D201" s="4" t="s">
        <v>41</v>
      </c>
      <c r="E201" s="4" t="s">
        <v>49</v>
      </c>
      <c r="F201" s="4" t="s">
        <v>25</v>
      </c>
      <c r="G201" s="4" t="s">
        <v>25</v>
      </c>
      <c r="H201" s="4" t="s">
        <v>25</v>
      </c>
      <c r="I201" s="5">
        <v>44621</v>
      </c>
      <c r="J201" s="6">
        <v>148</v>
      </c>
      <c r="K201" s="6">
        <v>142.07999999999998</v>
      </c>
      <c r="L201" s="6">
        <v>0</v>
      </c>
      <c r="M201" s="6">
        <v>0</v>
      </c>
      <c r="N201" s="6">
        <v>0</v>
      </c>
      <c r="O201" s="6">
        <v>0</v>
      </c>
      <c r="P201" s="6">
        <v>3</v>
      </c>
      <c r="Q201" s="4" t="s">
        <v>26</v>
      </c>
      <c r="R201" s="4">
        <v>0</v>
      </c>
      <c r="S201" s="4" t="s">
        <v>122</v>
      </c>
      <c r="U201" s="4">
        <v>11</v>
      </c>
      <c r="V201" s="4">
        <v>0</v>
      </c>
      <c r="W201" s="4">
        <v>0</v>
      </c>
    </row>
    <row r="202" spans="1:23" ht="11.25" customHeight="1" x14ac:dyDescent="0.25">
      <c r="A202" s="4" t="s">
        <v>21</v>
      </c>
      <c r="B202" s="4" t="s">
        <v>35</v>
      </c>
      <c r="C202" s="4" t="s">
        <v>36</v>
      </c>
      <c r="D202" s="4" t="s">
        <v>41</v>
      </c>
      <c r="E202" s="4" t="s">
        <v>49</v>
      </c>
      <c r="F202" s="4" t="s">
        <v>25</v>
      </c>
      <c r="G202" s="4" t="s">
        <v>25</v>
      </c>
      <c r="H202" s="4" t="s">
        <v>25</v>
      </c>
      <c r="I202" s="5">
        <v>44652</v>
      </c>
      <c r="J202" s="6">
        <v>5013</v>
      </c>
      <c r="K202" s="6">
        <v>4812.4799999999996</v>
      </c>
      <c r="L202" s="6">
        <v>0</v>
      </c>
      <c r="M202" s="6">
        <v>0</v>
      </c>
      <c r="N202" s="6">
        <v>0</v>
      </c>
      <c r="O202" s="6">
        <v>0</v>
      </c>
      <c r="P202" s="6">
        <v>25</v>
      </c>
      <c r="Q202" s="4" t="s">
        <v>26</v>
      </c>
      <c r="R202" s="4">
        <v>0</v>
      </c>
      <c r="S202" s="4" t="s">
        <v>123</v>
      </c>
      <c r="U202" s="4">
        <v>11</v>
      </c>
      <c r="V202" s="4">
        <v>0</v>
      </c>
      <c r="W202" s="4">
        <v>0</v>
      </c>
    </row>
    <row r="203" spans="1:23" ht="11.25" customHeight="1" x14ac:dyDescent="0.25">
      <c r="A203" s="4" t="s">
        <v>28</v>
      </c>
      <c r="B203" s="4" t="s">
        <v>35</v>
      </c>
      <c r="C203" s="4" t="s">
        <v>36</v>
      </c>
      <c r="D203" s="4" t="s">
        <v>41</v>
      </c>
      <c r="E203" s="4" t="s">
        <v>49</v>
      </c>
      <c r="F203" s="4" t="s">
        <v>25</v>
      </c>
      <c r="G203" s="4" t="s">
        <v>25</v>
      </c>
      <c r="H203" s="4" t="s">
        <v>25</v>
      </c>
      <c r="I203" s="5">
        <v>44652</v>
      </c>
      <c r="J203" s="6">
        <v>18</v>
      </c>
      <c r="K203" s="6">
        <v>17.28</v>
      </c>
      <c r="L203" s="6">
        <v>0</v>
      </c>
      <c r="M203" s="6">
        <v>0</v>
      </c>
      <c r="N203" s="6">
        <v>0</v>
      </c>
      <c r="O203" s="6">
        <v>0</v>
      </c>
      <c r="P203" s="6">
        <v>2</v>
      </c>
      <c r="Q203" s="4" t="s">
        <v>26</v>
      </c>
      <c r="R203" s="4">
        <v>0</v>
      </c>
      <c r="S203" s="4" t="s">
        <v>123</v>
      </c>
      <c r="U203" s="4">
        <v>11</v>
      </c>
      <c r="V203" s="4">
        <v>0</v>
      </c>
      <c r="W203" s="4">
        <v>0</v>
      </c>
    </row>
    <row r="204" spans="1:23" ht="11.25" customHeight="1" x14ac:dyDescent="0.25">
      <c r="A204" s="4" t="s">
        <v>21</v>
      </c>
      <c r="B204" s="4" t="s">
        <v>35</v>
      </c>
      <c r="C204" s="4" t="s">
        <v>36</v>
      </c>
      <c r="D204" s="4" t="s">
        <v>41</v>
      </c>
      <c r="E204" s="4" t="s">
        <v>49</v>
      </c>
      <c r="F204" s="4" t="s">
        <v>25</v>
      </c>
      <c r="G204" s="4" t="s">
        <v>25</v>
      </c>
      <c r="H204" s="4" t="s">
        <v>25</v>
      </c>
      <c r="I204" s="5">
        <v>44682</v>
      </c>
      <c r="J204" s="6">
        <v>637</v>
      </c>
      <c r="K204" s="6">
        <v>611.52</v>
      </c>
      <c r="L204" s="6">
        <v>0</v>
      </c>
      <c r="M204" s="6">
        <v>0</v>
      </c>
      <c r="N204" s="6">
        <v>0</v>
      </c>
      <c r="O204" s="6">
        <v>0</v>
      </c>
      <c r="P204" s="6">
        <v>24</v>
      </c>
      <c r="Q204" s="4" t="s">
        <v>26</v>
      </c>
      <c r="R204" s="4">
        <v>0</v>
      </c>
      <c r="S204" s="4" t="s">
        <v>124</v>
      </c>
      <c r="U204" s="4">
        <v>11</v>
      </c>
      <c r="V204" s="4">
        <v>0</v>
      </c>
      <c r="W204" s="4">
        <v>0</v>
      </c>
    </row>
    <row r="205" spans="1:23" ht="11.25" customHeight="1" x14ac:dyDescent="0.25">
      <c r="A205" s="4" t="s">
        <v>27</v>
      </c>
      <c r="B205" s="4" t="s">
        <v>35</v>
      </c>
      <c r="C205" s="4" t="s">
        <v>36</v>
      </c>
      <c r="D205" s="4" t="s">
        <v>41</v>
      </c>
      <c r="E205" s="4" t="s">
        <v>49</v>
      </c>
      <c r="F205" s="4" t="s">
        <v>25</v>
      </c>
      <c r="G205" s="4" t="s">
        <v>25</v>
      </c>
      <c r="H205" s="4" t="s">
        <v>25</v>
      </c>
      <c r="I205" s="5">
        <v>44682</v>
      </c>
      <c r="J205" s="6">
        <v>-3781</v>
      </c>
      <c r="K205" s="6">
        <v>-3629.76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4" t="s">
        <v>26</v>
      </c>
      <c r="R205" s="4">
        <v>0</v>
      </c>
      <c r="S205" s="4" t="s">
        <v>124</v>
      </c>
      <c r="U205" s="4">
        <v>11</v>
      </c>
      <c r="V205" s="4">
        <v>0</v>
      </c>
      <c r="W205" s="4">
        <v>0</v>
      </c>
    </row>
    <row r="206" spans="1:23" ht="11.25" customHeight="1" x14ac:dyDescent="0.25">
      <c r="A206" s="4" t="s">
        <v>28</v>
      </c>
      <c r="B206" s="4" t="s">
        <v>35</v>
      </c>
      <c r="C206" s="4" t="s">
        <v>36</v>
      </c>
      <c r="D206" s="4" t="s">
        <v>41</v>
      </c>
      <c r="E206" s="4" t="s">
        <v>49</v>
      </c>
      <c r="F206" s="4" t="s">
        <v>25</v>
      </c>
      <c r="G206" s="4" t="s">
        <v>25</v>
      </c>
      <c r="H206" s="4" t="s">
        <v>25</v>
      </c>
      <c r="I206" s="5">
        <v>44682</v>
      </c>
      <c r="J206" s="6">
        <v>44</v>
      </c>
      <c r="K206" s="6">
        <v>42.239999999999995</v>
      </c>
      <c r="L206" s="6">
        <v>0</v>
      </c>
      <c r="M206" s="6">
        <v>0</v>
      </c>
      <c r="N206" s="6">
        <v>0</v>
      </c>
      <c r="O206" s="6">
        <v>0</v>
      </c>
      <c r="P206" s="6">
        <v>3</v>
      </c>
      <c r="Q206" s="4" t="s">
        <v>26</v>
      </c>
      <c r="R206" s="4">
        <v>0</v>
      </c>
      <c r="S206" s="4" t="s">
        <v>124</v>
      </c>
      <c r="U206" s="4">
        <v>11</v>
      </c>
      <c r="V206" s="4">
        <v>0</v>
      </c>
      <c r="W206" s="4">
        <v>0</v>
      </c>
    </row>
    <row r="207" spans="1:23" ht="11.25" customHeight="1" x14ac:dyDescent="0.25">
      <c r="A207" s="4" t="s">
        <v>21</v>
      </c>
      <c r="B207" s="4" t="s">
        <v>35</v>
      </c>
      <c r="C207" s="4" t="s">
        <v>36</v>
      </c>
      <c r="D207" s="4" t="s">
        <v>41</v>
      </c>
      <c r="E207" s="4" t="s">
        <v>49</v>
      </c>
      <c r="F207" s="4" t="s">
        <v>25</v>
      </c>
      <c r="G207" s="4" t="s">
        <v>25</v>
      </c>
      <c r="H207" s="4" t="s">
        <v>25</v>
      </c>
      <c r="I207" s="5">
        <v>44713</v>
      </c>
      <c r="J207" s="6">
        <v>803</v>
      </c>
      <c r="K207" s="6">
        <v>770.88</v>
      </c>
      <c r="L207" s="6">
        <v>0</v>
      </c>
      <c r="M207" s="6">
        <v>0</v>
      </c>
      <c r="N207" s="6">
        <v>0</v>
      </c>
      <c r="O207" s="6">
        <v>0</v>
      </c>
      <c r="P207" s="6">
        <v>24</v>
      </c>
      <c r="Q207" s="4" t="s">
        <v>26</v>
      </c>
      <c r="R207" s="4">
        <v>0</v>
      </c>
      <c r="S207" s="4" t="s">
        <v>125</v>
      </c>
      <c r="U207" s="4">
        <v>11</v>
      </c>
      <c r="V207" s="4">
        <v>0</v>
      </c>
      <c r="W207" s="4">
        <v>0</v>
      </c>
    </row>
    <row r="208" spans="1:23" ht="11.25" customHeight="1" x14ac:dyDescent="0.25">
      <c r="A208" s="4" t="s">
        <v>28</v>
      </c>
      <c r="B208" s="4" t="s">
        <v>35</v>
      </c>
      <c r="C208" s="4" t="s">
        <v>36</v>
      </c>
      <c r="D208" s="4" t="s">
        <v>41</v>
      </c>
      <c r="E208" s="4" t="s">
        <v>49</v>
      </c>
      <c r="F208" s="4" t="s">
        <v>25</v>
      </c>
      <c r="G208" s="4" t="s">
        <v>25</v>
      </c>
      <c r="H208" s="4" t="s">
        <v>25</v>
      </c>
      <c r="I208" s="5">
        <v>44713</v>
      </c>
      <c r="J208" s="6">
        <v>18</v>
      </c>
      <c r="K208" s="6">
        <v>17.28</v>
      </c>
      <c r="L208" s="6">
        <v>0</v>
      </c>
      <c r="M208" s="6">
        <v>0</v>
      </c>
      <c r="N208" s="6">
        <v>0</v>
      </c>
      <c r="O208" s="6">
        <v>0</v>
      </c>
      <c r="P208" s="6">
        <v>2</v>
      </c>
      <c r="Q208" s="4" t="s">
        <v>26</v>
      </c>
      <c r="R208" s="4">
        <v>0</v>
      </c>
      <c r="S208" s="4" t="s">
        <v>125</v>
      </c>
      <c r="U208" s="4">
        <v>11</v>
      </c>
      <c r="V208" s="4">
        <v>0</v>
      </c>
      <c r="W208" s="4">
        <v>0</v>
      </c>
    </row>
    <row r="209" spans="1:23" ht="11.25" customHeight="1" x14ac:dyDescent="0.25">
      <c r="A209" s="4" t="s">
        <v>21</v>
      </c>
      <c r="B209" s="4" t="s">
        <v>35</v>
      </c>
      <c r="C209" s="4" t="s">
        <v>36</v>
      </c>
      <c r="D209" s="4" t="s">
        <v>41</v>
      </c>
      <c r="E209" s="4" t="s">
        <v>49</v>
      </c>
      <c r="F209" s="4" t="s">
        <v>25</v>
      </c>
      <c r="G209" s="4" t="s">
        <v>25</v>
      </c>
      <c r="H209" s="4" t="s">
        <v>37</v>
      </c>
      <c r="I209" s="5">
        <v>44378</v>
      </c>
      <c r="J209" s="6">
        <v>0</v>
      </c>
      <c r="K209" s="6">
        <v>0</v>
      </c>
      <c r="L209" s="6">
        <v>4.1559999999999997</v>
      </c>
      <c r="M209" s="6">
        <v>3.9897599999999995</v>
      </c>
      <c r="N209" s="6">
        <v>4.1559999999999997</v>
      </c>
      <c r="O209" s="6">
        <v>3.9897599999999995</v>
      </c>
      <c r="P209" s="6">
        <v>0</v>
      </c>
      <c r="Q209" s="4" t="s">
        <v>26</v>
      </c>
      <c r="R209" s="4">
        <v>0</v>
      </c>
      <c r="S209" s="4" t="s">
        <v>126</v>
      </c>
      <c r="T209" s="4" t="s">
        <v>256</v>
      </c>
      <c r="U209" s="4">
        <v>0</v>
      </c>
      <c r="V209" s="4">
        <v>7</v>
      </c>
      <c r="W209" s="4">
        <v>41</v>
      </c>
    </row>
    <row r="210" spans="1:23" ht="11.25" customHeight="1" x14ac:dyDescent="0.25">
      <c r="A210" s="4" t="s">
        <v>21</v>
      </c>
      <c r="B210" s="4" t="s">
        <v>35</v>
      </c>
      <c r="C210" s="4" t="s">
        <v>36</v>
      </c>
      <c r="D210" s="4" t="s">
        <v>41</v>
      </c>
      <c r="E210" s="4" t="s">
        <v>49</v>
      </c>
      <c r="F210" s="4" t="s">
        <v>25</v>
      </c>
      <c r="G210" s="4" t="s">
        <v>25</v>
      </c>
      <c r="H210" s="4" t="s">
        <v>37</v>
      </c>
      <c r="I210" s="5">
        <v>44409</v>
      </c>
      <c r="J210" s="6">
        <v>0</v>
      </c>
      <c r="K210" s="6">
        <v>0</v>
      </c>
      <c r="L210" s="6">
        <v>7.4409999999999998</v>
      </c>
      <c r="M210" s="6">
        <v>7.1433599999999995</v>
      </c>
      <c r="N210" s="6">
        <v>7.4409999999999998</v>
      </c>
      <c r="O210" s="6">
        <v>7.1433599999999995</v>
      </c>
      <c r="P210" s="6">
        <v>0</v>
      </c>
      <c r="Q210" s="4" t="s">
        <v>26</v>
      </c>
      <c r="R210" s="4">
        <v>0</v>
      </c>
      <c r="S210" s="4" t="s">
        <v>127</v>
      </c>
      <c r="T210" s="4" t="s">
        <v>257</v>
      </c>
      <c r="U210" s="4">
        <v>0</v>
      </c>
      <c r="V210" s="4">
        <v>7</v>
      </c>
      <c r="W210" s="4">
        <v>41</v>
      </c>
    </row>
    <row r="211" spans="1:23" ht="11.25" customHeight="1" x14ac:dyDescent="0.25">
      <c r="A211" s="4" t="s">
        <v>21</v>
      </c>
      <c r="B211" s="4" t="s">
        <v>35</v>
      </c>
      <c r="C211" s="4" t="s">
        <v>36</v>
      </c>
      <c r="D211" s="4" t="s">
        <v>41</v>
      </c>
      <c r="E211" s="4" t="s">
        <v>49</v>
      </c>
      <c r="F211" s="4" t="s">
        <v>25</v>
      </c>
      <c r="G211" s="4" t="s">
        <v>25</v>
      </c>
      <c r="H211" s="4" t="s">
        <v>37</v>
      </c>
      <c r="I211" s="5">
        <v>44440</v>
      </c>
      <c r="J211" s="6">
        <v>0</v>
      </c>
      <c r="K211" s="6">
        <v>0</v>
      </c>
      <c r="L211" s="6">
        <v>5.2210000000000001</v>
      </c>
      <c r="M211" s="6">
        <v>5.0121599999999997</v>
      </c>
      <c r="N211" s="6">
        <v>5.2210000000000001</v>
      </c>
      <c r="O211" s="6">
        <v>5.0121599999999997</v>
      </c>
      <c r="P211" s="6">
        <v>0</v>
      </c>
      <c r="Q211" s="4" t="s">
        <v>26</v>
      </c>
      <c r="R211" s="4">
        <v>0</v>
      </c>
      <c r="S211" s="4" t="s">
        <v>128</v>
      </c>
      <c r="T211" s="4" t="s">
        <v>258</v>
      </c>
      <c r="U211" s="4">
        <v>0</v>
      </c>
      <c r="V211" s="4">
        <v>7</v>
      </c>
      <c r="W211" s="4">
        <v>41</v>
      </c>
    </row>
    <row r="212" spans="1:23" ht="11.25" customHeight="1" x14ac:dyDescent="0.25">
      <c r="A212" s="4" t="s">
        <v>21</v>
      </c>
      <c r="B212" s="4" t="s">
        <v>35</v>
      </c>
      <c r="C212" s="4" t="s">
        <v>36</v>
      </c>
      <c r="D212" s="4" t="s">
        <v>41</v>
      </c>
      <c r="E212" s="4" t="s">
        <v>49</v>
      </c>
      <c r="F212" s="4" t="s">
        <v>25</v>
      </c>
      <c r="G212" s="4" t="s">
        <v>25</v>
      </c>
      <c r="H212" s="4" t="s">
        <v>37</v>
      </c>
      <c r="I212" s="5">
        <v>44470</v>
      </c>
      <c r="J212" s="6">
        <v>0</v>
      </c>
      <c r="K212" s="6">
        <v>0</v>
      </c>
      <c r="L212" s="6">
        <v>5.0190000000000001</v>
      </c>
      <c r="M212" s="6">
        <v>4.8182400000000003</v>
      </c>
      <c r="N212" s="6">
        <v>5.0190000000000001</v>
      </c>
      <c r="O212" s="6">
        <v>4.8182400000000003</v>
      </c>
      <c r="P212" s="6">
        <v>0</v>
      </c>
      <c r="Q212" s="4" t="s">
        <v>26</v>
      </c>
      <c r="R212" s="4">
        <v>0</v>
      </c>
      <c r="S212" s="4" t="s">
        <v>129</v>
      </c>
      <c r="T212" s="4" t="s">
        <v>259</v>
      </c>
      <c r="U212" s="4">
        <v>0</v>
      </c>
      <c r="V212" s="4">
        <v>7</v>
      </c>
      <c r="W212" s="4">
        <v>41</v>
      </c>
    </row>
    <row r="213" spans="1:23" ht="11.25" customHeight="1" x14ac:dyDescent="0.25">
      <c r="A213" s="4" t="s">
        <v>21</v>
      </c>
      <c r="B213" s="4" t="s">
        <v>35</v>
      </c>
      <c r="C213" s="4" t="s">
        <v>36</v>
      </c>
      <c r="D213" s="4" t="s">
        <v>41</v>
      </c>
      <c r="E213" s="4" t="s">
        <v>49</v>
      </c>
      <c r="F213" s="4" t="s">
        <v>25</v>
      </c>
      <c r="G213" s="4" t="s">
        <v>25</v>
      </c>
      <c r="H213" s="4" t="s">
        <v>37</v>
      </c>
      <c r="I213" s="5">
        <v>44501</v>
      </c>
      <c r="J213" s="6">
        <v>0</v>
      </c>
      <c r="K213" s="6">
        <v>0</v>
      </c>
      <c r="L213" s="6">
        <v>34.173000000000002</v>
      </c>
      <c r="M213" s="6">
        <v>32.806080000000001</v>
      </c>
      <c r="N213" s="6">
        <v>34.173000000000002</v>
      </c>
      <c r="O213" s="6">
        <v>32.806080000000001</v>
      </c>
      <c r="P213" s="6">
        <v>0</v>
      </c>
      <c r="Q213" s="4" t="s">
        <v>26</v>
      </c>
      <c r="R213" s="4">
        <v>0</v>
      </c>
      <c r="S213" s="4" t="s">
        <v>130</v>
      </c>
      <c r="T213" s="4" t="s">
        <v>260</v>
      </c>
      <c r="U213" s="4">
        <v>0</v>
      </c>
      <c r="V213" s="4">
        <v>7</v>
      </c>
      <c r="W213" s="4">
        <v>41</v>
      </c>
    </row>
    <row r="214" spans="1:23" ht="11.25" customHeight="1" x14ac:dyDescent="0.25">
      <c r="A214" s="4" t="s">
        <v>21</v>
      </c>
      <c r="B214" s="4" t="s">
        <v>35</v>
      </c>
      <c r="C214" s="4" t="s">
        <v>36</v>
      </c>
      <c r="D214" s="4" t="s">
        <v>41</v>
      </c>
      <c r="E214" s="4" t="s">
        <v>49</v>
      </c>
      <c r="F214" s="4" t="s">
        <v>25</v>
      </c>
      <c r="G214" s="4" t="s">
        <v>25</v>
      </c>
      <c r="H214" s="4" t="s">
        <v>37</v>
      </c>
      <c r="I214" s="5">
        <v>44531</v>
      </c>
      <c r="J214" s="6">
        <v>0</v>
      </c>
      <c r="K214" s="6">
        <v>0</v>
      </c>
      <c r="L214" s="6">
        <v>58.46</v>
      </c>
      <c r="M214" s="6">
        <v>56.121600000000001</v>
      </c>
      <c r="N214" s="6">
        <v>58.46</v>
      </c>
      <c r="O214" s="6">
        <v>56.121600000000001</v>
      </c>
      <c r="P214" s="6">
        <v>0</v>
      </c>
      <c r="Q214" s="4" t="s">
        <v>26</v>
      </c>
      <c r="R214" s="4">
        <v>0</v>
      </c>
      <c r="S214" s="4" t="s">
        <v>131</v>
      </c>
      <c r="T214" s="4" t="s">
        <v>261</v>
      </c>
      <c r="U214" s="4">
        <v>0</v>
      </c>
      <c r="V214" s="4">
        <v>7</v>
      </c>
      <c r="W214" s="4">
        <v>41</v>
      </c>
    </row>
    <row r="215" spans="1:23" ht="11.25" customHeight="1" x14ac:dyDescent="0.25">
      <c r="A215" s="4" t="s">
        <v>21</v>
      </c>
      <c r="B215" s="4" t="s">
        <v>35</v>
      </c>
      <c r="C215" s="4" t="s">
        <v>36</v>
      </c>
      <c r="D215" s="4" t="s">
        <v>41</v>
      </c>
      <c r="E215" s="4" t="s">
        <v>49</v>
      </c>
      <c r="F215" s="4" t="s">
        <v>25</v>
      </c>
      <c r="G215" s="4" t="s">
        <v>25</v>
      </c>
      <c r="H215" s="4" t="s">
        <v>37</v>
      </c>
      <c r="I215" s="5">
        <v>44562</v>
      </c>
      <c r="J215" s="6">
        <v>0</v>
      </c>
      <c r="K215" s="6">
        <v>0</v>
      </c>
      <c r="L215" s="6">
        <v>78.616</v>
      </c>
      <c r="M215" s="6">
        <v>75.471360000000004</v>
      </c>
      <c r="N215" s="6">
        <v>78.616</v>
      </c>
      <c r="O215" s="6">
        <v>75.471360000000004</v>
      </c>
      <c r="P215" s="6">
        <v>0</v>
      </c>
      <c r="Q215" s="4" t="s">
        <v>26</v>
      </c>
      <c r="R215" s="4">
        <v>0</v>
      </c>
      <c r="S215" s="4" t="s">
        <v>132</v>
      </c>
      <c r="T215" s="4" t="s">
        <v>262</v>
      </c>
      <c r="U215" s="4">
        <v>0</v>
      </c>
      <c r="V215" s="4">
        <v>7</v>
      </c>
      <c r="W215" s="4">
        <v>41</v>
      </c>
    </row>
    <row r="216" spans="1:23" ht="11.25" customHeight="1" x14ac:dyDescent="0.25">
      <c r="A216" s="4" t="s">
        <v>21</v>
      </c>
      <c r="B216" s="4" t="s">
        <v>35</v>
      </c>
      <c r="C216" s="4" t="s">
        <v>36</v>
      </c>
      <c r="D216" s="4" t="s">
        <v>41</v>
      </c>
      <c r="E216" s="4" t="s">
        <v>49</v>
      </c>
      <c r="F216" s="4" t="s">
        <v>25</v>
      </c>
      <c r="G216" s="4" t="s">
        <v>25</v>
      </c>
      <c r="H216" s="4" t="s">
        <v>37</v>
      </c>
      <c r="I216" s="5">
        <v>44593</v>
      </c>
      <c r="J216" s="6">
        <v>0</v>
      </c>
      <c r="K216" s="6">
        <v>0</v>
      </c>
      <c r="L216" s="6">
        <v>51.834000000000003</v>
      </c>
      <c r="M216" s="6">
        <v>49.760640000000002</v>
      </c>
      <c r="N216" s="6">
        <v>51.834000000000003</v>
      </c>
      <c r="O216" s="6">
        <v>49.760640000000002</v>
      </c>
      <c r="P216" s="6">
        <v>0</v>
      </c>
      <c r="Q216" s="4" t="s">
        <v>26</v>
      </c>
      <c r="R216" s="4">
        <v>0</v>
      </c>
      <c r="S216" s="4" t="s">
        <v>133</v>
      </c>
      <c r="T216" s="4" t="s">
        <v>241</v>
      </c>
      <c r="U216" s="4">
        <v>0</v>
      </c>
      <c r="V216" s="4">
        <v>7</v>
      </c>
      <c r="W216" s="4">
        <v>41</v>
      </c>
    </row>
    <row r="217" spans="1:23" ht="11.25" customHeight="1" x14ac:dyDescent="0.25">
      <c r="A217" s="4" t="s">
        <v>28</v>
      </c>
      <c r="B217" s="4" t="s">
        <v>35</v>
      </c>
      <c r="C217" s="4" t="s">
        <v>36</v>
      </c>
      <c r="D217" s="4" t="s">
        <v>41</v>
      </c>
      <c r="E217" s="4" t="s">
        <v>49</v>
      </c>
      <c r="F217" s="4" t="s">
        <v>25</v>
      </c>
      <c r="G217" s="4" t="s">
        <v>25</v>
      </c>
      <c r="H217" s="4" t="s">
        <v>37</v>
      </c>
      <c r="I217" s="5">
        <v>44593</v>
      </c>
      <c r="J217" s="6">
        <v>0</v>
      </c>
      <c r="K217" s="6">
        <v>0</v>
      </c>
      <c r="L217" s="6">
        <v>5.7590000000000003</v>
      </c>
      <c r="M217" s="6">
        <v>5.5286400000000002</v>
      </c>
      <c r="N217" s="6">
        <v>5.7590000000000003</v>
      </c>
      <c r="O217" s="6">
        <v>5.5286400000000002</v>
      </c>
      <c r="P217" s="6">
        <v>0</v>
      </c>
      <c r="Q217" s="4" t="s">
        <v>26</v>
      </c>
      <c r="R217" s="4">
        <v>0</v>
      </c>
      <c r="S217" s="4" t="s">
        <v>133</v>
      </c>
      <c r="T217" s="4" t="s">
        <v>241</v>
      </c>
      <c r="U217" s="4">
        <v>0</v>
      </c>
      <c r="V217" s="4">
        <v>7</v>
      </c>
      <c r="W217" s="4">
        <v>41</v>
      </c>
    </row>
    <row r="218" spans="1:23" ht="11.25" customHeight="1" x14ac:dyDescent="0.25">
      <c r="A218" s="4" t="s">
        <v>21</v>
      </c>
      <c r="B218" s="4" t="s">
        <v>35</v>
      </c>
      <c r="C218" s="4" t="s">
        <v>36</v>
      </c>
      <c r="D218" s="4" t="s">
        <v>41</v>
      </c>
      <c r="E218" s="4" t="s">
        <v>49</v>
      </c>
      <c r="F218" s="4" t="s">
        <v>25</v>
      </c>
      <c r="G218" s="4" t="s">
        <v>25</v>
      </c>
      <c r="H218" s="4" t="s">
        <v>37</v>
      </c>
      <c r="I218" s="5">
        <v>44621</v>
      </c>
      <c r="J218" s="6">
        <v>0</v>
      </c>
      <c r="K218" s="6">
        <v>0</v>
      </c>
      <c r="L218" s="6">
        <v>22.794</v>
      </c>
      <c r="M218" s="6">
        <v>21.882239999999999</v>
      </c>
      <c r="N218" s="6">
        <v>22.794</v>
      </c>
      <c r="O218" s="6">
        <v>21.882239999999999</v>
      </c>
      <c r="P218" s="6">
        <v>0</v>
      </c>
      <c r="Q218" s="4" t="s">
        <v>26</v>
      </c>
      <c r="R218" s="4">
        <v>0</v>
      </c>
      <c r="S218" s="4" t="s">
        <v>134</v>
      </c>
      <c r="T218" s="4" t="s">
        <v>242</v>
      </c>
      <c r="U218" s="4">
        <v>0</v>
      </c>
      <c r="V218" s="4">
        <v>7</v>
      </c>
      <c r="W218" s="4">
        <v>41</v>
      </c>
    </row>
    <row r="219" spans="1:23" ht="11.25" customHeight="1" x14ac:dyDescent="0.25">
      <c r="A219" s="4" t="s">
        <v>21</v>
      </c>
      <c r="B219" s="4" t="s">
        <v>35</v>
      </c>
      <c r="C219" s="4" t="s">
        <v>36</v>
      </c>
      <c r="D219" s="4" t="s">
        <v>41</v>
      </c>
      <c r="E219" s="4" t="s">
        <v>49</v>
      </c>
      <c r="F219" s="4" t="s">
        <v>25</v>
      </c>
      <c r="G219" s="4" t="s">
        <v>25</v>
      </c>
      <c r="H219" s="4" t="s">
        <v>37</v>
      </c>
      <c r="I219" s="5">
        <v>44652</v>
      </c>
      <c r="J219" s="6">
        <v>0</v>
      </c>
      <c r="K219" s="6">
        <v>0</v>
      </c>
      <c r="L219" s="6">
        <v>5.7729999999999997</v>
      </c>
      <c r="M219" s="6">
        <v>5.5420800000000003</v>
      </c>
      <c r="N219" s="6">
        <v>5.7729999999999997</v>
      </c>
      <c r="O219" s="6">
        <v>5.5420800000000003</v>
      </c>
      <c r="P219" s="6">
        <v>0</v>
      </c>
      <c r="Q219" s="4" t="s">
        <v>26</v>
      </c>
      <c r="R219" s="4">
        <v>0</v>
      </c>
      <c r="S219" s="4" t="s">
        <v>135</v>
      </c>
      <c r="T219" s="4" t="s">
        <v>243</v>
      </c>
      <c r="U219" s="4">
        <v>0</v>
      </c>
      <c r="V219" s="4">
        <v>7</v>
      </c>
      <c r="W219" s="4">
        <v>41</v>
      </c>
    </row>
    <row r="220" spans="1:23" ht="11.25" customHeight="1" x14ac:dyDescent="0.25">
      <c r="A220" s="4" t="s">
        <v>21</v>
      </c>
      <c r="B220" s="4" t="s">
        <v>35</v>
      </c>
      <c r="C220" s="4" t="s">
        <v>36</v>
      </c>
      <c r="D220" s="4" t="s">
        <v>41</v>
      </c>
      <c r="E220" s="4" t="s">
        <v>49</v>
      </c>
      <c r="F220" s="4" t="s">
        <v>25</v>
      </c>
      <c r="G220" s="4" t="s">
        <v>25</v>
      </c>
      <c r="H220" s="4" t="s">
        <v>37</v>
      </c>
      <c r="I220" s="5">
        <v>44682</v>
      </c>
      <c r="J220" s="6">
        <v>0</v>
      </c>
      <c r="K220" s="6">
        <v>0</v>
      </c>
      <c r="L220" s="6">
        <v>5.4539999999999997</v>
      </c>
      <c r="M220" s="6">
        <v>5.2358399999999996</v>
      </c>
      <c r="N220" s="6">
        <v>5.4539999999999997</v>
      </c>
      <c r="O220" s="6">
        <v>5.2358399999999996</v>
      </c>
      <c r="P220" s="6">
        <v>0</v>
      </c>
      <c r="Q220" s="4" t="s">
        <v>26</v>
      </c>
      <c r="R220" s="4">
        <v>0</v>
      </c>
      <c r="S220" s="4" t="s">
        <v>136</v>
      </c>
      <c r="T220" s="4" t="s">
        <v>244</v>
      </c>
      <c r="U220" s="4">
        <v>0</v>
      </c>
      <c r="V220" s="4">
        <v>7</v>
      </c>
      <c r="W220" s="4">
        <v>41</v>
      </c>
    </row>
    <row r="221" spans="1:23" ht="11.25" customHeight="1" x14ac:dyDescent="0.25">
      <c r="A221" s="4" t="s">
        <v>21</v>
      </c>
      <c r="B221" s="4" t="s">
        <v>35</v>
      </c>
      <c r="C221" s="4" t="s">
        <v>36</v>
      </c>
      <c r="D221" s="4" t="s">
        <v>41</v>
      </c>
      <c r="E221" s="4" t="s">
        <v>49</v>
      </c>
      <c r="F221" s="4" t="s">
        <v>25</v>
      </c>
      <c r="G221" s="4" t="s">
        <v>25</v>
      </c>
      <c r="H221" s="4" t="s">
        <v>37</v>
      </c>
      <c r="I221" s="5">
        <v>44713</v>
      </c>
      <c r="J221" s="6">
        <v>0</v>
      </c>
      <c r="K221" s="6">
        <v>0</v>
      </c>
      <c r="L221" s="6">
        <v>3.14</v>
      </c>
      <c r="M221" s="6">
        <v>3.0144000000000002</v>
      </c>
      <c r="N221" s="6">
        <v>3.14</v>
      </c>
      <c r="O221" s="6">
        <v>3.0144000000000002</v>
      </c>
      <c r="P221" s="6">
        <v>0</v>
      </c>
      <c r="Q221" s="4" t="s">
        <v>26</v>
      </c>
      <c r="R221" s="4">
        <v>0</v>
      </c>
      <c r="S221" s="4" t="s">
        <v>137</v>
      </c>
      <c r="T221" s="4" t="s">
        <v>236</v>
      </c>
      <c r="U221" s="4">
        <v>0</v>
      </c>
      <c r="V221" s="4">
        <v>7</v>
      </c>
      <c r="W221" s="4">
        <v>41</v>
      </c>
    </row>
    <row r="222" spans="1:23" ht="11.25" customHeight="1" x14ac:dyDescent="0.25">
      <c r="A222" s="4" t="s">
        <v>21</v>
      </c>
      <c r="B222" s="4" t="s">
        <v>35</v>
      </c>
      <c r="C222" s="4" t="s">
        <v>36</v>
      </c>
      <c r="D222" s="4" t="s">
        <v>41</v>
      </c>
      <c r="E222" s="4" t="s">
        <v>25</v>
      </c>
      <c r="F222" s="4" t="s">
        <v>25</v>
      </c>
      <c r="G222" s="4" t="s">
        <v>25</v>
      </c>
      <c r="H222" s="4" t="s">
        <v>38</v>
      </c>
      <c r="I222" s="5">
        <v>44378</v>
      </c>
      <c r="J222" s="6">
        <v>0</v>
      </c>
      <c r="K222" s="6">
        <v>0</v>
      </c>
      <c r="L222" s="6">
        <v>26.263000000000002</v>
      </c>
      <c r="M222" s="6">
        <v>25.212479999999999</v>
      </c>
      <c r="N222" s="6">
        <v>26.263000000000002</v>
      </c>
      <c r="O222" s="6">
        <v>25.212479999999999</v>
      </c>
      <c r="P222" s="6">
        <v>0</v>
      </c>
      <c r="Q222" s="4" t="s">
        <v>26</v>
      </c>
      <c r="R222" s="4">
        <v>0</v>
      </c>
      <c r="S222" s="4" t="s">
        <v>102</v>
      </c>
      <c r="T222" s="4" t="s">
        <v>245</v>
      </c>
      <c r="U222" s="4">
        <v>0</v>
      </c>
      <c r="V222" s="4">
        <v>15</v>
      </c>
      <c r="W222" s="4">
        <v>28</v>
      </c>
    </row>
    <row r="223" spans="1:23" ht="11.25" customHeight="1" x14ac:dyDescent="0.25">
      <c r="A223" s="4" t="s">
        <v>28</v>
      </c>
      <c r="B223" s="4" t="s">
        <v>35</v>
      </c>
      <c r="C223" s="4" t="s">
        <v>36</v>
      </c>
      <c r="D223" s="4" t="s">
        <v>41</v>
      </c>
      <c r="E223" s="4" t="s">
        <v>25</v>
      </c>
      <c r="F223" s="4" t="s">
        <v>25</v>
      </c>
      <c r="G223" s="4" t="s">
        <v>25</v>
      </c>
      <c r="H223" s="4" t="s">
        <v>38</v>
      </c>
      <c r="I223" s="5">
        <v>44378</v>
      </c>
      <c r="J223" s="6">
        <v>0</v>
      </c>
      <c r="K223" s="6">
        <v>0</v>
      </c>
      <c r="L223" s="6">
        <v>-48.38</v>
      </c>
      <c r="M223" s="6">
        <v>-46.444800000000001</v>
      </c>
      <c r="N223" s="6">
        <v>-48.38</v>
      </c>
      <c r="O223" s="6">
        <v>-46.444800000000001</v>
      </c>
      <c r="P223" s="6">
        <v>0</v>
      </c>
      <c r="Q223" s="4" t="s">
        <v>26</v>
      </c>
      <c r="R223" s="4">
        <v>0</v>
      </c>
      <c r="S223" s="4" t="s">
        <v>102</v>
      </c>
      <c r="T223" s="4" t="s">
        <v>245</v>
      </c>
      <c r="U223" s="4">
        <v>0</v>
      </c>
      <c r="V223" s="4">
        <v>15</v>
      </c>
      <c r="W223" s="4">
        <v>28</v>
      </c>
    </row>
    <row r="224" spans="1:23" ht="11.25" customHeight="1" x14ac:dyDescent="0.25">
      <c r="A224" s="4" t="s">
        <v>21</v>
      </c>
      <c r="B224" s="4" t="s">
        <v>35</v>
      </c>
      <c r="C224" s="4" t="s">
        <v>36</v>
      </c>
      <c r="D224" s="4" t="s">
        <v>41</v>
      </c>
      <c r="E224" s="4" t="s">
        <v>25</v>
      </c>
      <c r="F224" s="4" t="s">
        <v>25</v>
      </c>
      <c r="G224" s="4" t="s">
        <v>25</v>
      </c>
      <c r="H224" s="4" t="s">
        <v>38</v>
      </c>
      <c r="I224" s="5">
        <v>44409</v>
      </c>
      <c r="J224" s="6">
        <v>0</v>
      </c>
      <c r="K224" s="6">
        <v>0</v>
      </c>
      <c r="L224" s="6">
        <v>28.582999999999998</v>
      </c>
      <c r="M224" s="6">
        <v>27.439679999999999</v>
      </c>
      <c r="N224" s="6">
        <v>28.582999999999998</v>
      </c>
      <c r="O224" s="6">
        <v>27.439679999999999</v>
      </c>
      <c r="P224" s="6">
        <v>0</v>
      </c>
      <c r="Q224" s="4" t="s">
        <v>26</v>
      </c>
      <c r="R224" s="4">
        <v>0</v>
      </c>
      <c r="S224" s="4" t="s">
        <v>103</v>
      </c>
      <c r="T224" s="4" t="s">
        <v>246</v>
      </c>
      <c r="U224" s="4">
        <v>0</v>
      </c>
      <c r="V224" s="4">
        <v>15</v>
      </c>
      <c r="W224" s="4">
        <v>28</v>
      </c>
    </row>
    <row r="225" spans="1:23" ht="11.25" customHeight="1" x14ac:dyDescent="0.25">
      <c r="A225" s="4" t="s">
        <v>21</v>
      </c>
      <c r="B225" s="4" t="s">
        <v>35</v>
      </c>
      <c r="C225" s="4" t="s">
        <v>36</v>
      </c>
      <c r="D225" s="4" t="s">
        <v>41</v>
      </c>
      <c r="E225" s="4" t="s">
        <v>25</v>
      </c>
      <c r="F225" s="4" t="s">
        <v>25</v>
      </c>
      <c r="G225" s="4" t="s">
        <v>25</v>
      </c>
      <c r="H225" s="4" t="s">
        <v>38</v>
      </c>
      <c r="I225" s="5">
        <v>44440</v>
      </c>
      <c r="J225" s="6">
        <v>0</v>
      </c>
      <c r="K225" s="6">
        <v>0</v>
      </c>
      <c r="L225" s="6">
        <v>25.841999999999999</v>
      </c>
      <c r="M225" s="6">
        <v>24.808319999999998</v>
      </c>
      <c r="N225" s="6">
        <v>25.841999999999999</v>
      </c>
      <c r="O225" s="6">
        <v>24.808319999999998</v>
      </c>
      <c r="P225" s="6">
        <v>0</v>
      </c>
      <c r="Q225" s="4" t="s">
        <v>26</v>
      </c>
      <c r="R225" s="4">
        <v>0</v>
      </c>
      <c r="S225" s="4" t="s">
        <v>104</v>
      </c>
      <c r="T225" s="4" t="s">
        <v>247</v>
      </c>
      <c r="U225" s="4">
        <v>0</v>
      </c>
      <c r="V225" s="4">
        <v>15</v>
      </c>
      <c r="W225" s="4">
        <v>28</v>
      </c>
    </row>
    <row r="226" spans="1:23" ht="11.25" customHeight="1" x14ac:dyDescent="0.25">
      <c r="A226" s="4" t="s">
        <v>21</v>
      </c>
      <c r="B226" s="4" t="s">
        <v>35</v>
      </c>
      <c r="C226" s="4" t="s">
        <v>36</v>
      </c>
      <c r="D226" s="4" t="s">
        <v>41</v>
      </c>
      <c r="E226" s="4" t="s">
        <v>25</v>
      </c>
      <c r="F226" s="4" t="s">
        <v>25</v>
      </c>
      <c r="G226" s="4" t="s">
        <v>25</v>
      </c>
      <c r="H226" s="4" t="s">
        <v>38</v>
      </c>
      <c r="I226" s="5">
        <v>44470</v>
      </c>
      <c r="J226" s="6">
        <v>0</v>
      </c>
      <c r="K226" s="6">
        <v>0</v>
      </c>
      <c r="L226" s="6">
        <v>28.277999999999999</v>
      </c>
      <c r="M226" s="6">
        <v>27.146879999999999</v>
      </c>
      <c r="N226" s="6">
        <v>28.277999999999999</v>
      </c>
      <c r="O226" s="6">
        <v>27.146879999999999</v>
      </c>
      <c r="P226" s="6">
        <v>0</v>
      </c>
      <c r="Q226" s="4" t="s">
        <v>26</v>
      </c>
      <c r="R226" s="4">
        <v>0</v>
      </c>
      <c r="S226" s="4" t="s">
        <v>105</v>
      </c>
      <c r="T226" s="4" t="s">
        <v>248</v>
      </c>
      <c r="U226" s="4">
        <v>0</v>
      </c>
      <c r="V226" s="4">
        <v>15</v>
      </c>
      <c r="W226" s="4">
        <v>28</v>
      </c>
    </row>
    <row r="227" spans="1:23" ht="11.25" customHeight="1" x14ac:dyDescent="0.25">
      <c r="A227" s="4" t="s">
        <v>21</v>
      </c>
      <c r="B227" s="4" t="s">
        <v>35</v>
      </c>
      <c r="C227" s="4" t="s">
        <v>36</v>
      </c>
      <c r="D227" s="4" t="s">
        <v>41</v>
      </c>
      <c r="E227" s="4" t="s">
        <v>25</v>
      </c>
      <c r="F227" s="4" t="s">
        <v>25</v>
      </c>
      <c r="G227" s="4" t="s">
        <v>25</v>
      </c>
      <c r="H227" s="4" t="s">
        <v>38</v>
      </c>
      <c r="I227" s="5">
        <v>44501</v>
      </c>
      <c r="J227" s="6">
        <v>0</v>
      </c>
      <c r="K227" s="6">
        <v>0</v>
      </c>
      <c r="L227" s="6">
        <v>33.890999999999998</v>
      </c>
      <c r="M227" s="6">
        <v>32.535359999999997</v>
      </c>
      <c r="N227" s="6">
        <v>33.890999999999998</v>
      </c>
      <c r="O227" s="6">
        <v>32.535359999999997</v>
      </c>
      <c r="P227" s="6">
        <v>0</v>
      </c>
      <c r="Q227" s="4" t="s">
        <v>26</v>
      </c>
      <c r="R227" s="4">
        <v>0</v>
      </c>
      <c r="S227" s="4" t="s">
        <v>106</v>
      </c>
      <c r="T227" s="4" t="s">
        <v>249</v>
      </c>
      <c r="U227" s="4">
        <v>0</v>
      </c>
      <c r="V227" s="4">
        <v>15</v>
      </c>
      <c r="W227" s="4">
        <v>28</v>
      </c>
    </row>
    <row r="228" spans="1:23" ht="11.25" customHeight="1" x14ac:dyDescent="0.25">
      <c r="A228" s="4" t="s">
        <v>21</v>
      </c>
      <c r="B228" s="4" t="s">
        <v>35</v>
      </c>
      <c r="C228" s="4" t="s">
        <v>36</v>
      </c>
      <c r="D228" s="4" t="s">
        <v>41</v>
      </c>
      <c r="E228" s="4" t="s">
        <v>25</v>
      </c>
      <c r="F228" s="4" t="s">
        <v>25</v>
      </c>
      <c r="G228" s="4" t="s">
        <v>25</v>
      </c>
      <c r="H228" s="4" t="s">
        <v>38</v>
      </c>
      <c r="I228" s="5">
        <v>44531</v>
      </c>
      <c r="J228" s="6">
        <v>0</v>
      </c>
      <c r="K228" s="6">
        <v>0</v>
      </c>
      <c r="L228" s="6">
        <v>31.939</v>
      </c>
      <c r="M228" s="6">
        <v>30.661439999999999</v>
      </c>
      <c r="N228" s="6">
        <v>31.939</v>
      </c>
      <c r="O228" s="6">
        <v>30.661439999999999</v>
      </c>
      <c r="P228" s="6">
        <v>0</v>
      </c>
      <c r="Q228" s="4" t="s">
        <v>26</v>
      </c>
      <c r="R228" s="4">
        <v>0</v>
      </c>
      <c r="S228" s="4" t="s">
        <v>107</v>
      </c>
      <c r="T228" s="4" t="s">
        <v>250</v>
      </c>
      <c r="U228" s="4">
        <v>0</v>
      </c>
      <c r="V228" s="4">
        <v>15</v>
      </c>
      <c r="W228" s="4">
        <v>28</v>
      </c>
    </row>
    <row r="229" spans="1:23" ht="11.25" customHeight="1" x14ac:dyDescent="0.25">
      <c r="A229" s="4" t="s">
        <v>21</v>
      </c>
      <c r="B229" s="4" t="s">
        <v>35</v>
      </c>
      <c r="C229" s="4" t="s">
        <v>36</v>
      </c>
      <c r="D229" s="4" t="s">
        <v>41</v>
      </c>
      <c r="E229" s="4" t="s">
        <v>25</v>
      </c>
      <c r="F229" s="4" t="s">
        <v>25</v>
      </c>
      <c r="G229" s="4" t="s">
        <v>25</v>
      </c>
      <c r="H229" s="4" t="s">
        <v>38</v>
      </c>
      <c r="I229" s="5">
        <v>44562</v>
      </c>
      <c r="J229" s="6">
        <v>0</v>
      </c>
      <c r="K229" s="6">
        <v>0</v>
      </c>
      <c r="L229" s="6">
        <v>38.256</v>
      </c>
      <c r="M229" s="6">
        <v>36.725760000000001</v>
      </c>
      <c r="N229" s="6">
        <v>38.256</v>
      </c>
      <c r="O229" s="6">
        <v>36.725760000000001</v>
      </c>
      <c r="P229" s="6">
        <v>0</v>
      </c>
      <c r="Q229" s="4" t="s">
        <v>26</v>
      </c>
      <c r="R229" s="4">
        <v>0</v>
      </c>
      <c r="S229" s="4" t="s">
        <v>108</v>
      </c>
      <c r="T229" s="4" t="s">
        <v>251</v>
      </c>
      <c r="U229" s="4">
        <v>0</v>
      </c>
      <c r="V229" s="4">
        <v>15</v>
      </c>
      <c r="W229" s="4">
        <v>28</v>
      </c>
    </row>
    <row r="230" spans="1:23" ht="11.25" customHeight="1" x14ac:dyDescent="0.25">
      <c r="A230" s="4" t="s">
        <v>21</v>
      </c>
      <c r="B230" s="4" t="s">
        <v>35</v>
      </c>
      <c r="C230" s="4" t="s">
        <v>36</v>
      </c>
      <c r="D230" s="4" t="s">
        <v>41</v>
      </c>
      <c r="E230" s="4" t="s">
        <v>25</v>
      </c>
      <c r="F230" s="4" t="s">
        <v>25</v>
      </c>
      <c r="G230" s="4" t="s">
        <v>25</v>
      </c>
      <c r="H230" s="4" t="s">
        <v>38</v>
      </c>
      <c r="I230" s="5">
        <v>44593</v>
      </c>
      <c r="J230" s="6">
        <v>0</v>
      </c>
      <c r="K230" s="6">
        <v>0</v>
      </c>
      <c r="L230" s="6">
        <v>32.28</v>
      </c>
      <c r="M230" s="6">
        <v>30.988800000000001</v>
      </c>
      <c r="N230" s="6">
        <v>32.28</v>
      </c>
      <c r="O230" s="6">
        <v>30.988800000000001</v>
      </c>
      <c r="P230" s="6">
        <v>0</v>
      </c>
      <c r="Q230" s="4" t="s">
        <v>26</v>
      </c>
      <c r="R230" s="4">
        <v>0</v>
      </c>
      <c r="S230" s="4" t="s">
        <v>109</v>
      </c>
      <c r="T230" s="4" t="s">
        <v>237</v>
      </c>
      <c r="U230" s="4">
        <v>0</v>
      </c>
      <c r="V230" s="4">
        <v>15</v>
      </c>
      <c r="W230" s="4">
        <v>28</v>
      </c>
    </row>
    <row r="231" spans="1:23" ht="11.25" customHeight="1" x14ac:dyDescent="0.25">
      <c r="A231" s="4" t="s">
        <v>21</v>
      </c>
      <c r="B231" s="4" t="s">
        <v>35</v>
      </c>
      <c r="C231" s="4" t="s">
        <v>36</v>
      </c>
      <c r="D231" s="4" t="s">
        <v>41</v>
      </c>
      <c r="E231" s="4" t="s">
        <v>25</v>
      </c>
      <c r="F231" s="4" t="s">
        <v>25</v>
      </c>
      <c r="G231" s="4" t="s">
        <v>25</v>
      </c>
      <c r="H231" s="4" t="s">
        <v>38</v>
      </c>
      <c r="I231" s="5">
        <v>44621</v>
      </c>
      <c r="J231" s="6">
        <v>0</v>
      </c>
      <c r="K231" s="6">
        <v>0</v>
      </c>
      <c r="L231" s="6">
        <v>80.394999999999996</v>
      </c>
      <c r="M231" s="6">
        <v>77.179199999999994</v>
      </c>
      <c r="N231" s="6">
        <v>80.394999999999996</v>
      </c>
      <c r="O231" s="6">
        <v>77.179199999999994</v>
      </c>
      <c r="P231" s="6">
        <v>0</v>
      </c>
      <c r="Q231" s="4" t="s">
        <v>26</v>
      </c>
      <c r="R231" s="4">
        <v>0</v>
      </c>
      <c r="S231" s="4" t="s">
        <v>110</v>
      </c>
      <c r="T231" s="4" t="s">
        <v>238</v>
      </c>
      <c r="U231" s="4">
        <v>0</v>
      </c>
      <c r="V231" s="4">
        <v>15</v>
      </c>
      <c r="W231" s="4">
        <v>28</v>
      </c>
    </row>
    <row r="232" spans="1:23" ht="11.25" customHeight="1" x14ac:dyDescent="0.25">
      <c r="A232" s="4" t="s">
        <v>21</v>
      </c>
      <c r="B232" s="4" t="s">
        <v>35</v>
      </c>
      <c r="C232" s="4" t="s">
        <v>36</v>
      </c>
      <c r="D232" s="4" t="s">
        <v>41</v>
      </c>
      <c r="E232" s="4" t="s">
        <v>25</v>
      </c>
      <c r="F232" s="4" t="s">
        <v>25</v>
      </c>
      <c r="G232" s="4" t="s">
        <v>25</v>
      </c>
      <c r="H232" s="4" t="s">
        <v>38</v>
      </c>
      <c r="I232" s="5">
        <v>44652</v>
      </c>
      <c r="J232" s="6">
        <v>0</v>
      </c>
      <c r="K232" s="6">
        <v>0</v>
      </c>
      <c r="L232" s="6">
        <v>71.855000000000004</v>
      </c>
      <c r="M232" s="6">
        <v>68.980800000000002</v>
      </c>
      <c r="N232" s="6">
        <v>71.855000000000004</v>
      </c>
      <c r="O232" s="6">
        <v>68.980800000000002</v>
      </c>
      <c r="P232" s="6">
        <v>0</v>
      </c>
      <c r="Q232" s="4" t="s">
        <v>26</v>
      </c>
      <c r="R232" s="4">
        <v>0</v>
      </c>
      <c r="S232" s="4" t="s">
        <v>111</v>
      </c>
      <c r="T232" s="4" t="s">
        <v>239</v>
      </c>
      <c r="U232" s="4">
        <v>0</v>
      </c>
      <c r="V232" s="4">
        <v>15</v>
      </c>
      <c r="W232" s="4">
        <v>28</v>
      </c>
    </row>
    <row r="233" spans="1:23" ht="11.25" customHeight="1" x14ac:dyDescent="0.25">
      <c r="A233" s="4" t="s">
        <v>21</v>
      </c>
      <c r="B233" s="4" t="s">
        <v>35</v>
      </c>
      <c r="C233" s="4" t="s">
        <v>36</v>
      </c>
      <c r="D233" s="4" t="s">
        <v>41</v>
      </c>
      <c r="E233" s="4" t="s">
        <v>25</v>
      </c>
      <c r="F233" s="4" t="s">
        <v>25</v>
      </c>
      <c r="G233" s="4" t="s">
        <v>25</v>
      </c>
      <c r="H233" s="4" t="s">
        <v>38</v>
      </c>
      <c r="I233" s="5">
        <v>44682</v>
      </c>
      <c r="J233" s="6">
        <v>0</v>
      </c>
      <c r="K233" s="6">
        <v>0</v>
      </c>
      <c r="L233" s="6">
        <v>51.518000000000001</v>
      </c>
      <c r="M233" s="6">
        <v>49.457279999999997</v>
      </c>
      <c r="N233" s="6">
        <v>51.518000000000001</v>
      </c>
      <c r="O233" s="6">
        <v>49.457279999999997</v>
      </c>
      <c r="P233" s="6">
        <v>0</v>
      </c>
      <c r="Q233" s="4" t="s">
        <v>26</v>
      </c>
      <c r="R233" s="4">
        <v>0</v>
      </c>
      <c r="S233" s="4" t="s">
        <v>112</v>
      </c>
      <c r="T233" s="4" t="s">
        <v>240</v>
      </c>
      <c r="U233" s="4">
        <v>0</v>
      </c>
      <c r="V233" s="4">
        <v>15</v>
      </c>
      <c r="W233" s="4">
        <v>28</v>
      </c>
    </row>
    <row r="234" spans="1:23" ht="11.25" customHeight="1" x14ac:dyDescent="0.25">
      <c r="A234" s="4" t="s">
        <v>28</v>
      </c>
      <c r="B234" s="4" t="s">
        <v>35</v>
      </c>
      <c r="C234" s="4" t="s">
        <v>36</v>
      </c>
      <c r="D234" s="4" t="s">
        <v>41</v>
      </c>
      <c r="E234" s="4" t="s">
        <v>25</v>
      </c>
      <c r="F234" s="4" t="s">
        <v>25</v>
      </c>
      <c r="G234" s="4" t="s">
        <v>25</v>
      </c>
      <c r="H234" s="4" t="s">
        <v>38</v>
      </c>
      <c r="I234" s="5">
        <v>44682</v>
      </c>
      <c r="J234" s="6">
        <v>0</v>
      </c>
      <c r="K234" s="6">
        <v>0</v>
      </c>
      <c r="L234" s="6">
        <v>11.651</v>
      </c>
      <c r="M234" s="6">
        <v>11.18496</v>
      </c>
      <c r="N234" s="6">
        <v>11.651</v>
      </c>
      <c r="O234" s="6">
        <v>11.18496</v>
      </c>
      <c r="P234" s="6">
        <v>0</v>
      </c>
      <c r="Q234" s="4" t="s">
        <v>26</v>
      </c>
      <c r="R234" s="4">
        <v>0</v>
      </c>
      <c r="S234" s="4" t="s">
        <v>112</v>
      </c>
      <c r="T234" s="4" t="s">
        <v>240</v>
      </c>
      <c r="U234" s="4">
        <v>0</v>
      </c>
      <c r="V234" s="4">
        <v>15</v>
      </c>
      <c r="W234" s="4">
        <v>28</v>
      </c>
    </row>
    <row r="235" spans="1:23" ht="11.25" customHeight="1" x14ac:dyDescent="0.25">
      <c r="A235" s="4" t="s">
        <v>21</v>
      </c>
      <c r="B235" s="4" t="s">
        <v>35</v>
      </c>
      <c r="C235" s="4" t="s">
        <v>36</v>
      </c>
      <c r="D235" s="4" t="s">
        <v>41</v>
      </c>
      <c r="E235" s="4" t="s">
        <v>25</v>
      </c>
      <c r="F235" s="4" t="s">
        <v>25</v>
      </c>
      <c r="G235" s="4" t="s">
        <v>25</v>
      </c>
      <c r="H235" s="4" t="s">
        <v>38</v>
      </c>
      <c r="I235" s="5">
        <v>44713</v>
      </c>
      <c r="J235" s="6">
        <v>0</v>
      </c>
      <c r="K235" s="6">
        <v>0</v>
      </c>
      <c r="L235" s="6">
        <v>41.88</v>
      </c>
      <c r="M235" s="6">
        <v>40.204799999999999</v>
      </c>
      <c r="N235" s="6">
        <v>41.88</v>
      </c>
      <c r="O235" s="6">
        <v>40.204799999999999</v>
      </c>
      <c r="P235" s="6">
        <v>0</v>
      </c>
      <c r="Q235" s="4" t="s">
        <v>26</v>
      </c>
      <c r="R235" s="4">
        <v>0</v>
      </c>
      <c r="S235" s="4" t="s">
        <v>113</v>
      </c>
      <c r="T235" s="4" t="s">
        <v>235</v>
      </c>
      <c r="U235" s="4">
        <v>0</v>
      </c>
      <c r="V235" s="4">
        <v>15</v>
      </c>
      <c r="W235" s="4">
        <v>28</v>
      </c>
    </row>
    <row r="236" spans="1:23" ht="11.25" customHeight="1" x14ac:dyDescent="0.25">
      <c r="A236" s="4" t="s">
        <v>28</v>
      </c>
      <c r="B236" s="4" t="s">
        <v>35</v>
      </c>
      <c r="C236" s="4" t="s">
        <v>36</v>
      </c>
      <c r="D236" s="4" t="s">
        <v>41</v>
      </c>
      <c r="E236" s="4" t="s">
        <v>25</v>
      </c>
      <c r="F236" s="4" t="s">
        <v>25</v>
      </c>
      <c r="G236" s="4" t="s">
        <v>25</v>
      </c>
      <c r="H236" s="4" t="s">
        <v>38</v>
      </c>
      <c r="I236" s="5">
        <v>44713</v>
      </c>
      <c r="J236" s="6">
        <v>0</v>
      </c>
      <c r="K236" s="6">
        <v>0</v>
      </c>
      <c r="L236" s="6">
        <v>44.261000000000003</v>
      </c>
      <c r="M236" s="6">
        <v>42.490560000000002</v>
      </c>
      <c r="N236" s="6">
        <v>44.261000000000003</v>
      </c>
      <c r="O236" s="6">
        <v>42.490560000000002</v>
      </c>
      <c r="P236" s="6">
        <v>0</v>
      </c>
      <c r="Q236" s="4" t="s">
        <v>26</v>
      </c>
      <c r="R236" s="4">
        <v>0</v>
      </c>
      <c r="S236" s="4" t="s">
        <v>113</v>
      </c>
      <c r="T236" s="4" t="s">
        <v>235</v>
      </c>
      <c r="U236" s="4">
        <v>0</v>
      </c>
      <c r="V236" s="4">
        <v>15</v>
      </c>
      <c r="W236" s="4">
        <v>28</v>
      </c>
    </row>
    <row r="237" spans="1:23" ht="11.25" customHeight="1" x14ac:dyDescent="0.25">
      <c r="A237" s="4" t="s">
        <v>21</v>
      </c>
      <c r="B237" s="4" t="s">
        <v>35</v>
      </c>
      <c r="C237" s="4" t="s">
        <v>36</v>
      </c>
      <c r="D237" s="4" t="s">
        <v>41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44378</v>
      </c>
      <c r="J237" s="6">
        <v>198</v>
      </c>
      <c r="K237" s="6">
        <v>190.07999999999998</v>
      </c>
      <c r="L237" s="6">
        <v>0</v>
      </c>
      <c r="M237" s="6">
        <v>0</v>
      </c>
      <c r="N237" s="6">
        <v>0</v>
      </c>
      <c r="O237" s="6">
        <v>0</v>
      </c>
      <c r="P237" s="6">
        <v>2</v>
      </c>
      <c r="Q237" s="4" t="s">
        <v>26</v>
      </c>
      <c r="R237" s="4">
        <v>0</v>
      </c>
      <c r="S237" s="4" t="s">
        <v>114</v>
      </c>
      <c r="U237" s="4">
        <v>11</v>
      </c>
      <c r="V237" s="4">
        <v>0</v>
      </c>
      <c r="W237" s="4">
        <v>0</v>
      </c>
    </row>
    <row r="238" spans="1:23" ht="11.25" customHeight="1" x14ac:dyDescent="0.25">
      <c r="A238" s="4" t="s">
        <v>28</v>
      </c>
      <c r="B238" s="4" t="s">
        <v>35</v>
      </c>
      <c r="C238" s="4" t="s">
        <v>36</v>
      </c>
      <c r="D238" s="4" t="s">
        <v>41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44378</v>
      </c>
      <c r="J238" s="6">
        <v>315</v>
      </c>
      <c r="K238" s="6">
        <v>302.39999999999998</v>
      </c>
      <c r="L238" s="6">
        <v>0</v>
      </c>
      <c r="M238" s="6">
        <v>0</v>
      </c>
      <c r="N238" s="6">
        <v>0</v>
      </c>
      <c r="O238" s="6">
        <v>0</v>
      </c>
      <c r="P238" s="6">
        <v>3</v>
      </c>
      <c r="Q238" s="4" t="s">
        <v>26</v>
      </c>
      <c r="R238" s="4">
        <v>0</v>
      </c>
      <c r="S238" s="4" t="s">
        <v>114</v>
      </c>
      <c r="U238" s="4">
        <v>11</v>
      </c>
      <c r="V238" s="4">
        <v>0</v>
      </c>
      <c r="W238" s="4">
        <v>0</v>
      </c>
    </row>
    <row r="239" spans="1:23" ht="11.25" customHeight="1" x14ac:dyDescent="0.25">
      <c r="A239" s="4" t="s">
        <v>21</v>
      </c>
      <c r="B239" s="4" t="s">
        <v>35</v>
      </c>
      <c r="C239" s="4" t="s">
        <v>36</v>
      </c>
      <c r="D239" s="4" t="s">
        <v>41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44409</v>
      </c>
      <c r="J239" s="6">
        <v>241</v>
      </c>
      <c r="K239" s="6">
        <v>231.35999999999999</v>
      </c>
      <c r="L239" s="6">
        <v>0</v>
      </c>
      <c r="M239" s="6">
        <v>0</v>
      </c>
      <c r="N239" s="6">
        <v>0</v>
      </c>
      <c r="O239" s="6">
        <v>0</v>
      </c>
      <c r="P239" s="6">
        <v>2</v>
      </c>
      <c r="Q239" s="4" t="s">
        <v>26</v>
      </c>
      <c r="R239" s="4">
        <v>0</v>
      </c>
      <c r="S239" s="4" t="s">
        <v>115</v>
      </c>
      <c r="U239" s="4">
        <v>11</v>
      </c>
      <c r="V239" s="4">
        <v>0</v>
      </c>
      <c r="W239" s="4">
        <v>0</v>
      </c>
    </row>
    <row r="240" spans="1:23" ht="11.25" customHeight="1" x14ac:dyDescent="0.25">
      <c r="A240" s="4" t="s">
        <v>28</v>
      </c>
      <c r="B240" s="4" t="s">
        <v>35</v>
      </c>
      <c r="C240" s="4" t="s">
        <v>36</v>
      </c>
      <c r="D240" s="4" t="s">
        <v>41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44409</v>
      </c>
      <c r="J240" s="6">
        <v>317</v>
      </c>
      <c r="K240" s="6">
        <v>304.32</v>
      </c>
      <c r="L240" s="6">
        <v>0</v>
      </c>
      <c r="M240" s="6">
        <v>0</v>
      </c>
      <c r="N240" s="6">
        <v>0</v>
      </c>
      <c r="O240" s="6">
        <v>0</v>
      </c>
      <c r="P240" s="6">
        <v>4</v>
      </c>
      <c r="Q240" s="4" t="s">
        <v>26</v>
      </c>
      <c r="R240" s="4">
        <v>0</v>
      </c>
      <c r="S240" s="4" t="s">
        <v>115</v>
      </c>
      <c r="U240" s="4">
        <v>11</v>
      </c>
      <c r="V240" s="4">
        <v>0</v>
      </c>
      <c r="W240" s="4">
        <v>0</v>
      </c>
    </row>
    <row r="241" spans="1:23" ht="11.25" customHeight="1" x14ac:dyDescent="0.25">
      <c r="A241" s="4" t="s">
        <v>21</v>
      </c>
      <c r="B241" s="4" t="s">
        <v>35</v>
      </c>
      <c r="C241" s="4" t="s">
        <v>36</v>
      </c>
      <c r="D241" s="4" t="s">
        <v>41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44440</v>
      </c>
      <c r="J241" s="6">
        <v>139</v>
      </c>
      <c r="K241" s="6">
        <v>133.44</v>
      </c>
      <c r="L241" s="6">
        <v>0</v>
      </c>
      <c r="M241" s="6">
        <v>0</v>
      </c>
      <c r="N241" s="6">
        <v>0</v>
      </c>
      <c r="O241" s="6">
        <v>0</v>
      </c>
      <c r="P241" s="6">
        <v>2</v>
      </c>
      <c r="Q241" s="4" t="s">
        <v>26</v>
      </c>
      <c r="R241" s="4">
        <v>0</v>
      </c>
      <c r="S241" s="4" t="s">
        <v>116</v>
      </c>
      <c r="U241" s="4">
        <v>11</v>
      </c>
      <c r="V241" s="4">
        <v>0</v>
      </c>
      <c r="W241" s="4">
        <v>0</v>
      </c>
    </row>
    <row r="242" spans="1:23" ht="11.25" customHeight="1" x14ac:dyDescent="0.25">
      <c r="A242" s="4" t="s">
        <v>28</v>
      </c>
      <c r="B242" s="4" t="s">
        <v>35</v>
      </c>
      <c r="C242" s="4" t="s">
        <v>36</v>
      </c>
      <c r="D242" s="4" t="s">
        <v>41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44440</v>
      </c>
      <c r="J242" s="6">
        <v>415</v>
      </c>
      <c r="K242" s="6">
        <v>398.4</v>
      </c>
      <c r="L242" s="6">
        <v>0</v>
      </c>
      <c r="M242" s="6">
        <v>0</v>
      </c>
      <c r="N242" s="6">
        <v>0</v>
      </c>
      <c r="O242" s="6">
        <v>0</v>
      </c>
      <c r="P242" s="6">
        <v>4</v>
      </c>
      <c r="Q242" s="4" t="s">
        <v>26</v>
      </c>
      <c r="R242" s="4">
        <v>0</v>
      </c>
      <c r="S242" s="4" t="s">
        <v>116</v>
      </c>
      <c r="U242" s="4">
        <v>11</v>
      </c>
      <c r="V242" s="4">
        <v>0</v>
      </c>
      <c r="W242" s="4">
        <v>0</v>
      </c>
    </row>
    <row r="243" spans="1:23" ht="11.25" customHeight="1" x14ac:dyDescent="0.25">
      <c r="A243" s="4" t="s">
        <v>21</v>
      </c>
      <c r="B243" s="4" t="s">
        <v>35</v>
      </c>
      <c r="C243" s="4" t="s">
        <v>36</v>
      </c>
      <c r="D243" s="4" t="s">
        <v>41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44470</v>
      </c>
      <c r="J243" s="6">
        <v>176</v>
      </c>
      <c r="K243" s="6">
        <v>168.96</v>
      </c>
      <c r="L243" s="6">
        <v>0</v>
      </c>
      <c r="M243" s="6">
        <v>0</v>
      </c>
      <c r="N243" s="6">
        <v>0</v>
      </c>
      <c r="O243" s="6">
        <v>0</v>
      </c>
      <c r="P243" s="6">
        <v>2</v>
      </c>
      <c r="Q243" s="4" t="s">
        <v>26</v>
      </c>
      <c r="R243" s="4">
        <v>0</v>
      </c>
      <c r="S243" s="4" t="s">
        <v>117</v>
      </c>
      <c r="U243" s="4">
        <v>11</v>
      </c>
      <c r="V243" s="4">
        <v>0</v>
      </c>
      <c r="W243" s="4">
        <v>0</v>
      </c>
    </row>
    <row r="244" spans="1:23" ht="11.25" customHeight="1" x14ac:dyDescent="0.25">
      <c r="A244" s="4" t="s">
        <v>28</v>
      </c>
      <c r="B244" s="4" t="s">
        <v>35</v>
      </c>
      <c r="C244" s="4" t="s">
        <v>36</v>
      </c>
      <c r="D244" s="4" t="s">
        <v>41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44470</v>
      </c>
      <c r="J244" s="6">
        <v>491</v>
      </c>
      <c r="K244" s="6">
        <v>471.35999999999996</v>
      </c>
      <c r="L244" s="6">
        <v>0</v>
      </c>
      <c r="M244" s="6">
        <v>0</v>
      </c>
      <c r="N244" s="6">
        <v>0</v>
      </c>
      <c r="O244" s="6">
        <v>0</v>
      </c>
      <c r="P244" s="6">
        <v>4</v>
      </c>
      <c r="Q244" s="4" t="s">
        <v>26</v>
      </c>
      <c r="R244" s="4">
        <v>0</v>
      </c>
      <c r="S244" s="4" t="s">
        <v>117</v>
      </c>
      <c r="U244" s="4">
        <v>11</v>
      </c>
      <c r="V244" s="4">
        <v>0</v>
      </c>
      <c r="W244" s="4">
        <v>0</v>
      </c>
    </row>
    <row r="245" spans="1:23" ht="11.25" customHeight="1" x14ac:dyDescent="0.25">
      <c r="A245" s="4" t="s">
        <v>21</v>
      </c>
      <c r="B245" s="4" t="s">
        <v>35</v>
      </c>
      <c r="C245" s="4" t="s">
        <v>36</v>
      </c>
      <c r="D245" s="4" t="s">
        <v>41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44501</v>
      </c>
      <c r="J245" s="6">
        <v>201</v>
      </c>
      <c r="K245" s="6">
        <v>192.96</v>
      </c>
      <c r="L245" s="6">
        <v>0</v>
      </c>
      <c r="M245" s="6">
        <v>0</v>
      </c>
      <c r="N245" s="6">
        <v>0</v>
      </c>
      <c r="O245" s="6">
        <v>0</v>
      </c>
      <c r="P245" s="6">
        <v>2</v>
      </c>
      <c r="Q245" s="4" t="s">
        <v>26</v>
      </c>
      <c r="R245" s="4">
        <v>0</v>
      </c>
      <c r="S245" s="4" t="s">
        <v>118</v>
      </c>
      <c r="U245" s="4">
        <v>11</v>
      </c>
      <c r="V245" s="4">
        <v>0</v>
      </c>
      <c r="W245" s="4">
        <v>0</v>
      </c>
    </row>
    <row r="246" spans="1:23" ht="11.25" customHeight="1" x14ac:dyDescent="0.25">
      <c r="A246" s="4" t="s">
        <v>28</v>
      </c>
      <c r="B246" s="4" t="s">
        <v>35</v>
      </c>
      <c r="C246" s="4" t="s">
        <v>36</v>
      </c>
      <c r="D246" s="4" t="s">
        <v>41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44501</v>
      </c>
      <c r="J246" s="6">
        <v>527</v>
      </c>
      <c r="K246" s="6">
        <v>505.91999999999996</v>
      </c>
      <c r="L246" s="6">
        <v>0</v>
      </c>
      <c r="M246" s="6">
        <v>0</v>
      </c>
      <c r="N246" s="6">
        <v>0</v>
      </c>
      <c r="O246" s="6">
        <v>0</v>
      </c>
      <c r="P246" s="6">
        <v>4</v>
      </c>
      <c r="Q246" s="4" t="s">
        <v>26</v>
      </c>
      <c r="R246" s="4">
        <v>0</v>
      </c>
      <c r="S246" s="4" t="s">
        <v>118</v>
      </c>
      <c r="U246" s="4">
        <v>11</v>
      </c>
      <c r="V246" s="4">
        <v>0</v>
      </c>
      <c r="W246" s="4">
        <v>0</v>
      </c>
    </row>
    <row r="247" spans="1:23" ht="11.25" customHeight="1" x14ac:dyDescent="0.25">
      <c r="A247" s="4" t="s">
        <v>21</v>
      </c>
      <c r="B247" s="4" t="s">
        <v>35</v>
      </c>
      <c r="C247" s="4" t="s">
        <v>36</v>
      </c>
      <c r="D247" s="4" t="s">
        <v>41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44531</v>
      </c>
      <c r="J247" s="6">
        <v>138</v>
      </c>
      <c r="K247" s="6">
        <v>132.47999999999999</v>
      </c>
      <c r="L247" s="6">
        <v>0</v>
      </c>
      <c r="M247" s="6">
        <v>0</v>
      </c>
      <c r="N247" s="6">
        <v>0</v>
      </c>
      <c r="O247" s="6">
        <v>0</v>
      </c>
      <c r="P247" s="6">
        <v>2</v>
      </c>
      <c r="Q247" s="4" t="s">
        <v>26</v>
      </c>
      <c r="R247" s="4">
        <v>0</v>
      </c>
      <c r="S247" s="4" t="s">
        <v>119</v>
      </c>
      <c r="U247" s="4">
        <v>11</v>
      </c>
      <c r="V247" s="4">
        <v>0</v>
      </c>
      <c r="W247" s="4">
        <v>0</v>
      </c>
    </row>
    <row r="248" spans="1:23" ht="11.25" customHeight="1" x14ac:dyDescent="0.25">
      <c r="A248" s="4" t="s">
        <v>28</v>
      </c>
      <c r="B248" s="4" t="s">
        <v>35</v>
      </c>
      <c r="C248" s="4" t="s">
        <v>36</v>
      </c>
      <c r="D248" s="4" t="s">
        <v>41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44531</v>
      </c>
      <c r="J248" s="6">
        <v>331</v>
      </c>
      <c r="K248" s="6">
        <v>317.76</v>
      </c>
      <c r="L248" s="6">
        <v>0</v>
      </c>
      <c r="M248" s="6">
        <v>0</v>
      </c>
      <c r="N248" s="6">
        <v>0</v>
      </c>
      <c r="O248" s="6">
        <v>0</v>
      </c>
      <c r="P248" s="6">
        <v>4</v>
      </c>
      <c r="Q248" s="4" t="s">
        <v>26</v>
      </c>
      <c r="R248" s="4">
        <v>0</v>
      </c>
      <c r="S248" s="4" t="s">
        <v>119</v>
      </c>
      <c r="U248" s="4">
        <v>11</v>
      </c>
      <c r="V248" s="4">
        <v>0</v>
      </c>
      <c r="W248" s="4">
        <v>0</v>
      </c>
    </row>
    <row r="249" spans="1:23" ht="11.25" customHeight="1" x14ac:dyDescent="0.25">
      <c r="A249" s="4" t="s">
        <v>21</v>
      </c>
      <c r="B249" s="4" t="s">
        <v>35</v>
      </c>
      <c r="C249" s="4" t="s">
        <v>36</v>
      </c>
      <c r="D249" s="4" t="s">
        <v>41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44562</v>
      </c>
      <c r="J249" s="6">
        <v>140</v>
      </c>
      <c r="K249" s="6">
        <v>134.4</v>
      </c>
      <c r="L249" s="6">
        <v>0</v>
      </c>
      <c r="M249" s="6">
        <v>0</v>
      </c>
      <c r="N249" s="6">
        <v>0</v>
      </c>
      <c r="O249" s="6">
        <v>0</v>
      </c>
      <c r="P249" s="6">
        <v>2</v>
      </c>
      <c r="Q249" s="4" t="s">
        <v>26</v>
      </c>
      <c r="R249" s="4">
        <v>0</v>
      </c>
      <c r="S249" s="4" t="s">
        <v>120</v>
      </c>
      <c r="U249" s="4">
        <v>11</v>
      </c>
      <c r="V249" s="4">
        <v>0</v>
      </c>
      <c r="W249" s="4">
        <v>0</v>
      </c>
    </row>
    <row r="250" spans="1:23" ht="11.25" customHeight="1" x14ac:dyDescent="0.25">
      <c r="A250" s="4" t="s">
        <v>28</v>
      </c>
      <c r="B250" s="4" t="s">
        <v>35</v>
      </c>
      <c r="C250" s="4" t="s">
        <v>36</v>
      </c>
      <c r="D250" s="4" t="s">
        <v>41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44562</v>
      </c>
      <c r="J250" s="6">
        <v>399</v>
      </c>
      <c r="K250" s="6">
        <v>383.03999999999996</v>
      </c>
      <c r="L250" s="6">
        <v>0</v>
      </c>
      <c r="M250" s="6">
        <v>0</v>
      </c>
      <c r="N250" s="6">
        <v>0</v>
      </c>
      <c r="O250" s="6">
        <v>0</v>
      </c>
      <c r="P250" s="6">
        <v>4</v>
      </c>
      <c r="Q250" s="4" t="s">
        <v>26</v>
      </c>
      <c r="R250" s="4">
        <v>0</v>
      </c>
      <c r="S250" s="4" t="s">
        <v>120</v>
      </c>
      <c r="U250" s="4">
        <v>11</v>
      </c>
      <c r="V250" s="4">
        <v>0</v>
      </c>
      <c r="W250" s="4">
        <v>0</v>
      </c>
    </row>
    <row r="251" spans="1:23" ht="11.25" customHeight="1" x14ac:dyDescent="0.25">
      <c r="A251" s="4" t="s">
        <v>21</v>
      </c>
      <c r="B251" s="4" t="s">
        <v>35</v>
      </c>
      <c r="C251" s="4" t="s">
        <v>36</v>
      </c>
      <c r="D251" s="4" t="s">
        <v>41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44593</v>
      </c>
      <c r="J251" s="6">
        <v>106</v>
      </c>
      <c r="K251" s="6">
        <v>101.76</v>
      </c>
      <c r="L251" s="6">
        <v>0</v>
      </c>
      <c r="M251" s="6">
        <v>0</v>
      </c>
      <c r="N251" s="6">
        <v>0</v>
      </c>
      <c r="O251" s="6">
        <v>0</v>
      </c>
      <c r="P251" s="6">
        <v>2</v>
      </c>
      <c r="Q251" s="4" t="s">
        <v>26</v>
      </c>
      <c r="R251" s="4">
        <v>0</v>
      </c>
      <c r="S251" s="4" t="s">
        <v>121</v>
      </c>
      <c r="U251" s="4">
        <v>11</v>
      </c>
      <c r="V251" s="4">
        <v>0</v>
      </c>
      <c r="W251" s="4">
        <v>0</v>
      </c>
    </row>
    <row r="252" spans="1:23" ht="11.25" customHeight="1" x14ac:dyDescent="0.25">
      <c r="A252" s="4" t="s">
        <v>28</v>
      </c>
      <c r="B252" s="4" t="s">
        <v>35</v>
      </c>
      <c r="C252" s="4" t="s">
        <v>36</v>
      </c>
      <c r="D252" s="4" t="s">
        <v>41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44593</v>
      </c>
      <c r="J252" s="6">
        <v>333</v>
      </c>
      <c r="K252" s="6">
        <v>319.68</v>
      </c>
      <c r="L252" s="6">
        <v>0</v>
      </c>
      <c r="M252" s="6">
        <v>0</v>
      </c>
      <c r="N252" s="6">
        <v>0</v>
      </c>
      <c r="O252" s="6">
        <v>0</v>
      </c>
      <c r="P252" s="6">
        <v>3</v>
      </c>
      <c r="Q252" s="4" t="s">
        <v>26</v>
      </c>
      <c r="R252" s="4">
        <v>0</v>
      </c>
      <c r="S252" s="4" t="s">
        <v>121</v>
      </c>
      <c r="U252" s="4">
        <v>11</v>
      </c>
      <c r="V252" s="4">
        <v>0</v>
      </c>
      <c r="W252" s="4">
        <v>0</v>
      </c>
    </row>
    <row r="253" spans="1:23" ht="11.25" customHeight="1" x14ac:dyDescent="0.25">
      <c r="A253" s="4" t="s">
        <v>21</v>
      </c>
      <c r="B253" s="4" t="s">
        <v>35</v>
      </c>
      <c r="C253" s="4" t="s">
        <v>36</v>
      </c>
      <c r="D253" s="4" t="s">
        <v>41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44621</v>
      </c>
      <c r="J253" s="6">
        <v>284</v>
      </c>
      <c r="K253" s="6">
        <v>272.64</v>
      </c>
      <c r="L253" s="6">
        <v>0</v>
      </c>
      <c r="M253" s="6">
        <v>0</v>
      </c>
      <c r="N253" s="6">
        <v>0</v>
      </c>
      <c r="O253" s="6">
        <v>0</v>
      </c>
      <c r="P253" s="6">
        <v>3</v>
      </c>
      <c r="Q253" s="4" t="s">
        <v>26</v>
      </c>
      <c r="R253" s="4">
        <v>0</v>
      </c>
      <c r="S253" s="4" t="s">
        <v>122</v>
      </c>
      <c r="U253" s="4">
        <v>11</v>
      </c>
      <c r="V253" s="4">
        <v>0</v>
      </c>
      <c r="W253" s="4">
        <v>0</v>
      </c>
    </row>
    <row r="254" spans="1:23" ht="11.25" customHeight="1" x14ac:dyDescent="0.25">
      <c r="A254" s="4" t="s">
        <v>28</v>
      </c>
      <c r="B254" s="4" t="s">
        <v>35</v>
      </c>
      <c r="C254" s="4" t="s">
        <v>36</v>
      </c>
      <c r="D254" s="4" t="s">
        <v>41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44621</v>
      </c>
      <c r="J254" s="6">
        <v>378</v>
      </c>
      <c r="K254" s="6">
        <v>362.88</v>
      </c>
      <c r="L254" s="6">
        <v>0</v>
      </c>
      <c r="M254" s="6">
        <v>0</v>
      </c>
      <c r="N254" s="6">
        <v>0</v>
      </c>
      <c r="O254" s="6">
        <v>0</v>
      </c>
      <c r="P254" s="6">
        <v>3</v>
      </c>
      <c r="Q254" s="4" t="s">
        <v>26</v>
      </c>
      <c r="R254" s="4">
        <v>0</v>
      </c>
      <c r="S254" s="4" t="s">
        <v>122</v>
      </c>
      <c r="U254" s="4">
        <v>11</v>
      </c>
      <c r="V254" s="4">
        <v>0</v>
      </c>
      <c r="W254" s="4">
        <v>0</v>
      </c>
    </row>
    <row r="255" spans="1:23" ht="11.25" customHeight="1" x14ac:dyDescent="0.25">
      <c r="A255" s="4" t="s">
        <v>28</v>
      </c>
      <c r="B255" s="4" t="s">
        <v>35</v>
      </c>
      <c r="C255" s="4" t="s">
        <v>36</v>
      </c>
      <c r="D255" s="4" t="s">
        <v>41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44621</v>
      </c>
      <c r="J255" s="6">
        <v>-3</v>
      </c>
      <c r="K255" s="6">
        <v>-2.88</v>
      </c>
      <c r="L255" s="6">
        <v>0</v>
      </c>
      <c r="M255" s="6">
        <v>0</v>
      </c>
      <c r="N255" s="6">
        <v>0</v>
      </c>
      <c r="O255" s="6">
        <v>0</v>
      </c>
      <c r="P255" s="6">
        <v>2</v>
      </c>
      <c r="Q255" s="4" t="s">
        <v>26</v>
      </c>
      <c r="R255" s="4">
        <v>0</v>
      </c>
      <c r="S255" s="4" t="s">
        <v>122</v>
      </c>
      <c r="U255" s="4">
        <v>11</v>
      </c>
      <c r="V255" s="4">
        <v>0</v>
      </c>
      <c r="W255" s="4">
        <v>0</v>
      </c>
    </row>
    <row r="256" spans="1:23" ht="11.25" customHeight="1" x14ac:dyDescent="0.25">
      <c r="A256" s="4" t="s">
        <v>21</v>
      </c>
      <c r="B256" s="4" t="s">
        <v>35</v>
      </c>
      <c r="C256" s="4" t="s">
        <v>36</v>
      </c>
      <c r="D256" s="4" t="s">
        <v>41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44652</v>
      </c>
      <c r="J256" s="6">
        <v>319</v>
      </c>
      <c r="K256" s="6">
        <v>306.24</v>
      </c>
      <c r="L256" s="6">
        <v>0</v>
      </c>
      <c r="M256" s="6">
        <v>0</v>
      </c>
      <c r="N256" s="6">
        <v>0</v>
      </c>
      <c r="O256" s="6">
        <v>0</v>
      </c>
      <c r="P256" s="6">
        <v>3</v>
      </c>
      <c r="Q256" s="4" t="s">
        <v>26</v>
      </c>
      <c r="R256" s="4">
        <v>0</v>
      </c>
      <c r="S256" s="4" t="s">
        <v>123</v>
      </c>
      <c r="U256" s="4">
        <v>11</v>
      </c>
      <c r="V256" s="4">
        <v>0</v>
      </c>
      <c r="W256" s="4">
        <v>0</v>
      </c>
    </row>
    <row r="257" spans="1:23" ht="11.25" customHeight="1" x14ac:dyDescent="0.25">
      <c r="A257" s="4" t="s">
        <v>28</v>
      </c>
      <c r="B257" s="4" t="s">
        <v>35</v>
      </c>
      <c r="C257" s="4" t="s">
        <v>36</v>
      </c>
      <c r="D257" s="4" t="s">
        <v>41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44652</v>
      </c>
      <c r="J257" s="6">
        <v>812</v>
      </c>
      <c r="K257" s="6">
        <v>779.52</v>
      </c>
      <c r="L257" s="6">
        <v>0</v>
      </c>
      <c r="M257" s="6">
        <v>0</v>
      </c>
      <c r="N257" s="6">
        <v>0</v>
      </c>
      <c r="O257" s="6">
        <v>0</v>
      </c>
      <c r="P257" s="6">
        <v>3</v>
      </c>
      <c r="Q257" s="4" t="s">
        <v>26</v>
      </c>
      <c r="R257" s="4">
        <v>0</v>
      </c>
      <c r="S257" s="4" t="s">
        <v>123</v>
      </c>
      <c r="U257" s="4">
        <v>11</v>
      </c>
      <c r="V257" s="4">
        <v>0</v>
      </c>
      <c r="W257" s="4">
        <v>0</v>
      </c>
    </row>
    <row r="258" spans="1:23" ht="11.25" customHeight="1" x14ac:dyDescent="0.25">
      <c r="A258" s="4" t="s">
        <v>21</v>
      </c>
      <c r="B258" s="4" t="s">
        <v>35</v>
      </c>
      <c r="C258" s="4" t="s">
        <v>36</v>
      </c>
      <c r="D258" s="4" t="s">
        <v>41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44682</v>
      </c>
      <c r="J258" s="6">
        <v>380</v>
      </c>
      <c r="K258" s="6">
        <v>364.8</v>
      </c>
      <c r="L258" s="6">
        <v>0</v>
      </c>
      <c r="M258" s="6">
        <v>0</v>
      </c>
      <c r="N258" s="6">
        <v>0</v>
      </c>
      <c r="O258" s="6">
        <v>0</v>
      </c>
      <c r="P258" s="6">
        <v>3</v>
      </c>
      <c r="Q258" s="4" t="s">
        <v>26</v>
      </c>
      <c r="R258" s="4">
        <v>0</v>
      </c>
      <c r="S258" s="4" t="s">
        <v>124</v>
      </c>
      <c r="U258" s="4">
        <v>11</v>
      </c>
      <c r="V258" s="4">
        <v>0</v>
      </c>
      <c r="W258" s="4">
        <v>0</v>
      </c>
    </row>
    <row r="259" spans="1:23" ht="11.25" customHeight="1" x14ac:dyDescent="0.25">
      <c r="A259" s="4" t="s">
        <v>28</v>
      </c>
      <c r="B259" s="4" t="s">
        <v>35</v>
      </c>
      <c r="C259" s="4" t="s">
        <v>36</v>
      </c>
      <c r="D259" s="4" t="s">
        <v>41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44682</v>
      </c>
      <c r="J259" s="6">
        <v>768</v>
      </c>
      <c r="K259" s="6">
        <v>737.28</v>
      </c>
      <c r="L259" s="6">
        <v>0</v>
      </c>
      <c r="M259" s="6">
        <v>0</v>
      </c>
      <c r="N259" s="6">
        <v>0</v>
      </c>
      <c r="O259" s="6">
        <v>0</v>
      </c>
      <c r="P259" s="6">
        <v>3</v>
      </c>
      <c r="Q259" s="4" t="s">
        <v>26</v>
      </c>
      <c r="R259" s="4">
        <v>0</v>
      </c>
      <c r="S259" s="4" t="s">
        <v>124</v>
      </c>
      <c r="U259" s="4">
        <v>11</v>
      </c>
      <c r="V259" s="4">
        <v>0</v>
      </c>
      <c r="W259" s="4">
        <v>0</v>
      </c>
    </row>
    <row r="260" spans="1:23" ht="11.25" customHeight="1" x14ac:dyDescent="0.25">
      <c r="A260" s="4" t="s">
        <v>21</v>
      </c>
      <c r="B260" s="4" t="s">
        <v>35</v>
      </c>
      <c r="C260" s="4" t="s">
        <v>36</v>
      </c>
      <c r="D260" s="4" t="s">
        <v>41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44713</v>
      </c>
      <c r="J260" s="6">
        <v>437</v>
      </c>
      <c r="K260" s="6">
        <v>419.52</v>
      </c>
      <c r="L260" s="6">
        <v>0</v>
      </c>
      <c r="M260" s="6">
        <v>0</v>
      </c>
      <c r="N260" s="6">
        <v>0</v>
      </c>
      <c r="O260" s="6">
        <v>0</v>
      </c>
      <c r="P260" s="6">
        <v>3</v>
      </c>
      <c r="Q260" s="4" t="s">
        <v>26</v>
      </c>
      <c r="R260" s="4">
        <v>0</v>
      </c>
      <c r="S260" s="4" t="s">
        <v>125</v>
      </c>
      <c r="U260" s="4">
        <v>11</v>
      </c>
      <c r="V260" s="4">
        <v>0</v>
      </c>
      <c r="W260" s="4">
        <v>0</v>
      </c>
    </row>
    <row r="261" spans="1:23" ht="11.25" customHeight="1" x14ac:dyDescent="0.25">
      <c r="A261" s="4" t="s">
        <v>28</v>
      </c>
      <c r="B261" s="4" t="s">
        <v>35</v>
      </c>
      <c r="C261" s="4" t="s">
        <v>36</v>
      </c>
      <c r="D261" s="4" t="s">
        <v>41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44713</v>
      </c>
      <c r="J261" s="6">
        <v>700</v>
      </c>
      <c r="K261" s="6">
        <v>672</v>
      </c>
      <c r="L261" s="6">
        <v>0</v>
      </c>
      <c r="M261" s="6">
        <v>0</v>
      </c>
      <c r="N261" s="6">
        <v>0</v>
      </c>
      <c r="O261" s="6">
        <v>0</v>
      </c>
      <c r="P261" s="6">
        <v>3</v>
      </c>
      <c r="Q261" s="4" t="s">
        <v>26</v>
      </c>
      <c r="R261" s="4">
        <v>0</v>
      </c>
      <c r="S261" s="4" t="s">
        <v>125</v>
      </c>
      <c r="U261" s="4">
        <v>11</v>
      </c>
      <c r="V261" s="4">
        <v>0</v>
      </c>
      <c r="W261" s="4">
        <v>0</v>
      </c>
    </row>
    <row r="262" spans="1:23" ht="11.25" customHeight="1" x14ac:dyDescent="0.25">
      <c r="A262" s="4" t="s">
        <v>21</v>
      </c>
      <c r="B262" s="4" t="s">
        <v>35</v>
      </c>
      <c r="C262" s="4" t="s">
        <v>36</v>
      </c>
      <c r="D262" s="4" t="s">
        <v>41</v>
      </c>
      <c r="E262" s="4" t="s">
        <v>25</v>
      </c>
      <c r="F262" s="4" t="s">
        <v>25</v>
      </c>
      <c r="G262" s="4" t="s">
        <v>25</v>
      </c>
      <c r="H262" s="4" t="s">
        <v>37</v>
      </c>
      <c r="I262" s="5">
        <v>44378</v>
      </c>
      <c r="J262" s="6">
        <v>0</v>
      </c>
      <c r="K262" s="6">
        <v>0</v>
      </c>
      <c r="L262" s="6">
        <v>2.3250000000000002</v>
      </c>
      <c r="M262" s="6">
        <v>2.2320000000000002</v>
      </c>
      <c r="N262" s="6">
        <v>2.3250000000000002</v>
      </c>
      <c r="O262" s="6">
        <v>2.2320000000000002</v>
      </c>
      <c r="P262" s="6">
        <v>0</v>
      </c>
      <c r="Q262" s="4" t="s">
        <v>26</v>
      </c>
      <c r="R262" s="4">
        <v>0</v>
      </c>
      <c r="S262" s="4" t="s">
        <v>126</v>
      </c>
      <c r="T262" s="4" t="s">
        <v>256</v>
      </c>
      <c r="U262" s="4">
        <v>0</v>
      </c>
      <c r="V262" s="4">
        <v>7</v>
      </c>
      <c r="W262" s="4">
        <v>41</v>
      </c>
    </row>
    <row r="263" spans="1:23" ht="11.25" customHeight="1" x14ac:dyDescent="0.25">
      <c r="A263" s="4" t="s">
        <v>28</v>
      </c>
      <c r="B263" s="4" t="s">
        <v>35</v>
      </c>
      <c r="C263" s="4" t="s">
        <v>36</v>
      </c>
      <c r="D263" s="4" t="s">
        <v>41</v>
      </c>
      <c r="E263" s="4" t="s">
        <v>25</v>
      </c>
      <c r="F263" s="4" t="s">
        <v>25</v>
      </c>
      <c r="G263" s="4" t="s">
        <v>25</v>
      </c>
      <c r="H263" s="4" t="s">
        <v>37</v>
      </c>
      <c r="I263" s="5">
        <v>44378</v>
      </c>
      <c r="J263" s="6">
        <v>0</v>
      </c>
      <c r="K263" s="6">
        <v>0</v>
      </c>
      <c r="L263" s="6">
        <v>-11.004</v>
      </c>
      <c r="M263" s="6">
        <v>-10.563839999999999</v>
      </c>
      <c r="N263" s="6">
        <v>-11.004</v>
      </c>
      <c r="O263" s="6">
        <v>-10.563839999999999</v>
      </c>
      <c r="P263" s="6">
        <v>0</v>
      </c>
      <c r="Q263" s="4" t="s">
        <v>26</v>
      </c>
      <c r="R263" s="4">
        <v>0</v>
      </c>
      <c r="S263" s="4" t="s">
        <v>126</v>
      </c>
      <c r="T263" s="4" t="s">
        <v>256</v>
      </c>
      <c r="U263" s="4">
        <v>0</v>
      </c>
      <c r="V263" s="4">
        <v>7</v>
      </c>
      <c r="W263" s="4">
        <v>41</v>
      </c>
    </row>
    <row r="264" spans="1:23" ht="11.25" customHeight="1" x14ac:dyDescent="0.25">
      <c r="A264" s="4" t="s">
        <v>21</v>
      </c>
      <c r="B264" s="4" t="s">
        <v>35</v>
      </c>
      <c r="C264" s="4" t="s">
        <v>36</v>
      </c>
      <c r="D264" s="4" t="s">
        <v>41</v>
      </c>
      <c r="E264" s="4" t="s">
        <v>25</v>
      </c>
      <c r="F264" s="4" t="s">
        <v>25</v>
      </c>
      <c r="G264" s="4" t="s">
        <v>25</v>
      </c>
      <c r="H264" s="4" t="s">
        <v>37</v>
      </c>
      <c r="I264" s="5">
        <v>44409</v>
      </c>
      <c r="J264" s="6">
        <v>0</v>
      </c>
      <c r="K264" s="6">
        <v>0</v>
      </c>
      <c r="L264" s="6">
        <v>3.3759999999999999</v>
      </c>
      <c r="M264" s="6">
        <v>3.2409599999999998</v>
      </c>
      <c r="N264" s="6">
        <v>3.3759999999999999</v>
      </c>
      <c r="O264" s="6">
        <v>3.2409599999999998</v>
      </c>
      <c r="P264" s="6">
        <v>0</v>
      </c>
      <c r="Q264" s="4" t="s">
        <v>26</v>
      </c>
      <c r="R264" s="4">
        <v>0</v>
      </c>
      <c r="S264" s="4" t="s">
        <v>127</v>
      </c>
      <c r="T264" s="4" t="s">
        <v>257</v>
      </c>
      <c r="U264" s="4">
        <v>0</v>
      </c>
      <c r="V264" s="4">
        <v>7</v>
      </c>
      <c r="W264" s="4">
        <v>41</v>
      </c>
    </row>
    <row r="265" spans="1:23" ht="11.25" customHeight="1" x14ac:dyDescent="0.25">
      <c r="A265" s="4" t="s">
        <v>21</v>
      </c>
      <c r="B265" s="4" t="s">
        <v>35</v>
      </c>
      <c r="C265" s="4" t="s">
        <v>36</v>
      </c>
      <c r="D265" s="4" t="s">
        <v>41</v>
      </c>
      <c r="E265" s="4" t="s">
        <v>25</v>
      </c>
      <c r="F265" s="4" t="s">
        <v>25</v>
      </c>
      <c r="G265" s="4" t="s">
        <v>25</v>
      </c>
      <c r="H265" s="4" t="s">
        <v>37</v>
      </c>
      <c r="I265" s="5">
        <v>44440</v>
      </c>
      <c r="J265" s="6">
        <v>0</v>
      </c>
      <c r="K265" s="6">
        <v>0</v>
      </c>
      <c r="L265" s="6">
        <v>2.831</v>
      </c>
      <c r="M265" s="6">
        <v>2.7177600000000002</v>
      </c>
      <c r="N265" s="6">
        <v>2.831</v>
      </c>
      <c r="O265" s="6">
        <v>2.7177600000000002</v>
      </c>
      <c r="P265" s="6">
        <v>0</v>
      </c>
      <c r="Q265" s="4" t="s">
        <v>26</v>
      </c>
      <c r="R265" s="4">
        <v>0</v>
      </c>
      <c r="S265" s="4" t="s">
        <v>128</v>
      </c>
      <c r="T265" s="4" t="s">
        <v>258</v>
      </c>
      <c r="U265" s="4">
        <v>0</v>
      </c>
      <c r="V265" s="4">
        <v>7</v>
      </c>
      <c r="W265" s="4">
        <v>41</v>
      </c>
    </row>
    <row r="266" spans="1:23" ht="11.25" customHeight="1" x14ac:dyDescent="0.25">
      <c r="A266" s="4" t="s">
        <v>21</v>
      </c>
      <c r="B266" s="4" t="s">
        <v>35</v>
      </c>
      <c r="C266" s="4" t="s">
        <v>36</v>
      </c>
      <c r="D266" s="4" t="s">
        <v>41</v>
      </c>
      <c r="E266" s="4" t="s">
        <v>25</v>
      </c>
      <c r="F266" s="4" t="s">
        <v>25</v>
      </c>
      <c r="G266" s="4" t="s">
        <v>25</v>
      </c>
      <c r="H266" s="4" t="s">
        <v>37</v>
      </c>
      <c r="I266" s="5">
        <v>44470</v>
      </c>
      <c r="J266" s="6">
        <v>0</v>
      </c>
      <c r="K266" s="6">
        <v>0</v>
      </c>
      <c r="L266" s="6">
        <v>2.9790000000000001</v>
      </c>
      <c r="M266" s="6">
        <v>2.8598400000000002</v>
      </c>
      <c r="N266" s="6">
        <v>2.9790000000000001</v>
      </c>
      <c r="O266" s="6">
        <v>2.8598400000000002</v>
      </c>
      <c r="P266" s="6">
        <v>0</v>
      </c>
      <c r="Q266" s="4" t="s">
        <v>26</v>
      </c>
      <c r="R266" s="4">
        <v>0</v>
      </c>
      <c r="S266" s="4" t="s">
        <v>129</v>
      </c>
      <c r="T266" s="4" t="s">
        <v>259</v>
      </c>
      <c r="U266" s="4">
        <v>0</v>
      </c>
      <c r="V266" s="4">
        <v>7</v>
      </c>
      <c r="W266" s="4">
        <v>41</v>
      </c>
    </row>
    <row r="267" spans="1:23" ht="11.25" customHeight="1" x14ac:dyDescent="0.25">
      <c r="A267" s="4" t="s">
        <v>21</v>
      </c>
      <c r="B267" s="4" t="s">
        <v>35</v>
      </c>
      <c r="C267" s="4" t="s">
        <v>36</v>
      </c>
      <c r="D267" s="4" t="s">
        <v>41</v>
      </c>
      <c r="E267" s="4" t="s">
        <v>25</v>
      </c>
      <c r="F267" s="4" t="s">
        <v>25</v>
      </c>
      <c r="G267" s="4" t="s">
        <v>25</v>
      </c>
      <c r="H267" s="4" t="s">
        <v>37</v>
      </c>
      <c r="I267" s="5">
        <v>44501</v>
      </c>
      <c r="J267" s="6">
        <v>0</v>
      </c>
      <c r="K267" s="6">
        <v>0</v>
      </c>
      <c r="L267" s="6">
        <v>3.573</v>
      </c>
      <c r="M267" s="6">
        <v>3.4300799999999998</v>
      </c>
      <c r="N267" s="6">
        <v>3.573</v>
      </c>
      <c r="O267" s="6">
        <v>3.4300799999999998</v>
      </c>
      <c r="P267" s="6">
        <v>0</v>
      </c>
      <c r="Q267" s="4" t="s">
        <v>26</v>
      </c>
      <c r="R267" s="4">
        <v>0</v>
      </c>
      <c r="S267" s="4" t="s">
        <v>130</v>
      </c>
      <c r="T267" s="4" t="s">
        <v>260</v>
      </c>
      <c r="U267" s="4">
        <v>0</v>
      </c>
      <c r="V267" s="4">
        <v>7</v>
      </c>
      <c r="W267" s="4">
        <v>41</v>
      </c>
    </row>
    <row r="268" spans="1:23" ht="11.25" customHeight="1" x14ac:dyDescent="0.25">
      <c r="A268" s="4" t="s">
        <v>21</v>
      </c>
      <c r="B268" s="4" t="s">
        <v>35</v>
      </c>
      <c r="C268" s="4" t="s">
        <v>36</v>
      </c>
      <c r="D268" s="4" t="s">
        <v>41</v>
      </c>
      <c r="E268" s="4" t="s">
        <v>25</v>
      </c>
      <c r="F268" s="4" t="s">
        <v>25</v>
      </c>
      <c r="G268" s="4" t="s">
        <v>25</v>
      </c>
      <c r="H268" s="4" t="s">
        <v>37</v>
      </c>
      <c r="I268" s="5">
        <v>44531</v>
      </c>
      <c r="J268" s="6">
        <v>0</v>
      </c>
      <c r="K268" s="6">
        <v>0</v>
      </c>
      <c r="L268" s="6">
        <v>3.4940000000000002</v>
      </c>
      <c r="M268" s="6">
        <v>3.3542399999999999</v>
      </c>
      <c r="N268" s="6">
        <v>3.4940000000000002</v>
      </c>
      <c r="O268" s="6">
        <v>3.3542399999999999</v>
      </c>
      <c r="P268" s="6">
        <v>0</v>
      </c>
      <c r="Q268" s="4" t="s">
        <v>26</v>
      </c>
      <c r="R268" s="4">
        <v>0</v>
      </c>
      <c r="S268" s="4" t="s">
        <v>131</v>
      </c>
      <c r="T268" s="4" t="s">
        <v>261</v>
      </c>
      <c r="U268" s="4">
        <v>0</v>
      </c>
      <c r="V268" s="4">
        <v>7</v>
      </c>
      <c r="W268" s="4">
        <v>41</v>
      </c>
    </row>
    <row r="269" spans="1:23" ht="11.25" customHeight="1" x14ac:dyDescent="0.25">
      <c r="A269" s="4" t="s">
        <v>21</v>
      </c>
      <c r="B269" s="4" t="s">
        <v>35</v>
      </c>
      <c r="C269" s="4" t="s">
        <v>36</v>
      </c>
      <c r="D269" s="4" t="s">
        <v>41</v>
      </c>
      <c r="E269" s="4" t="s">
        <v>25</v>
      </c>
      <c r="F269" s="4" t="s">
        <v>25</v>
      </c>
      <c r="G269" s="4" t="s">
        <v>25</v>
      </c>
      <c r="H269" s="4" t="s">
        <v>37</v>
      </c>
      <c r="I269" s="5">
        <v>44562</v>
      </c>
      <c r="J269" s="6">
        <v>0</v>
      </c>
      <c r="K269" s="6">
        <v>0</v>
      </c>
      <c r="L269" s="6">
        <v>4.181</v>
      </c>
      <c r="M269" s="6">
        <v>4.0137600000000004</v>
      </c>
      <c r="N269" s="6">
        <v>4.181</v>
      </c>
      <c r="O269" s="6">
        <v>4.0137600000000004</v>
      </c>
      <c r="P269" s="6">
        <v>0</v>
      </c>
      <c r="Q269" s="4" t="s">
        <v>26</v>
      </c>
      <c r="R269" s="4">
        <v>0</v>
      </c>
      <c r="S269" s="4" t="s">
        <v>132</v>
      </c>
      <c r="T269" s="4" t="s">
        <v>262</v>
      </c>
      <c r="U269" s="4">
        <v>0</v>
      </c>
      <c r="V269" s="4">
        <v>7</v>
      </c>
      <c r="W269" s="4">
        <v>41</v>
      </c>
    </row>
    <row r="270" spans="1:23" ht="11.25" customHeight="1" x14ac:dyDescent="0.25">
      <c r="A270" s="4" t="s">
        <v>21</v>
      </c>
      <c r="B270" s="4" t="s">
        <v>35</v>
      </c>
      <c r="C270" s="4" t="s">
        <v>36</v>
      </c>
      <c r="D270" s="4" t="s">
        <v>41</v>
      </c>
      <c r="E270" s="4" t="s">
        <v>25</v>
      </c>
      <c r="F270" s="4" t="s">
        <v>25</v>
      </c>
      <c r="G270" s="4" t="s">
        <v>25</v>
      </c>
      <c r="H270" s="4" t="s">
        <v>37</v>
      </c>
      <c r="I270" s="5">
        <v>44593</v>
      </c>
      <c r="J270" s="6">
        <v>0</v>
      </c>
      <c r="K270" s="6">
        <v>0</v>
      </c>
      <c r="L270" s="6">
        <v>3.2709999999999999</v>
      </c>
      <c r="M270" s="6">
        <v>3.1401599999999998</v>
      </c>
      <c r="N270" s="6">
        <v>3.2709999999999999</v>
      </c>
      <c r="O270" s="6">
        <v>3.1401599999999998</v>
      </c>
      <c r="P270" s="6">
        <v>0</v>
      </c>
      <c r="Q270" s="4" t="s">
        <v>26</v>
      </c>
      <c r="R270" s="4">
        <v>0</v>
      </c>
      <c r="S270" s="4" t="s">
        <v>133</v>
      </c>
      <c r="T270" s="4" t="s">
        <v>241</v>
      </c>
      <c r="U270" s="4">
        <v>0</v>
      </c>
      <c r="V270" s="4">
        <v>7</v>
      </c>
      <c r="W270" s="4">
        <v>41</v>
      </c>
    </row>
    <row r="271" spans="1:23" ht="11.25" customHeight="1" x14ac:dyDescent="0.25">
      <c r="A271" s="4" t="s">
        <v>21</v>
      </c>
      <c r="B271" s="4" t="s">
        <v>35</v>
      </c>
      <c r="C271" s="4" t="s">
        <v>36</v>
      </c>
      <c r="D271" s="4" t="s">
        <v>41</v>
      </c>
      <c r="E271" s="4" t="s">
        <v>25</v>
      </c>
      <c r="F271" s="4" t="s">
        <v>25</v>
      </c>
      <c r="G271" s="4" t="s">
        <v>25</v>
      </c>
      <c r="H271" s="4" t="s">
        <v>37</v>
      </c>
      <c r="I271" s="5">
        <v>44621</v>
      </c>
      <c r="J271" s="6">
        <v>0</v>
      </c>
      <c r="K271" s="6">
        <v>0</v>
      </c>
      <c r="L271" s="6">
        <v>8.6219999999999999</v>
      </c>
      <c r="M271" s="6">
        <v>8.27712</v>
      </c>
      <c r="N271" s="6">
        <v>8.6219999999999999</v>
      </c>
      <c r="O271" s="6">
        <v>8.27712</v>
      </c>
      <c r="P271" s="6">
        <v>0</v>
      </c>
      <c r="Q271" s="4" t="s">
        <v>26</v>
      </c>
      <c r="R271" s="4">
        <v>0</v>
      </c>
      <c r="S271" s="4" t="s">
        <v>134</v>
      </c>
      <c r="T271" s="4" t="s">
        <v>242</v>
      </c>
      <c r="U271" s="4">
        <v>0</v>
      </c>
      <c r="V271" s="4">
        <v>7</v>
      </c>
      <c r="W271" s="4">
        <v>41</v>
      </c>
    </row>
    <row r="272" spans="1:23" ht="11.25" customHeight="1" x14ac:dyDescent="0.25">
      <c r="A272" s="4" t="s">
        <v>21</v>
      </c>
      <c r="B272" s="4" t="s">
        <v>35</v>
      </c>
      <c r="C272" s="4" t="s">
        <v>36</v>
      </c>
      <c r="D272" s="4" t="s">
        <v>41</v>
      </c>
      <c r="E272" s="4" t="s">
        <v>25</v>
      </c>
      <c r="F272" s="4" t="s">
        <v>25</v>
      </c>
      <c r="G272" s="4" t="s">
        <v>25</v>
      </c>
      <c r="H272" s="4" t="s">
        <v>37</v>
      </c>
      <c r="I272" s="5">
        <v>44652</v>
      </c>
      <c r="J272" s="6">
        <v>0</v>
      </c>
      <c r="K272" s="6">
        <v>0</v>
      </c>
      <c r="L272" s="6">
        <v>8.2959999999999994</v>
      </c>
      <c r="M272" s="6">
        <v>7.9641599999999997</v>
      </c>
      <c r="N272" s="6">
        <v>8.2959999999999994</v>
      </c>
      <c r="O272" s="6">
        <v>7.9641599999999997</v>
      </c>
      <c r="P272" s="6">
        <v>0</v>
      </c>
      <c r="Q272" s="4" t="s">
        <v>26</v>
      </c>
      <c r="R272" s="4">
        <v>0</v>
      </c>
      <c r="S272" s="4" t="s">
        <v>135</v>
      </c>
      <c r="T272" s="4" t="s">
        <v>243</v>
      </c>
      <c r="U272" s="4">
        <v>0</v>
      </c>
      <c r="V272" s="4">
        <v>7</v>
      </c>
      <c r="W272" s="4">
        <v>41</v>
      </c>
    </row>
    <row r="273" spans="1:23" ht="11.25" customHeight="1" x14ac:dyDescent="0.25">
      <c r="A273" s="4" t="s">
        <v>21</v>
      </c>
      <c r="B273" s="4" t="s">
        <v>35</v>
      </c>
      <c r="C273" s="4" t="s">
        <v>36</v>
      </c>
      <c r="D273" s="4" t="s">
        <v>41</v>
      </c>
      <c r="E273" s="4" t="s">
        <v>25</v>
      </c>
      <c r="F273" s="4" t="s">
        <v>25</v>
      </c>
      <c r="G273" s="4" t="s">
        <v>25</v>
      </c>
      <c r="H273" s="4" t="s">
        <v>37</v>
      </c>
      <c r="I273" s="5">
        <v>44682</v>
      </c>
      <c r="J273" s="6">
        <v>0</v>
      </c>
      <c r="K273" s="6">
        <v>0</v>
      </c>
      <c r="L273" s="6">
        <v>5.03</v>
      </c>
      <c r="M273" s="6">
        <v>4.8288000000000002</v>
      </c>
      <c r="N273" s="6">
        <v>5.03</v>
      </c>
      <c r="O273" s="6">
        <v>4.8288000000000002</v>
      </c>
      <c r="P273" s="6">
        <v>0</v>
      </c>
      <c r="Q273" s="4" t="s">
        <v>26</v>
      </c>
      <c r="R273" s="4">
        <v>0</v>
      </c>
      <c r="S273" s="4" t="s">
        <v>136</v>
      </c>
      <c r="T273" s="4" t="s">
        <v>244</v>
      </c>
      <c r="U273" s="4">
        <v>0</v>
      </c>
      <c r="V273" s="4">
        <v>7</v>
      </c>
      <c r="W273" s="4">
        <v>41</v>
      </c>
    </row>
    <row r="274" spans="1:23" ht="11.25" customHeight="1" x14ac:dyDescent="0.25">
      <c r="A274" s="4" t="s">
        <v>28</v>
      </c>
      <c r="B274" s="4" t="s">
        <v>35</v>
      </c>
      <c r="C274" s="4" t="s">
        <v>36</v>
      </c>
      <c r="D274" s="4" t="s">
        <v>41</v>
      </c>
      <c r="E274" s="4" t="s">
        <v>25</v>
      </c>
      <c r="F274" s="4" t="s">
        <v>25</v>
      </c>
      <c r="G274" s="4" t="s">
        <v>25</v>
      </c>
      <c r="H274" s="4" t="s">
        <v>37</v>
      </c>
      <c r="I274" s="5">
        <v>44682</v>
      </c>
      <c r="J274" s="6">
        <v>0</v>
      </c>
      <c r="K274" s="6">
        <v>0</v>
      </c>
      <c r="L274" s="6">
        <v>2.157</v>
      </c>
      <c r="M274" s="6">
        <v>2.0707200000000001</v>
      </c>
      <c r="N274" s="6">
        <v>2.157</v>
      </c>
      <c r="O274" s="6">
        <v>2.0707200000000001</v>
      </c>
      <c r="P274" s="6">
        <v>0</v>
      </c>
      <c r="Q274" s="4" t="s">
        <v>26</v>
      </c>
      <c r="R274" s="4">
        <v>0</v>
      </c>
      <c r="S274" s="4" t="s">
        <v>136</v>
      </c>
      <c r="T274" s="4" t="s">
        <v>244</v>
      </c>
      <c r="U274" s="4">
        <v>0</v>
      </c>
      <c r="V274" s="4">
        <v>7</v>
      </c>
      <c r="W274" s="4">
        <v>41</v>
      </c>
    </row>
    <row r="275" spans="1:23" ht="11.25" customHeight="1" x14ac:dyDescent="0.25">
      <c r="A275" s="4" t="s">
        <v>21</v>
      </c>
      <c r="B275" s="4" t="s">
        <v>35</v>
      </c>
      <c r="C275" s="4" t="s">
        <v>36</v>
      </c>
      <c r="D275" s="4" t="s">
        <v>41</v>
      </c>
      <c r="E275" s="4" t="s">
        <v>25</v>
      </c>
      <c r="F275" s="4" t="s">
        <v>25</v>
      </c>
      <c r="G275" s="4" t="s">
        <v>25</v>
      </c>
      <c r="H275" s="4" t="s">
        <v>37</v>
      </c>
      <c r="I275" s="5">
        <v>44713</v>
      </c>
      <c r="J275" s="6">
        <v>0</v>
      </c>
      <c r="K275" s="6">
        <v>0</v>
      </c>
      <c r="L275" s="6">
        <v>3.0459999999999998</v>
      </c>
      <c r="M275" s="6">
        <v>2.9241600000000001</v>
      </c>
      <c r="N275" s="6">
        <v>3.0459999999999998</v>
      </c>
      <c r="O275" s="6">
        <v>2.9241600000000001</v>
      </c>
      <c r="P275" s="6">
        <v>0</v>
      </c>
      <c r="Q275" s="4" t="s">
        <v>26</v>
      </c>
      <c r="R275" s="4">
        <v>0</v>
      </c>
      <c r="S275" s="4" t="s">
        <v>137</v>
      </c>
      <c r="T275" s="4" t="s">
        <v>236</v>
      </c>
      <c r="U275" s="4">
        <v>0</v>
      </c>
      <c r="V275" s="4">
        <v>7</v>
      </c>
      <c r="W275" s="4">
        <v>41</v>
      </c>
    </row>
    <row r="276" spans="1:23" ht="11.25" customHeight="1" x14ac:dyDescent="0.25">
      <c r="A276" s="4" t="s">
        <v>28</v>
      </c>
      <c r="B276" s="4" t="s">
        <v>35</v>
      </c>
      <c r="C276" s="4" t="s">
        <v>36</v>
      </c>
      <c r="D276" s="4" t="s">
        <v>41</v>
      </c>
      <c r="E276" s="4" t="s">
        <v>25</v>
      </c>
      <c r="F276" s="4" t="s">
        <v>25</v>
      </c>
      <c r="G276" s="4" t="s">
        <v>25</v>
      </c>
      <c r="H276" s="4" t="s">
        <v>37</v>
      </c>
      <c r="I276" s="5">
        <v>44713</v>
      </c>
      <c r="J276" s="6">
        <v>0</v>
      </c>
      <c r="K276" s="6">
        <v>0</v>
      </c>
      <c r="L276" s="6">
        <v>2.0249999999999999</v>
      </c>
      <c r="M276" s="6">
        <v>1.944</v>
      </c>
      <c r="N276" s="6">
        <v>2.0249999999999999</v>
      </c>
      <c r="O276" s="6">
        <v>1.944</v>
      </c>
      <c r="P276" s="6">
        <v>0</v>
      </c>
      <c r="Q276" s="4" t="s">
        <v>26</v>
      </c>
      <c r="R276" s="4">
        <v>0</v>
      </c>
      <c r="S276" s="4" t="s">
        <v>137</v>
      </c>
      <c r="T276" s="4" t="s">
        <v>236</v>
      </c>
      <c r="U276" s="4">
        <v>0</v>
      </c>
      <c r="V276" s="4">
        <v>7</v>
      </c>
      <c r="W276" s="4">
        <v>41</v>
      </c>
    </row>
    <row r="277" spans="1:23" ht="11.25" customHeight="1" x14ac:dyDescent="0.25">
      <c r="A277" s="4" t="s">
        <v>21</v>
      </c>
      <c r="B277" s="4" t="s">
        <v>22</v>
      </c>
      <c r="C277" s="4" t="s">
        <v>23</v>
      </c>
      <c r="D277" s="4" t="s">
        <v>24</v>
      </c>
      <c r="E277" s="4" t="s">
        <v>24</v>
      </c>
      <c r="F277" s="4" t="s">
        <v>25</v>
      </c>
      <c r="G277" s="4" t="s">
        <v>25</v>
      </c>
      <c r="H277" s="4" t="s">
        <v>25</v>
      </c>
      <c r="I277" s="5">
        <v>44378</v>
      </c>
      <c r="J277" s="6">
        <v>0</v>
      </c>
      <c r="K277" s="6">
        <v>0</v>
      </c>
      <c r="L277" s="6">
        <v>992.53399999999999</v>
      </c>
      <c r="M277" s="6">
        <v>992.53399999999999</v>
      </c>
      <c r="N277" s="6">
        <v>992.53399999999999</v>
      </c>
      <c r="O277" s="6">
        <v>992.53399999999999</v>
      </c>
      <c r="P277" s="6">
        <v>8255</v>
      </c>
      <c r="Q277" s="4" t="s">
        <v>26</v>
      </c>
      <c r="R277" s="4">
        <v>0</v>
      </c>
      <c r="S277" s="4" t="s">
        <v>138</v>
      </c>
      <c r="T277" s="4" t="s">
        <v>263</v>
      </c>
      <c r="U277" s="4">
        <v>0</v>
      </c>
      <c r="V277" s="4">
        <v>4</v>
      </c>
      <c r="W277" s="4">
        <v>73</v>
      </c>
    </row>
    <row r="278" spans="1:23" ht="11.25" customHeight="1" x14ac:dyDescent="0.25">
      <c r="A278" s="4" t="s">
        <v>27</v>
      </c>
      <c r="B278" s="4" t="s">
        <v>22</v>
      </c>
      <c r="C278" s="4" t="s">
        <v>23</v>
      </c>
      <c r="D278" s="4" t="s">
        <v>24</v>
      </c>
      <c r="E278" s="4" t="s">
        <v>24</v>
      </c>
      <c r="F278" s="4" t="s">
        <v>25</v>
      </c>
      <c r="G278" s="4" t="s">
        <v>25</v>
      </c>
      <c r="H278" s="4" t="s">
        <v>25</v>
      </c>
      <c r="I278" s="5">
        <v>44378</v>
      </c>
      <c r="J278" s="6">
        <v>0</v>
      </c>
      <c r="K278" s="6">
        <v>0</v>
      </c>
      <c r="L278" s="6">
        <v>-0.377</v>
      </c>
      <c r="M278" s="6">
        <v>-0.377</v>
      </c>
      <c r="N278" s="6">
        <v>-0.377</v>
      </c>
      <c r="O278" s="6">
        <v>-0.377</v>
      </c>
      <c r="P278" s="6">
        <v>0</v>
      </c>
      <c r="Q278" s="4" t="s">
        <v>26</v>
      </c>
      <c r="R278" s="4">
        <v>0</v>
      </c>
      <c r="S278" s="4" t="s">
        <v>138</v>
      </c>
      <c r="T278" s="4" t="s">
        <v>263</v>
      </c>
      <c r="U278" s="4">
        <v>0</v>
      </c>
      <c r="V278" s="4">
        <v>4</v>
      </c>
      <c r="W278" s="4">
        <v>73</v>
      </c>
    </row>
    <row r="279" spans="1:23" ht="11.25" customHeight="1" x14ac:dyDescent="0.25">
      <c r="A279" s="4" t="s">
        <v>28</v>
      </c>
      <c r="B279" s="4" t="s">
        <v>22</v>
      </c>
      <c r="C279" s="4" t="s">
        <v>23</v>
      </c>
      <c r="D279" s="4" t="s">
        <v>24</v>
      </c>
      <c r="E279" s="4" t="s">
        <v>24</v>
      </c>
      <c r="F279" s="4" t="s">
        <v>25</v>
      </c>
      <c r="G279" s="4" t="s">
        <v>25</v>
      </c>
      <c r="H279" s="4" t="s">
        <v>25</v>
      </c>
      <c r="I279" s="5">
        <v>44378</v>
      </c>
      <c r="J279" s="6">
        <v>0</v>
      </c>
      <c r="K279" s="6">
        <v>0</v>
      </c>
      <c r="L279" s="6">
        <v>44.189</v>
      </c>
      <c r="M279" s="6">
        <v>44.189</v>
      </c>
      <c r="N279" s="6">
        <v>44.189</v>
      </c>
      <c r="O279" s="6">
        <v>44.189</v>
      </c>
      <c r="P279" s="6">
        <v>453</v>
      </c>
      <c r="Q279" s="4" t="s">
        <v>26</v>
      </c>
      <c r="R279" s="4">
        <v>0</v>
      </c>
      <c r="S279" s="4" t="s">
        <v>138</v>
      </c>
      <c r="T279" s="4" t="s">
        <v>263</v>
      </c>
      <c r="U279" s="4">
        <v>0</v>
      </c>
      <c r="V279" s="4">
        <v>4</v>
      </c>
      <c r="W279" s="4">
        <v>73</v>
      </c>
    </row>
    <row r="280" spans="1:23" ht="11.25" customHeight="1" x14ac:dyDescent="0.25">
      <c r="A280" s="4" t="s">
        <v>21</v>
      </c>
      <c r="B280" s="4" t="s">
        <v>22</v>
      </c>
      <c r="C280" s="4" t="s">
        <v>23</v>
      </c>
      <c r="D280" s="4" t="s">
        <v>24</v>
      </c>
      <c r="E280" s="4" t="s">
        <v>24</v>
      </c>
      <c r="F280" s="4" t="s">
        <v>25</v>
      </c>
      <c r="G280" s="4" t="s">
        <v>25</v>
      </c>
      <c r="H280" s="4" t="s">
        <v>25</v>
      </c>
      <c r="I280" s="5">
        <v>44409</v>
      </c>
      <c r="J280" s="6">
        <v>0</v>
      </c>
      <c r="K280" s="6">
        <v>0</v>
      </c>
      <c r="L280" s="6">
        <v>1012.851</v>
      </c>
      <c r="M280" s="6">
        <v>1012.851</v>
      </c>
      <c r="N280" s="6">
        <v>1012.851</v>
      </c>
      <c r="O280" s="6">
        <v>1012.851</v>
      </c>
      <c r="P280" s="6">
        <v>8243</v>
      </c>
      <c r="Q280" s="4" t="s">
        <v>26</v>
      </c>
      <c r="R280" s="4">
        <v>0</v>
      </c>
      <c r="S280" s="4" t="s">
        <v>139</v>
      </c>
      <c r="T280" s="4" t="s">
        <v>264</v>
      </c>
      <c r="U280" s="4">
        <v>0</v>
      </c>
      <c r="V280" s="4">
        <v>4</v>
      </c>
      <c r="W280" s="4">
        <v>73</v>
      </c>
    </row>
    <row r="281" spans="1:23" ht="11.25" customHeight="1" x14ac:dyDescent="0.25">
      <c r="A281" s="4" t="s">
        <v>27</v>
      </c>
      <c r="B281" s="4" t="s">
        <v>22</v>
      </c>
      <c r="C281" s="4" t="s">
        <v>23</v>
      </c>
      <c r="D281" s="4" t="s">
        <v>24</v>
      </c>
      <c r="E281" s="4" t="s">
        <v>24</v>
      </c>
      <c r="F281" s="4" t="s">
        <v>25</v>
      </c>
      <c r="G281" s="4" t="s">
        <v>25</v>
      </c>
      <c r="H281" s="4" t="s">
        <v>25</v>
      </c>
      <c r="I281" s="5">
        <v>44409</v>
      </c>
      <c r="J281" s="6">
        <v>0</v>
      </c>
      <c r="K281" s="6">
        <v>0</v>
      </c>
      <c r="L281" s="6">
        <v>-0.32500000000000001</v>
      </c>
      <c r="M281" s="6">
        <v>-0.32500000000000001</v>
      </c>
      <c r="N281" s="6">
        <v>-0.32500000000000001</v>
      </c>
      <c r="O281" s="6">
        <v>-0.32500000000000001</v>
      </c>
      <c r="P281" s="6">
        <v>0</v>
      </c>
      <c r="Q281" s="4" t="s">
        <v>26</v>
      </c>
      <c r="R281" s="4">
        <v>0</v>
      </c>
      <c r="S281" s="4" t="s">
        <v>139</v>
      </c>
      <c r="T281" s="4" t="s">
        <v>264</v>
      </c>
      <c r="U281" s="4">
        <v>0</v>
      </c>
      <c r="V281" s="4">
        <v>4</v>
      </c>
      <c r="W281" s="4">
        <v>73</v>
      </c>
    </row>
    <row r="282" spans="1:23" ht="11.25" customHeight="1" x14ac:dyDescent="0.25">
      <c r="A282" s="4" t="s">
        <v>28</v>
      </c>
      <c r="B282" s="4" t="s">
        <v>22</v>
      </c>
      <c r="C282" s="4" t="s">
        <v>23</v>
      </c>
      <c r="D282" s="4" t="s">
        <v>24</v>
      </c>
      <c r="E282" s="4" t="s">
        <v>24</v>
      </c>
      <c r="F282" s="4" t="s">
        <v>25</v>
      </c>
      <c r="G282" s="4" t="s">
        <v>25</v>
      </c>
      <c r="H282" s="4" t="s">
        <v>25</v>
      </c>
      <c r="I282" s="5">
        <v>44409</v>
      </c>
      <c r="J282" s="6">
        <v>0</v>
      </c>
      <c r="K282" s="6">
        <v>0</v>
      </c>
      <c r="L282" s="6">
        <v>35.491</v>
      </c>
      <c r="M282" s="6">
        <v>35.491</v>
      </c>
      <c r="N282" s="6">
        <v>35.491</v>
      </c>
      <c r="O282" s="6">
        <v>35.491</v>
      </c>
      <c r="P282" s="6">
        <v>467</v>
      </c>
      <c r="Q282" s="4" t="s">
        <v>26</v>
      </c>
      <c r="R282" s="4">
        <v>0</v>
      </c>
      <c r="S282" s="4" t="s">
        <v>139</v>
      </c>
      <c r="T282" s="4" t="s">
        <v>264</v>
      </c>
      <c r="U282" s="4">
        <v>0</v>
      </c>
      <c r="V282" s="4">
        <v>4</v>
      </c>
      <c r="W282" s="4">
        <v>73</v>
      </c>
    </row>
    <row r="283" spans="1:2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24</v>
      </c>
      <c r="F283" s="4" t="s">
        <v>25</v>
      </c>
      <c r="G283" s="4" t="s">
        <v>25</v>
      </c>
      <c r="H283" s="4" t="s">
        <v>25</v>
      </c>
      <c r="I283" s="5">
        <v>44440</v>
      </c>
      <c r="J283" s="6">
        <v>0</v>
      </c>
      <c r="K283" s="6">
        <v>0</v>
      </c>
      <c r="L283" s="6">
        <v>1029.579</v>
      </c>
      <c r="M283" s="6">
        <v>1029.579</v>
      </c>
      <c r="N283" s="6">
        <v>1029.579</v>
      </c>
      <c r="O283" s="6">
        <v>1029.579</v>
      </c>
      <c r="P283" s="6">
        <v>8270</v>
      </c>
      <c r="Q283" s="4" t="s">
        <v>26</v>
      </c>
      <c r="R283" s="4">
        <v>0</v>
      </c>
      <c r="S283" s="4" t="s">
        <v>140</v>
      </c>
      <c r="T283" s="4" t="s">
        <v>265</v>
      </c>
      <c r="U283" s="4">
        <v>0</v>
      </c>
      <c r="V283" s="4">
        <v>4</v>
      </c>
      <c r="W283" s="4">
        <v>73</v>
      </c>
    </row>
    <row r="284" spans="1:23" ht="11.25" customHeight="1" x14ac:dyDescent="0.25">
      <c r="A284" s="4" t="s">
        <v>27</v>
      </c>
      <c r="B284" s="4" t="s">
        <v>22</v>
      </c>
      <c r="C284" s="4" t="s">
        <v>23</v>
      </c>
      <c r="D284" s="4" t="s">
        <v>24</v>
      </c>
      <c r="E284" s="4" t="s">
        <v>24</v>
      </c>
      <c r="F284" s="4" t="s">
        <v>25</v>
      </c>
      <c r="G284" s="4" t="s">
        <v>25</v>
      </c>
      <c r="H284" s="4" t="s">
        <v>25</v>
      </c>
      <c r="I284" s="5">
        <v>44440</v>
      </c>
      <c r="J284" s="6">
        <v>0</v>
      </c>
      <c r="K284" s="6">
        <v>0</v>
      </c>
      <c r="L284" s="6">
        <v>0.14699999999999999</v>
      </c>
      <c r="M284" s="6">
        <v>0.14699999999999999</v>
      </c>
      <c r="N284" s="6">
        <v>0.14699999999999999</v>
      </c>
      <c r="O284" s="6">
        <v>0.14699999999999999</v>
      </c>
      <c r="P284" s="6">
        <v>0</v>
      </c>
      <c r="Q284" s="4" t="s">
        <v>26</v>
      </c>
      <c r="R284" s="4">
        <v>0</v>
      </c>
      <c r="S284" s="4" t="s">
        <v>140</v>
      </c>
      <c r="T284" s="4" t="s">
        <v>265</v>
      </c>
      <c r="U284" s="4">
        <v>0</v>
      </c>
      <c r="V284" s="4">
        <v>4</v>
      </c>
      <c r="W284" s="4">
        <v>73</v>
      </c>
    </row>
    <row r="285" spans="1:23" ht="11.25" customHeight="1" x14ac:dyDescent="0.25">
      <c r="A285" s="4" t="s">
        <v>28</v>
      </c>
      <c r="B285" s="4" t="s">
        <v>22</v>
      </c>
      <c r="C285" s="4" t="s">
        <v>23</v>
      </c>
      <c r="D285" s="4" t="s">
        <v>24</v>
      </c>
      <c r="E285" s="4" t="s">
        <v>24</v>
      </c>
      <c r="F285" s="4" t="s">
        <v>25</v>
      </c>
      <c r="G285" s="4" t="s">
        <v>25</v>
      </c>
      <c r="H285" s="4" t="s">
        <v>25</v>
      </c>
      <c r="I285" s="5">
        <v>44440</v>
      </c>
      <c r="J285" s="6">
        <v>0</v>
      </c>
      <c r="K285" s="6">
        <v>0</v>
      </c>
      <c r="L285" s="6">
        <v>32.054000000000002</v>
      </c>
      <c r="M285" s="6">
        <v>32.054000000000002</v>
      </c>
      <c r="N285" s="6">
        <v>32.054000000000002</v>
      </c>
      <c r="O285" s="6">
        <v>32.054000000000002</v>
      </c>
      <c r="P285" s="6">
        <v>472</v>
      </c>
      <c r="Q285" s="4" t="s">
        <v>26</v>
      </c>
      <c r="R285" s="4">
        <v>0</v>
      </c>
      <c r="S285" s="4" t="s">
        <v>140</v>
      </c>
      <c r="T285" s="4" t="s">
        <v>265</v>
      </c>
      <c r="U285" s="4">
        <v>0</v>
      </c>
      <c r="V285" s="4">
        <v>4</v>
      </c>
      <c r="W285" s="4">
        <v>73</v>
      </c>
    </row>
    <row r="286" spans="1:23" ht="11.25" customHeight="1" x14ac:dyDescent="0.25">
      <c r="A286" s="4" t="s">
        <v>28</v>
      </c>
      <c r="B286" s="4" t="s">
        <v>22</v>
      </c>
      <c r="C286" s="4" t="s">
        <v>23</v>
      </c>
      <c r="D286" s="4" t="s">
        <v>24</v>
      </c>
      <c r="E286" s="4" t="s">
        <v>24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0.31900000000000001</v>
      </c>
      <c r="M286" s="6">
        <v>0.31900000000000001</v>
      </c>
      <c r="N286" s="6">
        <v>0.31900000000000001</v>
      </c>
      <c r="O286" s="6">
        <v>0.31900000000000001</v>
      </c>
      <c r="P286" s="6">
        <v>1</v>
      </c>
      <c r="Q286" s="4" t="s">
        <v>26</v>
      </c>
      <c r="R286" s="4">
        <v>0</v>
      </c>
      <c r="S286" s="4" t="s">
        <v>140</v>
      </c>
      <c r="T286" s="4" t="s">
        <v>265</v>
      </c>
      <c r="U286" s="4">
        <v>0</v>
      </c>
      <c r="V286" s="4">
        <v>4</v>
      </c>
      <c r="W286" s="4">
        <v>73</v>
      </c>
    </row>
    <row r="287" spans="1:23" ht="11.25" customHeight="1" x14ac:dyDescent="0.25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24</v>
      </c>
      <c r="F287" s="4" t="s">
        <v>25</v>
      </c>
      <c r="G287" s="4" t="s">
        <v>25</v>
      </c>
      <c r="H287" s="4" t="s">
        <v>25</v>
      </c>
      <c r="I287" s="5">
        <v>44470</v>
      </c>
      <c r="J287" s="6">
        <v>0</v>
      </c>
      <c r="K287" s="6">
        <v>0</v>
      </c>
      <c r="L287" s="6">
        <v>1002.316</v>
      </c>
      <c r="M287" s="6">
        <v>1002.316</v>
      </c>
      <c r="N287" s="6">
        <v>1002.316</v>
      </c>
      <c r="O287" s="6">
        <v>1002.316</v>
      </c>
      <c r="P287" s="6">
        <v>8247</v>
      </c>
      <c r="Q287" s="4" t="s">
        <v>26</v>
      </c>
      <c r="R287" s="4">
        <v>0</v>
      </c>
      <c r="S287" s="4" t="s">
        <v>141</v>
      </c>
      <c r="T287" s="4" t="s">
        <v>266</v>
      </c>
      <c r="U287" s="4">
        <v>0</v>
      </c>
      <c r="V287" s="4">
        <v>4</v>
      </c>
      <c r="W287" s="4">
        <v>73</v>
      </c>
    </row>
    <row r="288" spans="1:23" ht="11.25" customHeight="1" x14ac:dyDescent="0.25">
      <c r="A288" s="4" t="s">
        <v>27</v>
      </c>
      <c r="B288" s="4" t="s">
        <v>22</v>
      </c>
      <c r="C288" s="4" t="s">
        <v>23</v>
      </c>
      <c r="D288" s="4" t="s">
        <v>24</v>
      </c>
      <c r="E288" s="4" t="s">
        <v>24</v>
      </c>
      <c r="F288" s="4" t="s">
        <v>25</v>
      </c>
      <c r="G288" s="4" t="s">
        <v>25</v>
      </c>
      <c r="H288" s="4" t="s">
        <v>25</v>
      </c>
      <c r="I288" s="5">
        <v>44470</v>
      </c>
      <c r="J288" s="6">
        <v>0</v>
      </c>
      <c r="K288" s="6">
        <v>0</v>
      </c>
      <c r="L288" s="6">
        <v>-1.4450000000000001</v>
      </c>
      <c r="M288" s="6">
        <v>-1.4450000000000001</v>
      </c>
      <c r="N288" s="6">
        <v>-1.4450000000000001</v>
      </c>
      <c r="O288" s="6">
        <v>-1.4450000000000001</v>
      </c>
      <c r="P288" s="6">
        <v>0</v>
      </c>
      <c r="Q288" s="4" t="s">
        <v>26</v>
      </c>
      <c r="R288" s="4">
        <v>0</v>
      </c>
      <c r="S288" s="4" t="s">
        <v>141</v>
      </c>
      <c r="T288" s="4" t="s">
        <v>266</v>
      </c>
      <c r="U288" s="4">
        <v>0</v>
      </c>
      <c r="V288" s="4">
        <v>4</v>
      </c>
      <c r="W288" s="4">
        <v>73</v>
      </c>
    </row>
    <row r="289" spans="1:23" ht="11.25" customHeight="1" x14ac:dyDescent="0.25">
      <c r="A289" s="4" t="s">
        <v>28</v>
      </c>
      <c r="B289" s="4" t="s">
        <v>22</v>
      </c>
      <c r="C289" s="4" t="s">
        <v>23</v>
      </c>
      <c r="D289" s="4" t="s">
        <v>24</v>
      </c>
      <c r="E289" s="4" t="s">
        <v>24</v>
      </c>
      <c r="F289" s="4" t="s">
        <v>25</v>
      </c>
      <c r="G289" s="4" t="s">
        <v>25</v>
      </c>
      <c r="H289" s="4" t="s">
        <v>25</v>
      </c>
      <c r="I289" s="5">
        <v>44470</v>
      </c>
      <c r="J289" s="6">
        <v>0</v>
      </c>
      <c r="K289" s="6">
        <v>0</v>
      </c>
      <c r="L289" s="6">
        <v>26.238</v>
      </c>
      <c r="M289" s="6">
        <v>26.238</v>
      </c>
      <c r="N289" s="6">
        <v>26.238</v>
      </c>
      <c r="O289" s="6">
        <v>26.238</v>
      </c>
      <c r="P289" s="6">
        <v>480</v>
      </c>
      <c r="Q289" s="4" t="s">
        <v>26</v>
      </c>
      <c r="R289" s="4">
        <v>0</v>
      </c>
      <c r="S289" s="4" t="s">
        <v>141</v>
      </c>
      <c r="T289" s="4" t="s">
        <v>266</v>
      </c>
      <c r="U289" s="4">
        <v>0</v>
      </c>
      <c r="V289" s="4">
        <v>4</v>
      </c>
      <c r="W289" s="4">
        <v>73</v>
      </c>
    </row>
    <row r="290" spans="1:23" ht="11.25" customHeight="1" x14ac:dyDescent="0.25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24</v>
      </c>
      <c r="F290" s="4" t="s">
        <v>25</v>
      </c>
      <c r="G290" s="4" t="s">
        <v>25</v>
      </c>
      <c r="H290" s="4" t="s">
        <v>25</v>
      </c>
      <c r="I290" s="5">
        <v>44501</v>
      </c>
      <c r="J290" s="6">
        <v>0</v>
      </c>
      <c r="K290" s="6">
        <v>0</v>
      </c>
      <c r="L290" s="6">
        <v>1114.566</v>
      </c>
      <c r="M290" s="6">
        <v>1114.566</v>
      </c>
      <c r="N290" s="6">
        <v>1114.566</v>
      </c>
      <c r="O290" s="6">
        <v>1114.566</v>
      </c>
      <c r="P290" s="6">
        <v>8243</v>
      </c>
      <c r="Q290" s="4" t="s">
        <v>26</v>
      </c>
      <c r="R290" s="4">
        <v>0</v>
      </c>
      <c r="S290" s="4" t="s">
        <v>142</v>
      </c>
      <c r="T290" s="4" t="s">
        <v>267</v>
      </c>
      <c r="U290" s="4">
        <v>0</v>
      </c>
      <c r="V290" s="4">
        <v>4</v>
      </c>
      <c r="W290" s="4">
        <v>73</v>
      </c>
    </row>
    <row r="291" spans="1:23" ht="11.25" customHeight="1" x14ac:dyDescent="0.25">
      <c r="A291" s="4" t="s">
        <v>27</v>
      </c>
      <c r="B291" s="4" t="s">
        <v>22</v>
      </c>
      <c r="C291" s="4" t="s">
        <v>23</v>
      </c>
      <c r="D291" s="4" t="s">
        <v>24</v>
      </c>
      <c r="E291" s="4" t="s">
        <v>24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-0.51500000000000001</v>
      </c>
      <c r="M291" s="6">
        <v>-0.51500000000000001</v>
      </c>
      <c r="N291" s="6">
        <v>-0.51500000000000001</v>
      </c>
      <c r="O291" s="6">
        <v>-0.51500000000000001</v>
      </c>
      <c r="P291" s="6">
        <v>0</v>
      </c>
      <c r="Q291" s="4" t="s">
        <v>26</v>
      </c>
      <c r="R291" s="4">
        <v>0</v>
      </c>
      <c r="S291" s="4" t="s">
        <v>142</v>
      </c>
      <c r="T291" s="4" t="s">
        <v>267</v>
      </c>
      <c r="U291" s="4">
        <v>0</v>
      </c>
      <c r="V291" s="4">
        <v>4</v>
      </c>
      <c r="W291" s="4">
        <v>73</v>
      </c>
    </row>
    <row r="292" spans="1:23" ht="11.25" customHeight="1" x14ac:dyDescent="0.25">
      <c r="A292" s="4" t="s">
        <v>28</v>
      </c>
      <c r="B292" s="4" t="s">
        <v>22</v>
      </c>
      <c r="C292" s="4" t="s">
        <v>23</v>
      </c>
      <c r="D292" s="4" t="s">
        <v>24</v>
      </c>
      <c r="E292" s="4" t="s">
        <v>24</v>
      </c>
      <c r="F292" s="4" t="s">
        <v>25</v>
      </c>
      <c r="G292" s="4" t="s">
        <v>25</v>
      </c>
      <c r="H292" s="4" t="s">
        <v>25</v>
      </c>
      <c r="I292" s="5">
        <v>44501</v>
      </c>
      <c r="J292" s="6">
        <v>0</v>
      </c>
      <c r="K292" s="6">
        <v>0</v>
      </c>
      <c r="L292" s="6">
        <v>25.38</v>
      </c>
      <c r="M292" s="6">
        <v>25.38</v>
      </c>
      <c r="N292" s="6">
        <v>25.38</v>
      </c>
      <c r="O292" s="6">
        <v>25.38</v>
      </c>
      <c r="P292" s="6">
        <v>496</v>
      </c>
      <c r="Q292" s="4" t="s">
        <v>26</v>
      </c>
      <c r="R292" s="4">
        <v>0</v>
      </c>
      <c r="S292" s="4" t="s">
        <v>142</v>
      </c>
      <c r="T292" s="4" t="s">
        <v>267</v>
      </c>
      <c r="U292" s="4">
        <v>0</v>
      </c>
      <c r="V292" s="4">
        <v>4</v>
      </c>
      <c r="W292" s="4">
        <v>73</v>
      </c>
    </row>
    <row r="293" spans="1:23" ht="11.25" customHeight="1" x14ac:dyDescent="0.25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24</v>
      </c>
      <c r="F293" s="4" t="s">
        <v>25</v>
      </c>
      <c r="G293" s="4" t="s">
        <v>25</v>
      </c>
      <c r="H293" s="4" t="s">
        <v>25</v>
      </c>
      <c r="I293" s="5">
        <v>44531</v>
      </c>
      <c r="J293" s="6">
        <v>0</v>
      </c>
      <c r="K293" s="6">
        <v>0</v>
      </c>
      <c r="L293" s="6">
        <v>1113.55</v>
      </c>
      <c r="M293" s="6">
        <v>1113.55</v>
      </c>
      <c r="N293" s="6">
        <v>1113.55</v>
      </c>
      <c r="O293" s="6">
        <v>1113.55</v>
      </c>
      <c r="P293" s="6">
        <v>8224</v>
      </c>
      <c r="Q293" s="4" t="s">
        <v>26</v>
      </c>
      <c r="R293" s="4">
        <v>0</v>
      </c>
      <c r="S293" s="4" t="s">
        <v>143</v>
      </c>
      <c r="T293" s="4" t="s">
        <v>268</v>
      </c>
      <c r="U293" s="4">
        <v>0</v>
      </c>
      <c r="V293" s="4">
        <v>4</v>
      </c>
      <c r="W293" s="4">
        <v>73</v>
      </c>
    </row>
    <row r="294" spans="1:23" ht="11.25" customHeight="1" x14ac:dyDescent="0.25">
      <c r="A294" s="4" t="s">
        <v>27</v>
      </c>
      <c r="B294" s="4" t="s">
        <v>22</v>
      </c>
      <c r="C294" s="4" t="s">
        <v>23</v>
      </c>
      <c r="D294" s="4" t="s">
        <v>24</v>
      </c>
      <c r="E294" s="4" t="s">
        <v>24</v>
      </c>
      <c r="F294" s="4" t="s">
        <v>25</v>
      </c>
      <c r="G294" s="4" t="s">
        <v>25</v>
      </c>
      <c r="H294" s="4" t="s">
        <v>25</v>
      </c>
      <c r="I294" s="5">
        <v>44531</v>
      </c>
      <c r="J294" s="6">
        <v>0</v>
      </c>
      <c r="K294" s="6">
        <v>0</v>
      </c>
      <c r="L294" s="6">
        <v>-4.1000000000000002E-2</v>
      </c>
      <c r="M294" s="6">
        <v>-4.1000000000000002E-2</v>
      </c>
      <c r="N294" s="6">
        <v>-4.1000000000000002E-2</v>
      </c>
      <c r="O294" s="6">
        <v>-4.1000000000000002E-2</v>
      </c>
      <c r="P294" s="6">
        <v>0</v>
      </c>
      <c r="Q294" s="4" t="s">
        <v>26</v>
      </c>
      <c r="R294" s="4">
        <v>0</v>
      </c>
      <c r="S294" s="4" t="s">
        <v>143</v>
      </c>
      <c r="T294" s="4" t="s">
        <v>268</v>
      </c>
      <c r="U294" s="4">
        <v>0</v>
      </c>
      <c r="V294" s="4">
        <v>4</v>
      </c>
      <c r="W294" s="4">
        <v>73</v>
      </c>
    </row>
    <row r="295" spans="1:23" ht="11.25" customHeight="1" x14ac:dyDescent="0.25">
      <c r="A295" s="4" t="s">
        <v>28</v>
      </c>
      <c r="B295" s="4" t="s">
        <v>22</v>
      </c>
      <c r="C295" s="4" t="s">
        <v>23</v>
      </c>
      <c r="D295" s="4" t="s">
        <v>24</v>
      </c>
      <c r="E295" s="4" t="s">
        <v>24</v>
      </c>
      <c r="F295" s="4" t="s">
        <v>25</v>
      </c>
      <c r="G295" s="4" t="s">
        <v>25</v>
      </c>
      <c r="H295" s="4" t="s">
        <v>25</v>
      </c>
      <c r="I295" s="5">
        <v>44531</v>
      </c>
      <c r="J295" s="6">
        <v>0</v>
      </c>
      <c r="K295" s="6">
        <v>0</v>
      </c>
      <c r="L295" s="6">
        <v>28.027000000000001</v>
      </c>
      <c r="M295" s="6">
        <v>28.027000000000001</v>
      </c>
      <c r="N295" s="6">
        <v>28.027000000000001</v>
      </c>
      <c r="O295" s="6">
        <v>28.027000000000001</v>
      </c>
      <c r="P295" s="6">
        <v>505</v>
      </c>
      <c r="Q295" s="4" t="s">
        <v>26</v>
      </c>
      <c r="R295" s="4">
        <v>0</v>
      </c>
      <c r="S295" s="4" t="s">
        <v>143</v>
      </c>
      <c r="T295" s="4" t="s">
        <v>268</v>
      </c>
      <c r="U295" s="4">
        <v>0</v>
      </c>
      <c r="V295" s="4">
        <v>4</v>
      </c>
      <c r="W295" s="4">
        <v>73</v>
      </c>
    </row>
    <row r="296" spans="1:23" ht="11.25" customHeight="1" x14ac:dyDescent="0.25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24</v>
      </c>
      <c r="F296" s="4" t="s">
        <v>25</v>
      </c>
      <c r="G296" s="4" t="s">
        <v>25</v>
      </c>
      <c r="H296" s="4" t="s">
        <v>25</v>
      </c>
      <c r="I296" s="5">
        <v>44562</v>
      </c>
      <c r="J296" s="6">
        <v>0</v>
      </c>
      <c r="K296" s="6">
        <v>0</v>
      </c>
      <c r="L296" s="6">
        <v>1398.951</v>
      </c>
      <c r="M296" s="6">
        <v>1398.951</v>
      </c>
      <c r="N296" s="6">
        <v>1398.951</v>
      </c>
      <c r="O296" s="6">
        <v>1398.951</v>
      </c>
      <c r="P296" s="6">
        <v>8229</v>
      </c>
      <c r="Q296" s="4" t="s">
        <v>26</v>
      </c>
      <c r="R296" s="4">
        <v>0</v>
      </c>
      <c r="S296" s="4" t="s">
        <v>144</v>
      </c>
      <c r="T296" s="4" t="s">
        <v>269</v>
      </c>
      <c r="U296" s="4">
        <v>0</v>
      </c>
      <c r="V296" s="4">
        <v>4</v>
      </c>
      <c r="W296" s="4">
        <v>73</v>
      </c>
    </row>
    <row r="297" spans="1:23" ht="11.25" customHeight="1" x14ac:dyDescent="0.25">
      <c r="A297" s="4" t="s">
        <v>27</v>
      </c>
      <c r="B297" s="4" t="s">
        <v>22</v>
      </c>
      <c r="C297" s="4" t="s">
        <v>23</v>
      </c>
      <c r="D297" s="4" t="s">
        <v>24</v>
      </c>
      <c r="E297" s="4" t="s">
        <v>24</v>
      </c>
      <c r="F297" s="4" t="s">
        <v>25</v>
      </c>
      <c r="G297" s="4" t="s">
        <v>25</v>
      </c>
      <c r="H297" s="4" t="s">
        <v>25</v>
      </c>
      <c r="I297" s="5">
        <v>44562</v>
      </c>
      <c r="J297" s="6">
        <v>0</v>
      </c>
      <c r="K297" s="6">
        <v>0</v>
      </c>
      <c r="L297" s="6">
        <v>0.05</v>
      </c>
      <c r="M297" s="6">
        <v>0.05</v>
      </c>
      <c r="N297" s="6">
        <v>0.05</v>
      </c>
      <c r="O297" s="6">
        <v>0.05</v>
      </c>
      <c r="P297" s="6">
        <v>0</v>
      </c>
      <c r="Q297" s="4" t="s">
        <v>26</v>
      </c>
      <c r="R297" s="4">
        <v>0</v>
      </c>
      <c r="S297" s="4" t="s">
        <v>144</v>
      </c>
      <c r="T297" s="4" t="s">
        <v>269</v>
      </c>
      <c r="U297" s="4">
        <v>0</v>
      </c>
      <c r="V297" s="4">
        <v>4</v>
      </c>
      <c r="W297" s="4">
        <v>73</v>
      </c>
    </row>
    <row r="298" spans="1:23" ht="11.25" customHeight="1" x14ac:dyDescent="0.25">
      <c r="A298" s="4" t="s">
        <v>28</v>
      </c>
      <c r="B298" s="4" t="s">
        <v>22</v>
      </c>
      <c r="C298" s="4" t="s">
        <v>23</v>
      </c>
      <c r="D298" s="4" t="s">
        <v>24</v>
      </c>
      <c r="E298" s="4" t="s">
        <v>24</v>
      </c>
      <c r="F298" s="4" t="s">
        <v>25</v>
      </c>
      <c r="G298" s="4" t="s">
        <v>25</v>
      </c>
      <c r="H298" s="4" t="s">
        <v>25</v>
      </c>
      <c r="I298" s="5">
        <v>44562</v>
      </c>
      <c r="J298" s="6">
        <v>0</v>
      </c>
      <c r="K298" s="6">
        <v>0</v>
      </c>
      <c r="L298" s="6">
        <v>39.793999999999997</v>
      </c>
      <c r="M298" s="6">
        <v>39.793999999999997</v>
      </c>
      <c r="N298" s="6">
        <v>39.793999999999997</v>
      </c>
      <c r="O298" s="6">
        <v>39.793999999999997</v>
      </c>
      <c r="P298" s="6">
        <v>506</v>
      </c>
      <c r="Q298" s="4" t="s">
        <v>26</v>
      </c>
      <c r="R298" s="4">
        <v>0</v>
      </c>
      <c r="S298" s="4" t="s">
        <v>144</v>
      </c>
      <c r="T298" s="4" t="s">
        <v>269</v>
      </c>
      <c r="U298" s="4">
        <v>0</v>
      </c>
      <c r="V298" s="4">
        <v>4</v>
      </c>
      <c r="W298" s="4">
        <v>73</v>
      </c>
    </row>
    <row r="299" spans="1:2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24</v>
      </c>
      <c r="F299" s="4" t="s">
        <v>25</v>
      </c>
      <c r="G299" s="4" t="s">
        <v>25</v>
      </c>
      <c r="H299" s="4" t="s">
        <v>25</v>
      </c>
      <c r="I299" s="5">
        <v>44593</v>
      </c>
      <c r="J299" s="6">
        <v>0</v>
      </c>
      <c r="K299" s="6">
        <v>0</v>
      </c>
      <c r="L299" s="6">
        <v>1460.9549999999999</v>
      </c>
      <c r="M299" s="6">
        <v>1460.9549999999999</v>
      </c>
      <c r="N299" s="6">
        <v>1460.9549999999999</v>
      </c>
      <c r="O299" s="6">
        <v>1460.9549999999999</v>
      </c>
      <c r="P299" s="6">
        <v>8201</v>
      </c>
      <c r="Q299" s="4" t="s">
        <v>26</v>
      </c>
      <c r="R299" s="4">
        <v>0</v>
      </c>
      <c r="S299" s="4" t="s">
        <v>145</v>
      </c>
      <c r="T299" s="4" t="s">
        <v>270</v>
      </c>
      <c r="U299" s="4">
        <v>0</v>
      </c>
      <c r="V299" s="4">
        <v>4</v>
      </c>
      <c r="W299" s="4">
        <v>73</v>
      </c>
    </row>
    <row r="300" spans="1:23" ht="11.25" customHeight="1" x14ac:dyDescent="0.25">
      <c r="A300" s="4" t="s">
        <v>28</v>
      </c>
      <c r="B300" s="4" t="s">
        <v>22</v>
      </c>
      <c r="C300" s="4" t="s">
        <v>23</v>
      </c>
      <c r="D300" s="4" t="s">
        <v>24</v>
      </c>
      <c r="E300" s="4" t="s">
        <v>24</v>
      </c>
      <c r="F300" s="4" t="s">
        <v>25</v>
      </c>
      <c r="G300" s="4" t="s">
        <v>25</v>
      </c>
      <c r="H300" s="4" t="s">
        <v>25</v>
      </c>
      <c r="I300" s="5">
        <v>44593</v>
      </c>
      <c r="J300" s="6">
        <v>0</v>
      </c>
      <c r="K300" s="6">
        <v>0</v>
      </c>
      <c r="L300" s="6">
        <v>45.277999999999999</v>
      </c>
      <c r="M300" s="6">
        <v>45.277999999999999</v>
      </c>
      <c r="N300" s="6">
        <v>45.277999999999999</v>
      </c>
      <c r="O300" s="6">
        <v>45.277999999999999</v>
      </c>
      <c r="P300" s="6">
        <v>506</v>
      </c>
      <c r="Q300" s="4" t="s">
        <v>26</v>
      </c>
      <c r="R300" s="4">
        <v>0</v>
      </c>
      <c r="S300" s="4" t="s">
        <v>145</v>
      </c>
      <c r="T300" s="4" t="s">
        <v>270</v>
      </c>
      <c r="U300" s="4">
        <v>0</v>
      </c>
      <c r="V300" s="4">
        <v>4</v>
      </c>
      <c r="W300" s="4">
        <v>73</v>
      </c>
    </row>
    <row r="301" spans="1:2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24</v>
      </c>
      <c r="F301" s="4" t="s">
        <v>25</v>
      </c>
      <c r="G301" s="4" t="s">
        <v>25</v>
      </c>
      <c r="H301" s="4" t="s">
        <v>25</v>
      </c>
      <c r="I301" s="5">
        <v>44621</v>
      </c>
      <c r="J301" s="6">
        <v>0</v>
      </c>
      <c r="K301" s="6">
        <v>0</v>
      </c>
      <c r="L301" s="6">
        <v>1295.683</v>
      </c>
      <c r="M301" s="6">
        <v>1295.683</v>
      </c>
      <c r="N301" s="6">
        <v>1295.683</v>
      </c>
      <c r="O301" s="6">
        <v>1295.683</v>
      </c>
      <c r="P301" s="6">
        <v>8202</v>
      </c>
      <c r="Q301" s="4" t="s">
        <v>26</v>
      </c>
      <c r="R301" s="4">
        <v>0</v>
      </c>
      <c r="S301" s="4" t="s">
        <v>146</v>
      </c>
      <c r="T301" s="4" t="s">
        <v>271</v>
      </c>
      <c r="U301" s="4">
        <v>0</v>
      </c>
      <c r="V301" s="4">
        <v>4</v>
      </c>
      <c r="W301" s="4">
        <v>73</v>
      </c>
    </row>
    <row r="302" spans="1:23" ht="11.25" customHeight="1" x14ac:dyDescent="0.25">
      <c r="A302" s="4" t="s">
        <v>27</v>
      </c>
      <c r="B302" s="4" t="s">
        <v>22</v>
      </c>
      <c r="C302" s="4" t="s">
        <v>23</v>
      </c>
      <c r="D302" s="4" t="s">
        <v>24</v>
      </c>
      <c r="E302" s="4" t="s">
        <v>24</v>
      </c>
      <c r="F302" s="4" t="s">
        <v>25</v>
      </c>
      <c r="G302" s="4" t="s">
        <v>25</v>
      </c>
      <c r="H302" s="4" t="s">
        <v>25</v>
      </c>
      <c r="I302" s="5">
        <v>44621</v>
      </c>
      <c r="J302" s="6">
        <v>0</v>
      </c>
      <c r="K302" s="6">
        <v>0</v>
      </c>
      <c r="L302" s="6">
        <v>-2.258</v>
      </c>
      <c r="M302" s="6">
        <v>-2.258</v>
      </c>
      <c r="N302" s="6">
        <v>-2.258</v>
      </c>
      <c r="O302" s="6">
        <v>-2.258</v>
      </c>
      <c r="P302" s="6">
        <v>0</v>
      </c>
      <c r="Q302" s="4" t="s">
        <v>26</v>
      </c>
      <c r="R302" s="4">
        <v>0</v>
      </c>
      <c r="S302" s="4" t="s">
        <v>146</v>
      </c>
      <c r="T302" s="4" t="s">
        <v>271</v>
      </c>
      <c r="U302" s="4">
        <v>0</v>
      </c>
      <c r="V302" s="4">
        <v>4</v>
      </c>
      <c r="W302" s="4">
        <v>73</v>
      </c>
    </row>
    <row r="303" spans="1:23" ht="11.25" customHeight="1" x14ac:dyDescent="0.25">
      <c r="A303" s="4" t="s">
        <v>28</v>
      </c>
      <c r="B303" s="4" t="s">
        <v>22</v>
      </c>
      <c r="C303" s="4" t="s">
        <v>23</v>
      </c>
      <c r="D303" s="4" t="s">
        <v>24</v>
      </c>
      <c r="E303" s="4" t="s">
        <v>24</v>
      </c>
      <c r="F303" s="4" t="s">
        <v>25</v>
      </c>
      <c r="G303" s="4" t="s">
        <v>25</v>
      </c>
      <c r="H303" s="4" t="s">
        <v>25</v>
      </c>
      <c r="I303" s="5">
        <v>44621</v>
      </c>
      <c r="J303" s="6">
        <v>0</v>
      </c>
      <c r="K303" s="6">
        <v>0</v>
      </c>
      <c r="L303" s="6">
        <v>41.749000000000002</v>
      </c>
      <c r="M303" s="6">
        <v>41.749000000000002</v>
      </c>
      <c r="N303" s="6">
        <v>41.749000000000002</v>
      </c>
      <c r="O303" s="6">
        <v>41.749000000000002</v>
      </c>
      <c r="P303" s="6">
        <v>517</v>
      </c>
      <c r="Q303" s="4" t="s">
        <v>26</v>
      </c>
      <c r="R303" s="4">
        <v>0</v>
      </c>
      <c r="S303" s="4" t="s">
        <v>146</v>
      </c>
      <c r="T303" s="4" t="s">
        <v>271</v>
      </c>
      <c r="U303" s="4">
        <v>0</v>
      </c>
      <c r="V303" s="4">
        <v>4</v>
      </c>
      <c r="W303" s="4">
        <v>73</v>
      </c>
    </row>
    <row r="304" spans="1:23" ht="11.25" customHeight="1" x14ac:dyDescent="0.25">
      <c r="A304" s="4" t="s">
        <v>21</v>
      </c>
      <c r="B304" s="4" t="s">
        <v>22</v>
      </c>
      <c r="C304" s="4" t="s">
        <v>23</v>
      </c>
      <c r="D304" s="4" t="s">
        <v>24</v>
      </c>
      <c r="E304" s="4" t="s">
        <v>24</v>
      </c>
      <c r="F304" s="4" t="s">
        <v>25</v>
      </c>
      <c r="G304" s="4" t="s">
        <v>25</v>
      </c>
      <c r="H304" s="4" t="s">
        <v>25</v>
      </c>
      <c r="I304" s="5">
        <v>44652</v>
      </c>
      <c r="J304" s="6">
        <v>0</v>
      </c>
      <c r="K304" s="6">
        <v>0</v>
      </c>
      <c r="L304" s="6">
        <v>1039.5609999999999</v>
      </c>
      <c r="M304" s="6">
        <v>1039.5609999999999</v>
      </c>
      <c r="N304" s="6">
        <v>1039.5609999999999</v>
      </c>
      <c r="O304" s="6">
        <v>1039.5609999999999</v>
      </c>
      <c r="P304" s="6">
        <v>7752</v>
      </c>
      <c r="Q304" s="4" t="s">
        <v>26</v>
      </c>
      <c r="R304" s="4">
        <v>0</v>
      </c>
      <c r="S304" s="4" t="s">
        <v>147</v>
      </c>
      <c r="T304" s="4" t="s">
        <v>272</v>
      </c>
      <c r="U304" s="4">
        <v>0</v>
      </c>
      <c r="V304" s="4">
        <v>4</v>
      </c>
      <c r="W304" s="4">
        <v>73</v>
      </c>
    </row>
    <row r="305" spans="1:23" ht="11.25" customHeight="1" x14ac:dyDescent="0.25">
      <c r="A305" s="4" t="s">
        <v>27</v>
      </c>
      <c r="B305" s="4" t="s">
        <v>22</v>
      </c>
      <c r="C305" s="4" t="s">
        <v>23</v>
      </c>
      <c r="D305" s="4" t="s">
        <v>24</v>
      </c>
      <c r="E305" s="4" t="s">
        <v>24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-3.226</v>
      </c>
      <c r="M305" s="6">
        <v>-3.226</v>
      </c>
      <c r="N305" s="6">
        <v>-3.226</v>
      </c>
      <c r="O305" s="6">
        <v>-3.226</v>
      </c>
      <c r="P305" s="6">
        <v>0</v>
      </c>
      <c r="Q305" s="4" t="s">
        <v>26</v>
      </c>
      <c r="R305" s="4">
        <v>0</v>
      </c>
      <c r="S305" s="4" t="s">
        <v>147</v>
      </c>
      <c r="T305" s="4" t="s">
        <v>272</v>
      </c>
      <c r="U305" s="4">
        <v>0</v>
      </c>
      <c r="V305" s="4">
        <v>4</v>
      </c>
      <c r="W305" s="4">
        <v>73</v>
      </c>
    </row>
    <row r="306" spans="1:23" ht="11.25" customHeight="1" x14ac:dyDescent="0.25">
      <c r="A306" s="4" t="s">
        <v>28</v>
      </c>
      <c r="B306" s="4" t="s">
        <v>22</v>
      </c>
      <c r="C306" s="4" t="s">
        <v>23</v>
      </c>
      <c r="D306" s="4" t="s">
        <v>24</v>
      </c>
      <c r="E306" s="4" t="s">
        <v>24</v>
      </c>
      <c r="F306" s="4" t="s">
        <v>25</v>
      </c>
      <c r="G306" s="4" t="s">
        <v>25</v>
      </c>
      <c r="H306" s="4" t="s">
        <v>25</v>
      </c>
      <c r="I306" s="5">
        <v>44652</v>
      </c>
      <c r="J306" s="6">
        <v>0</v>
      </c>
      <c r="K306" s="6">
        <v>0</v>
      </c>
      <c r="L306" s="6">
        <v>31.696000000000002</v>
      </c>
      <c r="M306" s="6">
        <v>31.696000000000002</v>
      </c>
      <c r="N306" s="6">
        <v>31.696000000000002</v>
      </c>
      <c r="O306" s="6">
        <v>31.696000000000002</v>
      </c>
      <c r="P306" s="6">
        <v>526</v>
      </c>
      <c r="Q306" s="4" t="s">
        <v>26</v>
      </c>
      <c r="R306" s="4">
        <v>0</v>
      </c>
      <c r="S306" s="4" t="s">
        <v>147</v>
      </c>
      <c r="T306" s="4" t="s">
        <v>272</v>
      </c>
      <c r="U306" s="4">
        <v>0</v>
      </c>
      <c r="V306" s="4">
        <v>4</v>
      </c>
      <c r="W306" s="4">
        <v>73</v>
      </c>
    </row>
    <row r="307" spans="1:2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24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979.10699999999997</v>
      </c>
      <c r="M307" s="6">
        <v>979.10699999999997</v>
      </c>
      <c r="N307" s="6">
        <v>979.10699999999997</v>
      </c>
      <c r="O307" s="6">
        <v>979.10699999999997</v>
      </c>
      <c r="P307" s="6">
        <v>7771</v>
      </c>
      <c r="Q307" s="4" t="s">
        <v>26</v>
      </c>
      <c r="R307" s="4">
        <v>0</v>
      </c>
      <c r="S307" s="4" t="s">
        <v>148</v>
      </c>
      <c r="T307" s="4" t="s">
        <v>273</v>
      </c>
      <c r="U307" s="4">
        <v>0</v>
      </c>
      <c r="V307" s="4">
        <v>4</v>
      </c>
      <c r="W307" s="4">
        <v>73</v>
      </c>
    </row>
    <row r="308" spans="1:23" ht="11.25" customHeight="1" x14ac:dyDescent="0.25">
      <c r="A308" s="4" t="s">
        <v>27</v>
      </c>
      <c r="B308" s="4" t="s">
        <v>22</v>
      </c>
      <c r="C308" s="4" t="s">
        <v>23</v>
      </c>
      <c r="D308" s="4" t="s">
        <v>24</v>
      </c>
      <c r="E308" s="4" t="s">
        <v>24</v>
      </c>
      <c r="F308" s="4" t="s">
        <v>25</v>
      </c>
      <c r="G308" s="4" t="s">
        <v>25</v>
      </c>
      <c r="H308" s="4" t="s">
        <v>25</v>
      </c>
      <c r="I308" s="5">
        <v>44682</v>
      </c>
      <c r="J308" s="6">
        <v>0</v>
      </c>
      <c r="K308" s="6">
        <v>0</v>
      </c>
      <c r="L308" s="6">
        <v>-0.2</v>
      </c>
      <c r="M308" s="6">
        <v>-0.2</v>
      </c>
      <c r="N308" s="6">
        <v>-0.2</v>
      </c>
      <c r="O308" s="6">
        <v>-0.2</v>
      </c>
      <c r="P308" s="6">
        <v>0</v>
      </c>
      <c r="Q308" s="4" t="s">
        <v>26</v>
      </c>
      <c r="R308" s="4">
        <v>0</v>
      </c>
      <c r="S308" s="4" t="s">
        <v>148</v>
      </c>
      <c r="T308" s="4" t="s">
        <v>273</v>
      </c>
      <c r="U308" s="4">
        <v>0</v>
      </c>
      <c r="V308" s="4">
        <v>4</v>
      </c>
      <c r="W308" s="4">
        <v>73</v>
      </c>
    </row>
    <row r="309" spans="1:23" ht="11.25" customHeight="1" x14ac:dyDescent="0.25">
      <c r="A309" s="4" t="s">
        <v>28</v>
      </c>
      <c r="B309" s="4" t="s">
        <v>22</v>
      </c>
      <c r="C309" s="4" t="s">
        <v>23</v>
      </c>
      <c r="D309" s="4" t="s">
        <v>24</v>
      </c>
      <c r="E309" s="4" t="s">
        <v>24</v>
      </c>
      <c r="F309" s="4" t="s">
        <v>25</v>
      </c>
      <c r="G309" s="4" t="s">
        <v>25</v>
      </c>
      <c r="H309" s="4" t="s">
        <v>25</v>
      </c>
      <c r="I309" s="5">
        <v>44682</v>
      </c>
      <c r="J309" s="6">
        <v>0</v>
      </c>
      <c r="K309" s="6">
        <v>0</v>
      </c>
      <c r="L309" s="6">
        <v>38.625999999999998</v>
      </c>
      <c r="M309" s="6">
        <v>38.625999999999998</v>
      </c>
      <c r="N309" s="6">
        <v>38.625999999999998</v>
      </c>
      <c r="O309" s="6">
        <v>38.625999999999998</v>
      </c>
      <c r="P309" s="6">
        <v>517</v>
      </c>
      <c r="Q309" s="4" t="s">
        <v>26</v>
      </c>
      <c r="R309" s="4">
        <v>0</v>
      </c>
      <c r="S309" s="4" t="s">
        <v>148</v>
      </c>
      <c r="T309" s="4" t="s">
        <v>273</v>
      </c>
      <c r="U309" s="4">
        <v>0</v>
      </c>
      <c r="V309" s="4">
        <v>4</v>
      </c>
      <c r="W309" s="4">
        <v>73</v>
      </c>
    </row>
    <row r="310" spans="1:23" ht="11.25" customHeight="1" x14ac:dyDescent="0.25">
      <c r="A310" s="4" t="s">
        <v>21</v>
      </c>
      <c r="B310" s="4" t="s">
        <v>22</v>
      </c>
      <c r="C310" s="4" t="s">
        <v>23</v>
      </c>
      <c r="D310" s="4" t="s">
        <v>24</v>
      </c>
      <c r="E310" s="4" t="s">
        <v>24</v>
      </c>
      <c r="F310" s="4" t="s">
        <v>25</v>
      </c>
      <c r="G310" s="4" t="s">
        <v>25</v>
      </c>
      <c r="H310" s="4" t="s">
        <v>25</v>
      </c>
      <c r="I310" s="5">
        <v>44713</v>
      </c>
      <c r="J310" s="6">
        <v>0</v>
      </c>
      <c r="K310" s="6">
        <v>0</v>
      </c>
      <c r="L310" s="6">
        <v>943.17600000000004</v>
      </c>
      <c r="M310" s="6">
        <v>943.17600000000004</v>
      </c>
      <c r="N310" s="6">
        <v>943.17600000000004</v>
      </c>
      <c r="O310" s="6">
        <v>943.17600000000004</v>
      </c>
      <c r="P310" s="6">
        <v>7704</v>
      </c>
      <c r="Q310" s="4" t="s">
        <v>26</v>
      </c>
      <c r="R310" s="4">
        <v>0</v>
      </c>
      <c r="S310" s="4" t="s">
        <v>149</v>
      </c>
      <c r="T310" s="4" t="s">
        <v>274</v>
      </c>
      <c r="U310" s="4">
        <v>0</v>
      </c>
      <c r="V310" s="4">
        <v>4</v>
      </c>
      <c r="W310" s="4">
        <v>73</v>
      </c>
    </row>
    <row r="311" spans="1:23" ht="11.25" customHeight="1" x14ac:dyDescent="0.25">
      <c r="A311" s="4" t="s">
        <v>28</v>
      </c>
      <c r="B311" s="4" t="s">
        <v>22</v>
      </c>
      <c r="C311" s="4" t="s">
        <v>23</v>
      </c>
      <c r="D311" s="4" t="s">
        <v>24</v>
      </c>
      <c r="E311" s="4" t="s">
        <v>24</v>
      </c>
      <c r="F311" s="4" t="s">
        <v>25</v>
      </c>
      <c r="G311" s="4" t="s">
        <v>25</v>
      </c>
      <c r="H311" s="4" t="s">
        <v>25</v>
      </c>
      <c r="I311" s="5">
        <v>44713</v>
      </c>
      <c r="J311" s="6">
        <v>0</v>
      </c>
      <c r="K311" s="6">
        <v>0</v>
      </c>
      <c r="L311" s="6">
        <v>54.265999999999998</v>
      </c>
      <c r="M311" s="6">
        <v>54.265999999999998</v>
      </c>
      <c r="N311" s="6">
        <v>54.265999999999998</v>
      </c>
      <c r="O311" s="6">
        <v>54.265999999999998</v>
      </c>
      <c r="P311" s="6">
        <v>532</v>
      </c>
      <c r="Q311" s="4" t="s">
        <v>26</v>
      </c>
      <c r="R311" s="4">
        <v>0</v>
      </c>
      <c r="S311" s="4" t="s">
        <v>149</v>
      </c>
      <c r="T311" s="4" t="s">
        <v>274</v>
      </c>
      <c r="U311" s="4">
        <v>0</v>
      </c>
      <c r="V311" s="4">
        <v>4</v>
      </c>
      <c r="W311" s="4">
        <v>73</v>
      </c>
    </row>
    <row r="312" spans="1:23" ht="11.25" customHeight="1" x14ac:dyDescent="0.25">
      <c r="A312" s="4" t="s">
        <v>28</v>
      </c>
      <c r="B312" s="4" t="s">
        <v>22</v>
      </c>
      <c r="C312" s="4" t="s">
        <v>23</v>
      </c>
      <c r="D312" s="4" t="s">
        <v>24</v>
      </c>
      <c r="E312" s="4" t="s">
        <v>24</v>
      </c>
      <c r="F312" s="4" t="s">
        <v>25</v>
      </c>
      <c r="G312" s="4" t="s">
        <v>25</v>
      </c>
      <c r="H312" s="4" t="s">
        <v>25</v>
      </c>
      <c r="I312" s="5">
        <v>44713</v>
      </c>
      <c r="J312" s="6">
        <v>0</v>
      </c>
      <c r="K312" s="6">
        <v>0</v>
      </c>
      <c r="L312" s="6">
        <v>-0.34799999999999998</v>
      </c>
      <c r="M312" s="6">
        <v>-0.34799999999999998</v>
      </c>
      <c r="N312" s="6">
        <v>-0.34799999999999998</v>
      </c>
      <c r="O312" s="6">
        <v>-0.34799999999999998</v>
      </c>
      <c r="P312" s="6">
        <v>2</v>
      </c>
      <c r="Q312" s="4" t="s">
        <v>26</v>
      </c>
      <c r="R312" s="4">
        <v>0</v>
      </c>
      <c r="S312" s="4" t="s">
        <v>149</v>
      </c>
      <c r="T312" s="4" t="s">
        <v>274</v>
      </c>
      <c r="U312" s="4">
        <v>0</v>
      </c>
      <c r="V312" s="4">
        <v>4</v>
      </c>
      <c r="W312" s="4">
        <v>73</v>
      </c>
    </row>
    <row r="313" spans="1:23" ht="11.25" customHeight="1" x14ac:dyDescent="0.25">
      <c r="A313" s="4" t="s">
        <v>21</v>
      </c>
      <c r="B313" s="4" t="s">
        <v>22</v>
      </c>
      <c r="C313" s="4" t="s">
        <v>23</v>
      </c>
      <c r="D313" s="4" t="s">
        <v>24</v>
      </c>
      <c r="E313" s="4" t="s">
        <v>29</v>
      </c>
      <c r="F313" s="4" t="s">
        <v>25</v>
      </c>
      <c r="G313" s="4" t="s">
        <v>25</v>
      </c>
      <c r="H313" s="4" t="s">
        <v>25</v>
      </c>
      <c r="I313" s="5">
        <v>44378</v>
      </c>
      <c r="J313" s="6">
        <v>0</v>
      </c>
      <c r="K313" s="6">
        <v>0</v>
      </c>
      <c r="L313" s="6">
        <v>8.0399999999999991</v>
      </c>
      <c r="M313" s="6">
        <v>8.0399999999999991</v>
      </c>
      <c r="N313" s="6">
        <v>8.0399999999999991</v>
      </c>
      <c r="O313" s="6">
        <v>8.0399999999999991</v>
      </c>
      <c r="P313" s="6">
        <v>28</v>
      </c>
      <c r="Q313" s="4" t="s">
        <v>26</v>
      </c>
      <c r="R313" s="4">
        <v>0</v>
      </c>
      <c r="S313" s="4" t="s">
        <v>150</v>
      </c>
      <c r="T313" s="4" t="s">
        <v>275</v>
      </c>
      <c r="U313" s="4">
        <v>0</v>
      </c>
      <c r="V313" s="4">
        <v>12</v>
      </c>
      <c r="W313" s="4">
        <v>77</v>
      </c>
    </row>
    <row r="314" spans="1:23" ht="11.25" customHeight="1" x14ac:dyDescent="0.25">
      <c r="A314" s="4" t="s">
        <v>28</v>
      </c>
      <c r="B314" s="4" t="s">
        <v>22</v>
      </c>
      <c r="C314" s="4" t="s">
        <v>23</v>
      </c>
      <c r="D314" s="4" t="s">
        <v>24</v>
      </c>
      <c r="E314" s="4" t="s">
        <v>29</v>
      </c>
      <c r="F314" s="4" t="s">
        <v>25</v>
      </c>
      <c r="G314" s="4" t="s">
        <v>25</v>
      </c>
      <c r="H314" s="4" t="s">
        <v>25</v>
      </c>
      <c r="I314" s="5">
        <v>44378</v>
      </c>
      <c r="J314" s="6">
        <v>0</v>
      </c>
      <c r="K314" s="6">
        <v>0</v>
      </c>
      <c r="L314" s="6">
        <v>0.09</v>
      </c>
      <c r="M314" s="6">
        <v>-8.5500000000000007E-2</v>
      </c>
      <c r="N314" s="6">
        <v>0.09</v>
      </c>
      <c r="O314" s="6">
        <v>-8.5500000000000007E-2</v>
      </c>
      <c r="P314" s="6">
        <v>0</v>
      </c>
      <c r="Q314" s="4" t="s">
        <v>26</v>
      </c>
      <c r="R314" s="4">
        <v>0</v>
      </c>
      <c r="S314" s="4" t="s">
        <v>150</v>
      </c>
      <c r="T314" s="4" t="s">
        <v>275</v>
      </c>
      <c r="U314" s="4">
        <v>0</v>
      </c>
      <c r="V314" s="4">
        <v>12</v>
      </c>
      <c r="W314" s="4">
        <v>77</v>
      </c>
    </row>
    <row r="315" spans="1:23" ht="11.25" customHeight="1" x14ac:dyDescent="0.25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29</v>
      </c>
      <c r="F315" s="4" t="s">
        <v>25</v>
      </c>
      <c r="G315" s="4" t="s">
        <v>25</v>
      </c>
      <c r="H315" s="4" t="s">
        <v>25</v>
      </c>
      <c r="I315" s="5">
        <v>44409</v>
      </c>
      <c r="J315" s="6">
        <v>0</v>
      </c>
      <c r="K315" s="6">
        <v>0</v>
      </c>
      <c r="L315" s="6">
        <v>8.52</v>
      </c>
      <c r="M315" s="6">
        <v>8.52</v>
      </c>
      <c r="N315" s="6">
        <v>8.52</v>
      </c>
      <c r="O315" s="6">
        <v>8.52</v>
      </c>
      <c r="P315" s="6">
        <v>25</v>
      </c>
      <c r="Q315" s="4" t="s">
        <v>26</v>
      </c>
      <c r="R315" s="4">
        <v>0</v>
      </c>
      <c r="S315" s="4" t="s">
        <v>151</v>
      </c>
      <c r="T315" s="4" t="s">
        <v>276</v>
      </c>
      <c r="U315" s="4">
        <v>0</v>
      </c>
      <c r="V315" s="4">
        <v>12</v>
      </c>
      <c r="W315" s="4">
        <v>77</v>
      </c>
    </row>
    <row r="316" spans="1:23" ht="11.25" customHeight="1" x14ac:dyDescent="0.25">
      <c r="A316" s="4" t="s">
        <v>28</v>
      </c>
      <c r="B316" s="4" t="s">
        <v>22</v>
      </c>
      <c r="C316" s="4" t="s">
        <v>23</v>
      </c>
      <c r="D316" s="4" t="s">
        <v>24</v>
      </c>
      <c r="E316" s="4" t="s">
        <v>29</v>
      </c>
      <c r="F316" s="4" t="s">
        <v>25</v>
      </c>
      <c r="G316" s="4" t="s">
        <v>25</v>
      </c>
      <c r="H316" s="4" t="s">
        <v>25</v>
      </c>
      <c r="I316" s="5">
        <v>44409</v>
      </c>
      <c r="J316" s="6">
        <v>0</v>
      </c>
      <c r="K316" s="6">
        <v>0</v>
      </c>
      <c r="L316" s="6">
        <v>7.5999999999999998E-2</v>
      </c>
      <c r="M316" s="6">
        <v>-7.22E-2</v>
      </c>
      <c r="N316" s="6">
        <v>7.5999999999999998E-2</v>
      </c>
      <c r="O316" s="6">
        <v>-7.22E-2</v>
      </c>
      <c r="P316" s="6">
        <v>0</v>
      </c>
      <c r="Q316" s="4" t="s">
        <v>26</v>
      </c>
      <c r="R316" s="4">
        <v>0</v>
      </c>
      <c r="S316" s="4" t="s">
        <v>151</v>
      </c>
      <c r="T316" s="4" t="s">
        <v>276</v>
      </c>
      <c r="U316" s="4">
        <v>0</v>
      </c>
      <c r="V316" s="4">
        <v>12</v>
      </c>
      <c r="W316" s="4">
        <v>77</v>
      </c>
    </row>
    <row r="317" spans="1:23" ht="11.25" customHeight="1" x14ac:dyDescent="0.25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29</v>
      </c>
      <c r="F317" s="4" t="s">
        <v>25</v>
      </c>
      <c r="G317" s="4" t="s">
        <v>25</v>
      </c>
      <c r="H317" s="4" t="s">
        <v>25</v>
      </c>
      <c r="I317" s="5">
        <v>44440</v>
      </c>
      <c r="J317" s="6">
        <v>0</v>
      </c>
      <c r="K317" s="6">
        <v>0</v>
      </c>
      <c r="L317" s="6">
        <v>8.5039999999999996</v>
      </c>
      <c r="M317" s="6">
        <v>8.5039999999999996</v>
      </c>
      <c r="N317" s="6">
        <v>8.5039999999999996</v>
      </c>
      <c r="O317" s="6">
        <v>8.5039999999999996</v>
      </c>
      <c r="P317" s="6">
        <v>24</v>
      </c>
      <c r="Q317" s="4" t="s">
        <v>26</v>
      </c>
      <c r="R317" s="4">
        <v>0</v>
      </c>
      <c r="S317" s="4" t="s">
        <v>152</v>
      </c>
      <c r="T317" s="4" t="s">
        <v>277</v>
      </c>
      <c r="U317" s="4">
        <v>0</v>
      </c>
      <c r="V317" s="4">
        <v>12</v>
      </c>
      <c r="W317" s="4">
        <v>77</v>
      </c>
    </row>
    <row r="318" spans="1:23" ht="11.25" customHeight="1" x14ac:dyDescent="0.25">
      <c r="A318" s="4" t="s">
        <v>28</v>
      </c>
      <c r="B318" s="4" t="s">
        <v>22</v>
      </c>
      <c r="C318" s="4" t="s">
        <v>23</v>
      </c>
      <c r="D318" s="4" t="s">
        <v>24</v>
      </c>
      <c r="E318" s="4" t="s">
        <v>29</v>
      </c>
      <c r="F318" s="4" t="s">
        <v>25</v>
      </c>
      <c r="G318" s="4" t="s">
        <v>25</v>
      </c>
      <c r="H318" s="4" t="s">
        <v>25</v>
      </c>
      <c r="I318" s="5">
        <v>44440</v>
      </c>
      <c r="J318" s="6">
        <v>0</v>
      </c>
      <c r="K318" s="6">
        <v>0</v>
      </c>
      <c r="L318" s="6">
        <v>6.2E-2</v>
      </c>
      <c r="M318" s="6">
        <v>-9.9199999999999997E-2</v>
      </c>
      <c r="N318" s="6">
        <v>6.2E-2</v>
      </c>
      <c r="O318" s="6">
        <v>-9.9199999999999997E-2</v>
      </c>
      <c r="P318" s="6">
        <v>0</v>
      </c>
      <c r="Q318" s="4" t="s">
        <v>26</v>
      </c>
      <c r="R318" s="4">
        <v>0</v>
      </c>
      <c r="S318" s="4" t="s">
        <v>152</v>
      </c>
      <c r="T318" s="4" t="s">
        <v>277</v>
      </c>
      <c r="U318" s="4">
        <v>0</v>
      </c>
      <c r="V318" s="4">
        <v>12</v>
      </c>
      <c r="W318" s="4">
        <v>77</v>
      </c>
    </row>
    <row r="319" spans="1:23" ht="11.25" customHeight="1" x14ac:dyDescent="0.25">
      <c r="A319" s="4" t="s">
        <v>21</v>
      </c>
      <c r="B319" s="4" t="s">
        <v>22</v>
      </c>
      <c r="C319" s="4" t="s">
        <v>23</v>
      </c>
      <c r="D319" s="4" t="s">
        <v>24</v>
      </c>
      <c r="E319" s="4" t="s">
        <v>29</v>
      </c>
      <c r="F319" s="4" t="s">
        <v>25</v>
      </c>
      <c r="G319" s="4" t="s">
        <v>25</v>
      </c>
      <c r="H319" s="4" t="s">
        <v>25</v>
      </c>
      <c r="I319" s="5">
        <v>44470</v>
      </c>
      <c r="J319" s="6">
        <v>0</v>
      </c>
      <c r="K319" s="6">
        <v>0</v>
      </c>
      <c r="L319" s="6">
        <v>8.67</v>
      </c>
      <c r="M319" s="6">
        <v>8.67</v>
      </c>
      <c r="N319" s="6">
        <v>8.67</v>
      </c>
      <c r="O319" s="6">
        <v>8.67</v>
      </c>
      <c r="P319" s="6">
        <v>21</v>
      </c>
      <c r="Q319" s="4" t="s">
        <v>26</v>
      </c>
      <c r="R319" s="4">
        <v>0</v>
      </c>
      <c r="S319" s="4" t="s">
        <v>153</v>
      </c>
      <c r="T319" s="4" t="s">
        <v>278</v>
      </c>
      <c r="U319" s="4">
        <v>0</v>
      </c>
      <c r="V319" s="4">
        <v>12</v>
      </c>
      <c r="W319" s="4">
        <v>77</v>
      </c>
    </row>
    <row r="320" spans="1:23" ht="11.25" customHeight="1" x14ac:dyDescent="0.25">
      <c r="A320" s="4" t="s">
        <v>28</v>
      </c>
      <c r="B320" s="4" t="s">
        <v>22</v>
      </c>
      <c r="C320" s="4" t="s">
        <v>23</v>
      </c>
      <c r="D320" s="4" t="s">
        <v>24</v>
      </c>
      <c r="E320" s="4" t="s">
        <v>29</v>
      </c>
      <c r="F320" s="4" t="s">
        <v>25</v>
      </c>
      <c r="G320" s="4" t="s">
        <v>25</v>
      </c>
      <c r="H320" s="4" t="s">
        <v>25</v>
      </c>
      <c r="I320" s="5">
        <v>44470</v>
      </c>
      <c r="J320" s="6">
        <v>0</v>
      </c>
      <c r="K320" s="6">
        <v>0</v>
      </c>
      <c r="L320" s="6">
        <v>5.3999999999999999E-2</v>
      </c>
      <c r="M320" s="6">
        <v>-8.6400000000000005E-2</v>
      </c>
      <c r="N320" s="6">
        <v>5.3999999999999999E-2</v>
      </c>
      <c r="O320" s="6">
        <v>-8.6400000000000005E-2</v>
      </c>
      <c r="P320" s="6">
        <v>0</v>
      </c>
      <c r="Q320" s="4" t="s">
        <v>26</v>
      </c>
      <c r="R320" s="4">
        <v>0</v>
      </c>
      <c r="S320" s="4" t="s">
        <v>153</v>
      </c>
      <c r="T320" s="4" t="s">
        <v>278</v>
      </c>
      <c r="U320" s="4">
        <v>0</v>
      </c>
      <c r="V320" s="4">
        <v>12</v>
      </c>
      <c r="W320" s="4">
        <v>77</v>
      </c>
    </row>
    <row r="321" spans="1:23" ht="11.25" customHeight="1" x14ac:dyDescent="0.25">
      <c r="A321" s="4" t="s">
        <v>21</v>
      </c>
      <c r="B321" s="4" t="s">
        <v>22</v>
      </c>
      <c r="C321" s="4" t="s">
        <v>23</v>
      </c>
      <c r="D321" s="4" t="s">
        <v>24</v>
      </c>
      <c r="E321" s="4" t="s">
        <v>29</v>
      </c>
      <c r="F321" s="4" t="s">
        <v>25</v>
      </c>
      <c r="G321" s="4" t="s">
        <v>25</v>
      </c>
      <c r="H321" s="4" t="s">
        <v>25</v>
      </c>
      <c r="I321" s="5">
        <v>44501</v>
      </c>
      <c r="J321" s="6">
        <v>0</v>
      </c>
      <c r="K321" s="6">
        <v>0</v>
      </c>
      <c r="L321" s="6">
        <v>8.73</v>
      </c>
      <c r="M321" s="6">
        <v>8.73</v>
      </c>
      <c r="N321" s="6">
        <v>8.73</v>
      </c>
      <c r="O321" s="6">
        <v>8.73</v>
      </c>
      <c r="P321" s="6">
        <v>14</v>
      </c>
      <c r="Q321" s="4" t="s">
        <v>26</v>
      </c>
      <c r="R321" s="4">
        <v>0</v>
      </c>
      <c r="S321" s="4" t="s">
        <v>154</v>
      </c>
      <c r="T321" s="4" t="s">
        <v>279</v>
      </c>
      <c r="U321" s="4">
        <v>0</v>
      </c>
      <c r="V321" s="4">
        <v>12</v>
      </c>
      <c r="W321" s="4">
        <v>77</v>
      </c>
    </row>
    <row r="322" spans="1:23" ht="11.25" customHeight="1" x14ac:dyDescent="0.25">
      <c r="A322" s="4" t="s">
        <v>28</v>
      </c>
      <c r="B322" s="4" t="s">
        <v>22</v>
      </c>
      <c r="C322" s="4" t="s">
        <v>23</v>
      </c>
      <c r="D322" s="4" t="s">
        <v>24</v>
      </c>
      <c r="E322" s="4" t="s">
        <v>29</v>
      </c>
      <c r="F322" s="4" t="s">
        <v>25</v>
      </c>
      <c r="G322" s="4" t="s">
        <v>25</v>
      </c>
      <c r="H322" s="4" t="s">
        <v>25</v>
      </c>
      <c r="I322" s="5">
        <v>44501</v>
      </c>
      <c r="J322" s="6">
        <v>0</v>
      </c>
      <c r="K322" s="6">
        <v>0</v>
      </c>
      <c r="L322" s="6">
        <v>0.06</v>
      </c>
      <c r="M322" s="6">
        <v>-9.6000000000000002E-2</v>
      </c>
      <c r="N322" s="6">
        <v>0.06</v>
      </c>
      <c r="O322" s="6">
        <v>-9.6000000000000002E-2</v>
      </c>
      <c r="P322" s="6">
        <v>0</v>
      </c>
      <c r="Q322" s="4" t="s">
        <v>26</v>
      </c>
      <c r="R322" s="4">
        <v>0</v>
      </c>
      <c r="S322" s="4" t="s">
        <v>154</v>
      </c>
      <c r="T322" s="4" t="s">
        <v>279</v>
      </c>
      <c r="U322" s="4">
        <v>0</v>
      </c>
      <c r="V322" s="4">
        <v>12</v>
      </c>
      <c r="W322" s="4">
        <v>77</v>
      </c>
    </row>
    <row r="323" spans="1:23" ht="11.25" customHeight="1" x14ac:dyDescent="0.25">
      <c r="A323" s="4" t="s">
        <v>21</v>
      </c>
      <c r="B323" s="4" t="s">
        <v>22</v>
      </c>
      <c r="C323" s="4" t="s">
        <v>23</v>
      </c>
      <c r="D323" s="4" t="s">
        <v>24</v>
      </c>
      <c r="E323" s="4" t="s">
        <v>29</v>
      </c>
      <c r="F323" s="4" t="s">
        <v>25</v>
      </c>
      <c r="G323" s="4" t="s">
        <v>25</v>
      </c>
      <c r="H323" s="4" t="s">
        <v>25</v>
      </c>
      <c r="I323" s="5">
        <v>44531</v>
      </c>
      <c r="J323" s="6">
        <v>0</v>
      </c>
      <c r="K323" s="6">
        <v>0</v>
      </c>
      <c r="L323" s="6">
        <v>9.06</v>
      </c>
      <c r="M323" s="6">
        <v>9.06</v>
      </c>
      <c r="N323" s="6">
        <v>9.06</v>
      </c>
      <c r="O323" s="6">
        <v>9.06</v>
      </c>
      <c r="P323" s="6">
        <v>13</v>
      </c>
      <c r="Q323" s="4" t="s">
        <v>26</v>
      </c>
      <c r="R323" s="4">
        <v>0</v>
      </c>
      <c r="S323" s="4" t="s">
        <v>155</v>
      </c>
      <c r="T323" s="4" t="s">
        <v>280</v>
      </c>
      <c r="U323" s="4">
        <v>0</v>
      </c>
      <c r="V323" s="4">
        <v>12</v>
      </c>
      <c r="W323" s="4">
        <v>77</v>
      </c>
    </row>
    <row r="324" spans="1:23" ht="11.25" customHeight="1" x14ac:dyDescent="0.25">
      <c r="A324" s="4" t="s">
        <v>28</v>
      </c>
      <c r="B324" s="4" t="s">
        <v>22</v>
      </c>
      <c r="C324" s="4" t="s">
        <v>23</v>
      </c>
      <c r="D324" s="4" t="s">
        <v>24</v>
      </c>
      <c r="E324" s="4" t="s">
        <v>29</v>
      </c>
      <c r="F324" s="4" t="s">
        <v>25</v>
      </c>
      <c r="G324" s="4" t="s">
        <v>25</v>
      </c>
      <c r="H324" s="4" t="s">
        <v>25</v>
      </c>
      <c r="I324" s="5">
        <v>44531</v>
      </c>
      <c r="J324" s="6">
        <v>0</v>
      </c>
      <c r="K324" s="6">
        <v>0</v>
      </c>
      <c r="L324" s="6">
        <v>0.06</v>
      </c>
      <c r="M324" s="6">
        <v>-5.7000000000000002E-2</v>
      </c>
      <c r="N324" s="6">
        <v>0.06</v>
      </c>
      <c r="O324" s="6">
        <v>-5.7000000000000002E-2</v>
      </c>
      <c r="P324" s="6">
        <v>0</v>
      </c>
      <c r="Q324" s="4" t="s">
        <v>26</v>
      </c>
      <c r="R324" s="4">
        <v>0</v>
      </c>
      <c r="S324" s="4" t="s">
        <v>155</v>
      </c>
      <c r="T324" s="4" t="s">
        <v>280</v>
      </c>
      <c r="U324" s="4">
        <v>0</v>
      </c>
      <c r="V324" s="4">
        <v>12</v>
      </c>
      <c r="W324" s="4">
        <v>77</v>
      </c>
    </row>
    <row r="325" spans="1:23" ht="11.25" customHeight="1" x14ac:dyDescent="0.25">
      <c r="A325" s="4" t="s">
        <v>21</v>
      </c>
      <c r="B325" s="4" t="s">
        <v>22</v>
      </c>
      <c r="C325" s="4" t="s">
        <v>23</v>
      </c>
      <c r="D325" s="4" t="s">
        <v>24</v>
      </c>
      <c r="E325" s="4" t="s">
        <v>29</v>
      </c>
      <c r="F325" s="4" t="s">
        <v>25</v>
      </c>
      <c r="G325" s="4" t="s">
        <v>25</v>
      </c>
      <c r="H325" s="4" t="s">
        <v>25</v>
      </c>
      <c r="I325" s="5">
        <v>44562</v>
      </c>
      <c r="J325" s="6">
        <v>0</v>
      </c>
      <c r="K325" s="6">
        <v>0</v>
      </c>
      <c r="L325" s="6">
        <v>9.2100000000000009</v>
      </c>
      <c r="M325" s="6">
        <v>9.2100000000000009</v>
      </c>
      <c r="N325" s="6">
        <v>9.2100000000000009</v>
      </c>
      <c r="O325" s="6">
        <v>9.2100000000000009</v>
      </c>
      <c r="P325" s="6">
        <v>14</v>
      </c>
      <c r="Q325" s="4" t="s">
        <v>26</v>
      </c>
      <c r="R325" s="4">
        <v>0</v>
      </c>
      <c r="S325" s="4" t="s">
        <v>156</v>
      </c>
      <c r="T325" s="4" t="s">
        <v>281</v>
      </c>
      <c r="U325" s="4">
        <v>0</v>
      </c>
      <c r="V325" s="4">
        <v>12</v>
      </c>
      <c r="W325" s="4">
        <v>77</v>
      </c>
    </row>
    <row r="326" spans="1:23" ht="11.25" customHeight="1" x14ac:dyDescent="0.25">
      <c r="A326" s="4" t="s">
        <v>28</v>
      </c>
      <c r="B326" s="4" t="s">
        <v>22</v>
      </c>
      <c r="C326" s="4" t="s">
        <v>23</v>
      </c>
      <c r="D326" s="4" t="s">
        <v>24</v>
      </c>
      <c r="E326" s="4" t="s">
        <v>29</v>
      </c>
      <c r="F326" s="4" t="s">
        <v>25</v>
      </c>
      <c r="G326" s="4" t="s">
        <v>25</v>
      </c>
      <c r="H326" s="4" t="s">
        <v>25</v>
      </c>
      <c r="I326" s="5">
        <v>44562</v>
      </c>
      <c r="J326" s="6">
        <v>0</v>
      </c>
      <c r="K326" s="6">
        <v>0</v>
      </c>
      <c r="L326" s="6">
        <v>0.06</v>
      </c>
      <c r="M326" s="6">
        <v>-5.7000000000000002E-2</v>
      </c>
      <c r="N326" s="6">
        <v>0.06</v>
      </c>
      <c r="O326" s="6">
        <v>-5.7000000000000002E-2</v>
      </c>
      <c r="P326" s="6">
        <v>0</v>
      </c>
      <c r="Q326" s="4" t="s">
        <v>26</v>
      </c>
      <c r="R326" s="4">
        <v>0</v>
      </c>
      <c r="S326" s="4" t="s">
        <v>156</v>
      </c>
      <c r="T326" s="4" t="s">
        <v>281</v>
      </c>
      <c r="U326" s="4">
        <v>0</v>
      </c>
      <c r="V326" s="4">
        <v>12</v>
      </c>
      <c r="W326" s="4">
        <v>77</v>
      </c>
    </row>
    <row r="327" spans="1:23" ht="11.25" customHeight="1" x14ac:dyDescent="0.25">
      <c r="A327" s="4" t="s">
        <v>21</v>
      </c>
      <c r="B327" s="4" t="s">
        <v>22</v>
      </c>
      <c r="C327" s="4" t="s">
        <v>23</v>
      </c>
      <c r="D327" s="4" t="s">
        <v>24</v>
      </c>
      <c r="E327" s="4" t="s">
        <v>29</v>
      </c>
      <c r="F327" s="4" t="s">
        <v>25</v>
      </c>
      <c r="G327" s="4" t="s">
        <v>25</v>
      </c>
      <c r="H327" s="4" t="s">
        <v>25</v>
      </c>
      <c r="I327" s="5">
        <v>44593</v>
      </c>
      <c r="J327" s="6">
        <v>0</v>
      </c>
      <c r="K327" s="6">
        <v>0</v>
      </c>
      <c r="L327" s="6">
        <v>9.33</v>
      </c>
      <c r="M327" s="6">
        <v>9.33</v>
      </c>
      <c r="N327" s="6">
        <v>9.33</v>
      </c>
      <c r="O327" s="6">
        <v>9.33</v>
      </c>
      <c r="P327" s="6">
        <v>8</v>
      </c>
      <c r="Q327" s="4" t="s">
        <v>26</v>
      </c>
      <c r="R327" s="4">
        <v>0</v>
      </c>
      <c r="S327" s="4" t="s">
        <v>157</v>
      </c>
      <c r="T327" s="4" t="s">
        <v>282</v>
      </c>
      <c r="U327" s="4">
        <v>0</v>
      </c>
      <c r="V327" s="4">
        <v>12</v>
      </c>
      <c r="W327" s="4">
        <v>77</v>
      </c>
    </row>
    <row r="328" spans="1:23" ht="11.25" customHeight="1" x14ac:dyDescent="0.25">
      <c r="A328" s="4" t="s">
        <v>28</v>
      </c>
      <c r="B328" s="4" t="s">
        <v>22</v>
      </c>
      <c r="C328" s="4" t="s">
        <v>23</v>
      </c>
      <c r="D328" s="4" t="s">
        <v>24</v>
      </c>
      <c r="E328" s="4" t="s">
        <v>29</v>
      </c>
      <c r="F328" s="4" t="s">
        <v>25</v>
      </c>
      <c r="G328" s="4" t="s">
        <v>25</v>
      </c>
      <c r="H328" s="4" t="s">
        <v>25</v>
      </c>
      <c r="I328" s="5">
        <v>44593</v>
      </c>
      <c r="J328" s="6">
        <v>0</v>
      </c>
      <c r="K328" s="6">
        <v>0</v>
      </c>
      <c r="L328" s="6">
        <v>0.09</v>
      </c>
      <c r="M328" s="6">
        <v>-8.5500000000000007E-2</v>
      </c>
      <c r="N328" s="6">
        <v>0.09</v>
      </c>
      <c r="O328" s="6">
        <v>-8.5500000000000007E-2</v>
      </c>
      <c r="P328" s="6">
        <v>0</v>
      </c>
      <c r="Q328" s="4" t="s">
        <v>26</v>
      </c>
      <c r="R328" s="4">
        <v>0</v>
      </c>
      <c r="S328" s="4" t="s">
        <v>157</v>
      </c>
      <c r="T328" s="4" t="s">
        <v>282</v>
      </c>
      <c r="U328" s="4">
        <v>0</v>
      </c>
      <c r="V328" s="4">
        <v>12</v>
      </c>
      <c r="W328" s="4">
        <v>77</v>
      </c>
    </row>
    <row r="329" spans="1:23" ht="11.25" customHeight="1" x14ac:dyDescent="0.25">
      <c r="A329" s="4" t="s">
        <v>21</v>
      </c>
      <c r="B329" s="4" t="s">
        <v>22</v>
      </c>
      <c r="C329" s="4" t="s">
        <v>23</v>
      </c>
      <c r="D329" s="4" t="s">
        <v>24</v>
      </c>
      <c r="E329" s="4" t="s">
        <v>29</v>
      </c>
      <c r="F329" s="4" t="s">
        <v>25</v>
      </c>
      <c r="G329" s="4" t="s">
        <v>25</v>
      </c>
      <c r="H329" s="4" t="s">
        <v>25</v>
      </c>
      <c r="I329" s="5">
        <v>44621</v>
      </c>
      <c r="J329" s="6">
        <v>0</v>
      </c>
      <c r="K329" s="6">
        <v>0</v>
      </c>
      <c r="L329" s="6">
        <v>9.6300000000000008</v>
      </c>
      <c r="M329" s="6">
        <v>9.6300000000000008</v>
      </c>
      <c r="N329" s="6">
        <v>9.6300000000000008</v>
      </c>
      <c r="O329" s="6">
        <v>9.6300000000000008</v>
      </c>
      <c r="P329" s="6">
        <v>14</v>
      </c>
      <c r="Q329" s="4" t="s">
        <v>26</v>
      </c>
      <c r="R329" s="4">
        <v>0</v>
      </c>
      <c r="S329" s="4" t="s">
        <v>158</v>
      </c>
      <c r="T329" s="4" t="s">
        <v>283</v>
      </c>
      <c r="U329" s="4">
        <v>0</v>
      </c>
      <c r="V329" s="4">
        <v>12</v>
      </c>
      <c r="W329" s="4">
        <v>77</v>
      </c>
    </row>
    <row r="330" spans="1:23" ht="11.25" customHeight="1" x14ac:dyDescent="0.25">
      <c r="A330" s="4" t="s">
        <v>28</v>
      </c>
      <c r="B330" s="4" t="s">
        <v>22</v>
      </c>
      <c r="C330" s="4" t="s">
        <v>23</v>
      </c>
      <c r="D330" s="4" t="s">
        <v>24</v>
      </c>
      <c r="E330" s="4" t="s">
        <v>29</v>
      </c>
      <c r="F330" s="4" t="s">
        <v>25</v>
      </c>
      <c r="G330" s="4" t="s">
        <v>25</v>
      </c>
      <c r="H330" s="4" t="s">
        <v>25</v>
      </c>
      <c r="I330" s="5">
        <v>44621</v>
      </c>
      <c r="J330" s="6">
        <v>0</v>
      </c>
      <c r="K330" s="6">
        <v>0</v>
      </c>
      <c r="L330" s="6">
        <v>0.09</v>
      </c>
      <c r="M330" s="6">
        <v>-0.14399999999999999</v>
      </c>
      <c r="N330" s="6">
        <v>0.09</v>
      </c>
      <c r="O330" s="6">
        <v>-0.14399999999999999</v>
      </c>
      <c r="P330" s="6">
        <v>0</v>
      </c>
      <c r="Q330" s="4" t="s">
        <v>26</v>
      </c>
      <c r="R330" s="4">
        <v>0</v>
      </c>
      <c r="S330" s="4" t="s">
        <v>158</v>
      </c>
      <c r="T330" s="4" t="s">
        <v>283</v>
      </c>
      <c r="U330" s="4">
        <v>0</v>
      </c>
      <c r="V330" s="4">
        <v>12</v>
      </c>
      <c r="W330" s="4">
        <v>77</v>
      </c>
    </row>
    <row r="331" spans="1:23" ht="11.25" customHeight="1" x14ac:dyDescent="0.25">
      <c r="A331" s="4" t="s">
        <v>21</v>
      </c>
      <c r="B331" s="4" t="s">
        <v>22</v>
      </c>
      <c r="C331" s="4" t="s">
        <v>23</v>
      </c>
      <c r="D331" s="4" t="s">
        <v>24</v>
      </c>
      <c r="E331" s="4" t="s">
        <v>29</v>
      </c>
      <c r="F331" s="4" t="s">
        <v>25</v>
      </c>
      <c r="G331" s="4" t="s">
        <v>25</v>
      </c>
      <c r="H331" s="4" t="s">
        <v>25</v>
      </c>
      <c r="I331" s="5">
        <v>44652</v>
      </c>
      <c r="J331" s="6">
        <v>0</v>
      </c>
      <c r="K331" s="6">
        <v>0</v>
      </c>
      <c r="L331" s="6">
        <v>22.948</v>
      </c>
      <c r="M331" s="6">
        <v>22.948</v>
      </c>
      <c r="N331" s="6">
        <v>22.948</v>
      </c>
      <c r="O331" s="6">
        <v>22.948</v>
      </c>
      <c r="P331" s="6">
        <v>68</v>
      </c>
      <c r="Q331" s="4" t="s">
        <v>26</v>
      </c>
      <c r="R331" s="4">
        <v>0</v>
      </c>
      <c r="S331" s="4" t="s">
        <v>159</v>
      </c>
      <c r="T331" s="4" t="s">
        <v>284</v>
      </c>
      <c r="U331" s="4">
        <v>0</v>
      </c>
      <c r="V331" s="4">
        <v>12</v>
      </c>
      <c r="W331" s="4">
        <v>77</v>
      </c>
    </row>
    <row r="332" spans="1:23" ht="11.25" customHeight="1" x14ac:dyDescent="0.25">
      <c r="A332" s="4" t="s">
        <v>28</v>
      </c>
      <c r="B332" s="4" t="s">
        <v>22</v>
      </c>
      <c r="C332" s="4" t="s">
        <v>23</v>
      </c>
      <c r="D332" s="4" t="s">
        <v>24</v>
      </c>
      <c r="E332" s="4" t="s">
        <v>29</v>
      </c>
      <c r="F332" s="4" t="s">
        <v>25</v>
      </c>
      <c r="G332" s="4" t="s">
        <v>25</v>
      </c>
      <c r="H332" s="4" t="s">
        <v>25</v>
      </c>
      <c r="I332" s="5">
        <v>44652</v>
      </c>
      <c r="J332" s="6">
        <v>0</v>
      </c>
      <c r="K332" s="6">
        <v>0</v>
      </c>
      <c r="L332" s="6">
        <v>8.8999999999999996E-2</v>
      </c>
      <c r="M332" s="6">
        <v>-0.54735</v>
      </c>
      <c r="N332" s="6">
        <v>8.8999999999999996E-2</v>
      </c>
      <c r="O332" s="6">
        <v>-0.54735</v>
      </c>
      <c r="P332" s="6">
        <v>0</v>
      </c>
      <c r="Q332" s="4" t="s">
        <v>26</v>
      </c>
      <c r="R332" s="4">
        <v>0</v>
      </c>
      <c r="S332" s="4" t="s">
        <v>159</v>
      </c>
      <c r="T332" s="4" t="s">
        <v>284</v>
      </c>
      <c r="U332" s="4">
        <v>0</v>
      </c>
      <c r="V332" s="4">
        <v>12</v>
      </c>
      <c r="W332" s="4">
        <v>77</v>
      </c>
    </row>
    <row r="333" spans="1:23" ht="11.25" customHeight="1" x14ac:dyDescent="0.25">
      <c r="A333" s="4" t="s">
        <v>21</v>
      </c>
      <c r="B333" s="4" t="s">
        <v>22</v>
      </c>
      <c r="C333" s="4" t="s">
        <v>23</v>
      </c>
      <c r="D333" s="4" t="s">
        <v>24</v>
      </c>
      <c r="E333" s="4" t="s">
        <v>29</v>
      </c>
      <c r="F333" s="4" t="s">
        <v>25</v>
      </c>
      <c r="G333" s="4" t="s">
        <v>25</v>
      </c>
      <c r="H333" s="4" t="s">
        <v>25</v>
      </c>
      <c r="I333" s="5">
        <v>44682</v>
      </c>
      <c r="J333" s="6">
        <v>0</v>
      </c>
      <c r="K333" s="6">
        <v>0</v>
      </c>
      <c r="L333" s="6">
        <v>23.457000000000001</v>
      </c>
      <c r="M333" s="6">
        <v>23.457000000000001</v>
      </c>
      <c r="N333" s="6">
        <v>23.457000000000001</v>
      </c>
      <c r="O333" s="6">
        <v>23.457000000000001</v>
      </c>
      <c r="P333" s="6">
        <v>74</v>
      </c>
      <c r="Q333" s="4" t="s">
        <v>26</v>
      </c>
      <c r="R333" s="4">
        <v>0</v>
      </c>
      <c r="S333" s="4" t="s">
        <v>160</v>
      </c>
      <c r="T333" s="4" t="s">
        <v>285</v>
      </c>
      <c r="U333" s="4">
        <v>0</v>
      </c>
      <c r="V333" s="4">
        <v>12</v>
      </c>
      <c r="W333" s="4">
        <v>77</v>
      </c>
    </row>
    <row r="334" spans="1:23" ht="11.25" customHeight="1" x14ac:dyDescent="0.25">
      <c r="A334" s="4" t="s">
        <v>28</v>
      </c>
      <c r="B334" s="4" t="s">
        <v>22</v>
      </c>
      <c r="C334" s="4" t="s">
        <v>23</v>
      </c>
      <c r="D334" s="4" t="s">
        <v>24</v>
      </c>
      <c r="E334" s="4" t="s">
        <v>29</v>
      </c>
      <c r="F334" s="4" t="s">
        <v>25</v>
      </c>
      <c r="G334" s="4" t="s">
        <v>25</v>
      </c>
      <c r="H334" s="4" t="s">
        <v>25</v>
      </c>
      <c r="I334" s="5">
        <v>44682</v>
      </c>
      <c r="J334" s="6">
        <v>0</v>
      </c>
      <c r="K334" s="6">
        <v>0</v>
      </c>
      <c r="L334" s="6">
        <v>0.19900000000000001</v>
      </c>
      <c r="M334" s="6">
        <v>-1.2238500000000001</v>
      </c>
      <c r="N334" s="6">
        <v>0.19900000000000001</v>
      </c>
      <c r="O334" s="6">
        <v>-1.2238500000000001</v>
      </c>
      <c r="P334" s="6">
        <v>0</v>
      </c>
      <c r="Q334" s="4" t="s">
        <v>26</v>
      </c>
      <c r="R334" s="4">
        <v>0</v>
      </c>
      <c r="S334" s="4" t="s">
        <v>160</v>
      </c>
      <c r="T334" s="4" t="s">
        <v>285</v>
      </c>
      <c r="U334" s="4">
        <v>0</v>
      </c>
      <c r="V334" s="4">
        <v>12</v>
      </c>
      <c r="W334" s="4">
        <v>77</v>
      </c>
    </row>
    <row r="335" spans="1:23" ht="11.25" customHeight="1" x14ac:dyDescent="0.25">
      <c r="A335" s="4" t="s">
        <v>21</v>
      </c>
      <c r="B335" s="4" t="s">
        <v>22</v>
      </c>
      <c r="C335" s="4" t="s">
        <v>23</v>
      </c>
      <c r="D335" s="4" t="s">
        <v>24</v>
      </c>
      <c r="E335" s="4" t="s">
        <v>29</v>
      </c>
      <c r="F335" s="4" t="s">
        <v>25</v>
      </c>
      <c r="G335" s="4" t="s">
        <v>25</v>
      </c>
      <c r="H335" s="4" t="s">
        <v>25</v>
      </c>
      <c r="I335" s="5">
        <v>44713</v>
      </c>
      <c r="J335" s="6">
        <v>0</v>
      </c>
      <c r="K335" s="6">
        <v>0</v>
      </c>
      <c r="L335" s="6">
        <v>24.93</v>
      </c>
      <c r="M335" s="6">
        <v>24.93</v>
      </c>
      <c r="N335" s="6">
        <v>24.93</v>
      </c>
      <c r="O335" s="6">
        <v>24.93</v>
      </c>
      <c r="P335" s="6">
        <v>96</v>
      </c>
      <c r="Q335" s="4" t="s">
        <v>26</v>
      </c>
      <c r="R335" s="4">
        <v>0</v>
      </c>
      <c r="S335" s="4" t="s">
        <v>161</v>
      </c>
      <c r="T335" s="4" t="s">
        <v>286</v>
      </c>
      <c r="U335" s="4">
        <v>0</v>
      </c>
      <c r="V335" s="4">
        <v>12</v>
      </c>
      <c r="W335" s="4">
        <v>77</v>
      </c>
    </row>
    <row r="336" spans="1:23" ht="11.25" customHeight="1" x14ac:dyDescent="0.25">
      <c r="A336" s="4" t="s">
        <v>28</v>
      </c>
      <c r="B336" s="4" t="s">
        <v>22</v>
      </c>
      <c r="C336" s="4" t="s">
        <v>23</v>
      </c>
      <c r="D336" s="4" t="s">
        <v>24</v>
      </c>
      <c r="E336" s="4" t="s">
        <v>29</v>
      </c>
      <c r="F336" s="4" t="s">
        <v>25</v>
      </c>
      <c r="G336" s="4" t="s">
        <v>25</v>
      </c>
      <c r="H336" s="4" t="s">
        <v>25</v>
      </c>
      <c r="I336" s="5">
        <v>44713</v>
      </c>
      <c r="J336" s="6">
        <v>0</v>
      </c>
      <c r="K336" s="6">
        <v>0</v>
      </c>
      <c r="L336" s="6">
        <v>0.26300000000000001</v>
      </c>
      <c r="M336" s="6">
        <v>-1.6174500000000001</v>
      </c>
      <c r="N336" s="6">
        <v>0.26300000000000001</v>
      </c>
      <c r="O336" s="6">
        <v>-1.6174500000000001</v>
      </c>
      <c r="P336" s="6">
        <v>0</v>
      </c>
      <c r="Q336" s="4" t="s">
        <v>26</v>
      </c>
      <c r="R336" s="4">
        <v>0</v>
      </c>
      <c r="S336" s="4" t="s">
        <v>161</v>
      </c>
      <c r="T336" s="4" t="s">
        <v>286</v>
      </c>
      <c r="U336" s="4">
        <v>0</v>
      </c>
      <c r="V336" s="4">
        <v>12</v>
      </c>
      <c r="W336" s="4">
        <v>77</v>
      </c>
    </row>
    <row r="337" spans="1:23" ht="11.25" customHeight="1" x14ac:dyDescent="0.25">
      <c r="A337" s="4" t="s">
        <v>21</v>
      </c>
      <c r="B337" s="4" t="s">
        <v>22</v>
      </c>
      <c r="C337" s="4" t="s">
        <v>23</v>
      </c>
      <c r="D337" s="4" t="s">
        <v>24</v>
      </c>
      <c r="E337" s="4" t="s">
        <v>30</v>
      </c>
      <c r="F337" s="4" t="s">
        <v>25</v>
      </c>
      <c r="G337" s="4" t="s">
        <v>25</v>
      </c>
      <c r="H337" s="4" t="s">
        <v>25</v>
      </c>
      <c r="I337" s="5">
        <v>44378</v>
      </c>
      <c r="J337" s="6">
        <v>0</v>
      </c>
      <c r="K337" s="6">
        <v>0</v>
      </c>
      <c r="L337" s="6">
        <v>13.337999999999999</v>
      </c>
      <c r="M337" s="6">
        <v>13.337999999999999</v>
      </c>
      <c r="N337" s="6">
        <v>13.337999999999999</v>
      </c>
      <c r="O337" s="6">
        <v>13.337999999999999</v>
      </c>
      <c r="P337" s="6">
        <v>110</v>
      </c>
      <c r="Q337" s="4" t="s">
        <v>26</v>
      </c>
      <c r="R337" s="4">
        <v>0</v>
      </c>
      <c r="S337" s="4" t="s">
        <v>162</v>
      </c>
      <c r="T337" s="4" t="s">
        <v>287</v>
      </c>
      <c r="U337" s="4">
        <v>0</v>
      </c>
      <c r="V337" s="4">
        <v>55</v>
      </c>
      <c r="W337" s="4">
        <v>50</v>
      </c>
    </row>
    <row r="338" spans="1:23" ht="11.25" customHeight="1" x14ac:dyDescent="0.25">
      <c r="A338" s="4" t="s">
        <v>28</v>
      </c>
      <c r="B338" s="4" t="s">
        <v>22</v>
      </c>
      <c r="C338" s="4" t="s">
        <v>23</v>
      </c>
      <c r="D338" s="4" t="s">
        <v>24</v>
      </c>
      <c r="E338" s="4" t="s">
        <v>30</v>
      </c>
      <c r="F338" s="4" t="s">
        <v>25</v>
      </c>
      <c r="G338" s="4" t="s">
        <v>25</v>
      </c>
      <c r="H338" s="4" t="s">
        <v>25</v>
      </c>
      <c r="I338" s="5">
        <v>44378</v>
      </c>
      <c r="J338" s="6">
        <v>0</v>
      </c>
      <c r="K338" s="6">
        <v>0</v>
      </c>
      <c r="L338" s="6">
        <v>4.2999999999999997E-2</v>
      </c>
      <c r="M338" s="6">
        <v>-8.6E-3</v>
      </c>
      <c r="N338" s="6">
        <v>4.2999999999999997E-2</v>
      </c>
      <c r="O338" s="6">
        <v>-8.6E-3</v>
      </c>
      <c r="P338" s="6">
        <v>0</v>
      </c>
      <c r="Q338" s="4" t="s">
        <v>26</v>
      </c>
      <c r="R338" s="4">
        <v>0</v>
      </c>
      <c r="S338" s="4" t="s">
        <v>162</v>
      </c>
      <c r="T338" s="4" t="s">
        <v>287</v>
      </c>
      <c r="U338" s="4">
        <v>0</v>
      </c>
      <c r="V338" s="4">
        <v>55</v>
      </c>
      <c r="W338" s="4">
        <v>50</v>
      </c>
    </row>
    <row r="339" spans="1:23" ht="11.25" customHeight="1" x14ac:dyDescent="0.25">
      <c r="A339" s="4" t="s">
        <v>21</v>
      </c>
      <c r="B339" s="4" t="s">
        <v>22</v>
      </c>
      <c r="C339" s="4" t="s">
        <v>23</v>
      </c>
      <c r="D339" s="4" t="s">
        <v>24</v>
      </c>
      <c r="E339" s="4" t="s">
        <v>30</v>
      </c>
      <c r="F339" s="4" t="s">
        <v>25</v>
      </c>
      <c r="G339" s="4" t="s">
        <v>25</v>
      </c>
      <c r="H339" s="4" t="s">
        <v>25</v>
      </c>
      <c r="I339" s="5">
        <v>44409</v>
      </c>
      <c r="J339" s="6">
        <v>0</v>
      </c>
      <c r="K339" s="6">
        <v>0</v>
      </c>
      <c r="L339" s="6">
        <v>14.515000000000001</v>
      </c>
      <c r="M339" s="6">
        <v>14.515000000000001</v>
      </c>
      <c r="N339" s="6">
        <v>14.515000000000001</v>
      </c>
      <c r="O339" s="6">
        <v>14.515000000000001</v>
      </c>
      <c r="P339" s="6">
        <v>113</v>
      </c>
      <c r="Q339" s="4" t="s">
        <v>26</v>
      </c>
      <c r="R339" s="4">
        <v>0</v>
      </c>
      <c r="S339" s="4" t="s">
        <v>163</v>
      </c>
      <c r="T339" s="4" t="s">
        <v>288</v>
      </c>
      <c r="U339" s="4">
        <v>0</v>
      </c>
      <c r="V339" s="4">
        <v>55</v>
      </c>
      <c r="W339" s="4">
        <v>50</v>
      </c>
    </row>
    <row r="340" spans="1:23" ht="11.25" customHeight="1" x14ac:dyDescent="0.25">
      <c r="A340" s="4" t="s">
        <v>21</v>
      </c>
      <c r="B340" s="4" t="s">
        <v>22</v>
      </c>
      <c r="C340" s="4" t="s">
        <v>23</v>
      </c>
      <c r="D340" s="4" t="s">
        <v>24</v>
      </c>
      <c r="E340" s="4" t="s">
        <v>30</v>
      </c>
      <c r="F340" s="4" t="s">
        <v>25</v>
      </c>
      <c r="G340" s="4" t="s">
        <v>25</v>
      </c>
      <c r="H340" s="4" t="s">
        <v>25</v>
      </c>
      <c r="I340" s="5">
        <v>44440</v>
      </c>
      <c r="J340" s="6">
        <v>0</v>
      </c>
      <c r="K340" s="6">
        <v>0</v>
      </c>
      <c r="L340" s="6">
        <v>15.045</v>
      </c>
      <c r="M340" s="6">
        <v>15.045</v>
      </c>
      <c r="N340" s="6">
        <v>15.045</v>
      </c>
      <c r="O340" s="6">
        <v>15.045</v>
      </c>
      <c r="P340" s="6">
        <v>102</v>
      </c>
      <c r="Q340" s="4" t="s">
        <v>26</v>
      </c>
      <c r="R340" s="4">
        <v>0</v>
      </c>
      <c r="S340" s="4" t="s">
        <v>164</v>
      </c>
      <c r="T340" s="4" t="s">
        <v>289</v>
      </c>
      <c r="U340" s="4">
        <v>0</v>
      </c>
      <c r="V340" s="4">
        <v>55</v>
      </c>
      <c r="W340" s="4">
        <v>50</v>
      </c>
    </row>
    <row r="341" spans="1:23" ht="11.25" customHeight="1" x14ac:dyDescent="0.25">
      <c r="A341" s="4" t="s">
        <v>28</v>
      </c>
      <c r="B341" s="4" t="s">
        <v>22</v>
      </c>
      <c r="C341" s="4" t="s">
        <v>23</v>
      </c>
      <c r="D341" s="4" t="s">
        <v>24</v>
      </c>
      <c r="E341" s="4" t="s">
        <v>30</v>
      </c>
      <c r="F341" s="4" t="s">
        <v>25</v>
      </c>
      <c r="G341" s="4" t="s">
        <v>25</v>
      </c>
      <c r="H341" s="4" t="s">
        <v>25</v>
      </c>
      <c r="I341" s="5">
        <v>44440</v>
      </c>
      <c r="J341" s="6">
        <v>0</v>
      </c>
      <c r="K341" s="6">
        <v>0</v>
      </c>
      <c r="L341" s="6">
        <v>1.0999999999999999E-2</v>
      </c>
      <c r="M341" s="6">
        <v>-6.6E-3</v>
      </c>
      <c r="N341" s="6">
        <v>1.0999999999999999E-2</v>
      </c>
      <c r="O341" s="6">
        <v>-6.6E-3</v>
      </c>
      <c r="P341" s="6">
        <v>0</v>
      </c>
      <c r="Q341" s="4" t="s">
        <v>26</v>
      </c>
      <c r="R341" s="4">
        <v>0</v>
      </c>
      <c r="S341" s="4" t="s">
        <v>164</v>
      </c>
      <c r="T341" s="4" t="s">
        <v>289</v>
      </c>
      <c r="U341" s="4">
        <v>0</v>
      </c>
      <c r="V341" s="4">
        <v>55</v>
      </c>
      <c r="W341" s="4">
        <v>50</v>
      </c>
    </row>
    <row r="342" spans="1:23" ht="11.25" customHeight="1" x14ac:dyDescent="0.25">
      <c r="A342" s="4" t="s">
        <v>21</v>
      </c>
      <c r="B342" s="4" t="s">
        <v>22</v>
      </c>
      <c r="C342" s="4" t="s">
        <v>23</v>
      </c>
      <c r="D342" s="4" t="s">
        <v>24</v>
      </c>
      <c r="E342" s="4" t="s">
        <v>30</v>
      </c>
      <c r="F342" s="4" t="s">
        <v>25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15.439</v>
      </c>
      <c r="M342" s="6">
        <v>15.439</v>
      </c>
      <c r="N342" s="6">
        <v>15.439</v>
      </c>
      <c r="O342" s="6">
        <v>15.439</v>
      </c>
      <c r="P342" s="6">
        <v>108</v>
      </c>
      <c r="Q342" s="4" t="s">
        <v>26</v>
      </c>
      <c r="R342" s="4">
        <v>0</v>
      </c>
      <c r="S342" s="4" t="s">
        <v>165</v>
      </c>
      <c r="T342" s="4" t="s">
        <v>290</v>
      </c>
      <c r="U342" s="4">
        <v>0</v>
      </c>
      <c r="V342" s="4">
        <v>55</v>
      </c>
      <c r="W342" s="4">
        <v>50</v>
      </c>
    </row>
    <row r="343" spans="1:23" ht="11.25" customHeight="1" x14ac:dyDescent="0.25">
      <c r="A343" s="4" t="s">
        <v>21</v>
      </c>
      <c r="B343" s="4" t="s">
        <v>22</v>
      </c>
      <c r="C343" s="4" t="s">
        <v>23</v>
      </c>
      <c r="D343" s="4" t="s">
        <v>24</v>
      </c>
      <c r="E343" s="4" t="s">
        <v>30</v>
      </c>
      <c r="F343" s="4" t="s">
        <v>25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16.474</v>
      </c>
      <c r="M343" s="6">
        <v>16.474</v>
      </c>
      <c r="N343" s="6">
        <v>16.474</v>
      </c>
      <c r="O343" s="6">
        <v>16.474</v>
      </c>
      <c r="P343" s="6">
        <v>97</v>
      </c>
      <c r="Q343" s="4" t="s">
        <v>26</v>
      </c>
      <c r="R343" s="4">
        <v>0</v>
      </c>
      <c r="S343" s="4" t="s">
        <v>166</v>
      </c>
      <c r="T343" s="4" t="s">
        <v>291</v>
      </c>
      <c r="U343" s="4">
        <v>0</v>
      </c>
      <c r="V343" s="4">
        <v>55</v>
      </c>
      <c r="W343" s="4">
        <v>50</v>
      </c>
    </row>
    <row r="344" spans="1:23" ht="11.25" customHeight="1" x14ac:dyDescent="0.25">
      <c r="A344" s="4" t="s">
        <v>28</v>
      </c>
      <c r="B344" s="4" t="s">
        <v>22</v>
      </c>
      <c r="C344" s="4" t="s">
        <v>23</v>
      </c>
      <c r="D344" s="4" t="s">
        <v>24</v>
      </c>
      <c r="E344" s="4" t="s">
        <v>30</v>
      </c>
      <c r="F344" s="4" t="s">
        <v>25</v>
      </c>
      <c r="G344" s="4" t="s">
        <v>25</v>
      </c>
      <c r="H344" s="4" t="s">
        <v>25</v>
      </c>
      <c r="I344" s="5">
        <v>44501</v>
      </c>
      <c r="J344" s="6">
        <v>0</v>
      </c>
      <c r="K344" s="6">
        <v>0</v>
      </c>
      <c r="L344" s="6">
        <v>1.2E-2</v>
      </c>
      <c r="M344" s="6">
        <v>-7.1999999999999998E-3</v>
      </c>
      <c r="N344" s="6">
        <v>1.2E-2</v>
      </c>
      <c r="O344" s="6">
        <v>-7.1999999999999998E-3</v>
      </c>
      <c r="P344" s="6">
        <v>0</v>
      </c>
      <c r="Q344" s="4" t="s">
        <v>26</v>
      </c>
      <c r="R344" s="4">
        <v>0</v>
      </c>
      <c r="S344" s="4" t="s">
        <v>166</v>
      </c>
      <c r="T344" s="4" t="s">
        <v>291</v>
      </c>
      <c r="U344" s="4">
        <v>0</v>
      </c>
      <c r="V344" s="4">
        <v>55</v>
      </c>
      <c r="W344" s="4">
        <v>50</v>
      </c>
    </row>
    <row r="345" spans="1:23" ht="11.25" customHeight="1" x14ac:dyDescent="0.25">
      <c r="A345" s="4" t="s">
        <v>21</v>
      </c>
      <c r="B345" s="4" t="s">
        <v>22</v>
      </c>
      <c r="C345" s="4" t="s">
        <v>23</v>
      </c>
      <c r="D345" s="4" t="s">
        <v>24</v>
      </c>
      <c r="E345" s="4" t="s">
        <v>30</v>
      </c>
      <c r="F345" s="4" t="s">
        <v>25</v>
      </c>
      <c r="G345" s="4" t="s">
        <v>25</v>
      </c>
      <c r="H345" s="4" t="s">
        <v>25</v>
      </c>
      <c r="I345" s="5">
        <v>44531</v>
      </c>
      <c r="J345" s="6">
        <v>0</v>
      </c>
      <c r="K345" s="6">
        <v>0</v>
      </c>
      <c r="L345" s="6">
        <v>17.369</v>
      </c>
      <c r="M345" s="6">
        <v>17.369</v>
      </c>
      <c r="N345" s="6">
        <v>17.369</v>
      </c>
      <c r="O345" s="6">
        <v>17.369</v>
      </c>
      <c r="P345" s="6">
        <v>100</v>
      </c>
      <c r="Q345" s="4" t="s">
        <v>26</v>
      </c>
      <c r="R345" s="4">
        <v>0</v>
      </c>
      <c r="S345" s="4" t="s">
        <v>167</v>
      </c>
      <c r="T345" s="4" t="s">
        <v>292</v>
      </c>
      <c r="U345" s="4">
        <v>0</v>
      </c>
      <c r="V345" s="4">
        <v>55</v>
      </c>
      <c r="W345" s="4">
        <v>50</v>
      </c>
    </row>
    <row r="346" spans="1:23" ht="11.25" customHeight="1" x14ac:dyDescent="0.25">
      <c r="A346" s="4" t="s">
        <v>28</v>
      </c>
      <c r="B346" s="4" t="s">
        <v>22</v>
      </c>
      <c r="C346" s="4" t="s">
        <v>23</v>
      </c>
      <c r="D346" s="4" t="s">
        <v>24</v>
      </c>
      <c r="E346" s="4" t="s">
        <v>30</v>
      </c>
      <c r="F346" s="4" t="s">
        <v>25</v>
      </c>
      <c r="G346" s="4" t="s">
        <v>25</v>
      </c>
      <c r="H346" s="4" t="s">
        <v>25</v>
      </c>
      <c r="I346" s="5">
        <v>44531</v>
      </c>
      <c r="J346" s="6">
        <v>0</v>
      </c>
      <c r="K346" s="6">
        <v>0</v>
      </c>
      <c r="L346" s="6">
        <v>0.14000000000000001</v>
      </c>
      <c r="M346" s="6">
        <v>-2.8000000000000001E-2</v>
      </c>
      <c r="N346" s="6">
        <v>0.14000000000000001</v>
      </c>
      <c r="O346" s="6">
        <v>-2.8000000000000001E-2</v>
      </c>
      <c r="P346" s="6">
        <v>0</v>
      </c>
      <c r="Q346" s="4" t="s">
        <v>26</v>
      </c>
      <c r="R346" s="4">
        <v>0</v>
      </c>
      <c r="S346" s="4" t="s">
        <v>167</v>
      </c>
      <c r="T346" s="4" t="s">
        <v>292</v>
      </c>
      <c r="U346" s="4">
        <v>0</v>
      </c>
      <c r="V346" s="4">
        <v>55</v>
      </c>
      <c r="W346" s="4">
        <v>50</v>
      </c>
    </row>
    <row r="347" spans="1:23" ht="11.25" customHeight="1" x14ac:dyDescent="0.25">
      <c r="A347" s="4" t="s">
        <v>21</v>
      </c>
      <c r="B347" s="4" t="s">
        <v>22</v>
      </c>
      <c r="C347" s="4" t="s">
        <v>23</v>
      </c>
      <c r="D347" s="4" t="s">
        <v>24</v>
      </c>
      <c r="E347" s="4" t="s">
        <v>30</v>
      </c>
      <c r="F347" s="4" t="s">
        <v>25</v>
      </c>
      <c r="G347" s="4" t="s">
        <v>25</v>
      </c>
      <c r="H347" s="4" t="s">
        <v>25</v>
      </c>
      <c r="I347" s="5">
        <v>44562</v>
      </c>
      <c r="J347" s="6">
        <v>0</v>
      </c>
      <c r="K347" s="6">
        <v>0</v>
      </c>
      <c r="L347" s="6">
        <v>18.405999999999999</v>
      </c>
      <c r="M347" s="6">
        <v>18.405999999999999</v>
      </c>
      <c r="N347" s="6">
        <v>18.405999999999999</v>
      </c>
      <c r="O347" s="6">
        <v>18.405999999999999</v>
      </c>
      <c r="P347" s="6">
        <v>75</v>
      </c>
      <c r="Q347" s="4" t="s">
        <v>26</v>
      </c>
      <c r="R347" s="4">
        <v>0</v>
      </c>
      <c r="S347" s="4" t="s">
        <v>168</v>
      </c>
      <c r="T347" s="4" t="s">
        <v>293</v>
      </c>
      <c r="U347" s="4">
        <v>0</v>
      </c>
      <c r="V347" s="4">
        <v>55</v>
      </c>
      <c r="W347" s="4">
        <v>50</v>
      </c>
    </row>
    <row r="348" spans="1:23" ht="11.25" customHeight="1" x14ac:dyDescent="0.25">
      <c r="A348" s="4" t="s">
        <v>28</v>
      </c>
      <c r="B348" s="4" t="s">
        <v>22</v>
      </c>
      <c r="C348" s="4" t="s">
        <v>23</v>
      </c>
      <c r="D348" s="4" t="s">
        <v>24</v>
      </c>
      <c r="E348" s="4" t="s">
        <v>30</v>
      </c>
      <c r="F348" s="4" t="s">
        <v>25</v>
      </c>
      <c r="G348" s="4" t="s">
        <v>25</v>
      </c>
      <c r="H348" s="4" t="s">
        <v>25</v>
      </c>
      <c r="I348" s="5">
        <v>44562</v>
      </c>
      <c r="J348" s="6">
        <v>0</v>
      </c>
      <c r="K348" s="6">
        <v>0</v>
      </c>
      <c r="L348" s="6">
        <v>0.14000000000000001</v>
      </c>
      <c r="M348" s="6">
        <v>-2.8000000000000001E-2</v>
      </c>
      <c r="N348" s="6">
        <v>0.14000000000000001</v>
      </c>
      <c r="O348" s="6">
        <v>-2.8000000000000001E-2</v>
      </c>
      <c r="P348" s="6">
        <v>0</v>
      </c>
      <c r="Q348" s="4" t="s">
        <v>26</v>
      </c>
      <c r="R348" s="4">
        <v>0</v>
      </c>
      <c r="S348" s="4" t="s">
        <v>168</v>
      </c>
      <c r="T348" s="4" t="s">
        <v>293</v>
      </c>
      <c r="U348" s="4">
        <v>0</v>
      </c>
      <c r="V348" s="4">
        <v>55</v>
      </c>
      <c r="W348" s="4">
        <v>50</v>
      </c>
    </row>
    <row r="349" spans="1:23" ht="11.25" customHeight="1" x14ac:dyDescent="0.25">
      <c r="A349" s="4" t="s">
        <v>21</v>
      </c>
      <c r="B349" s="4" t="s">
        <v>22</v>
      </c>
      <c r="C349" s="4" t="s">
        <v>23</v>
      </c>
      <c r="D349" s="4" t="s">
        <v>24</v>
      </c>
      <c r="E349" s="4" t="s">
        <v>30</v>
      </c>
      <c r="F349" s="4" t="s">
        <v>25</v>
      </c>
      <c r="G349" s="4" t="s">
        <v>25</v>
      </c>
      <c r="H349" s="4" t="s">
        <v>25</v>
      </c>
      <c r="I349" s="5">
        <v>44593</v>
      </c>
      <c r="J349" s="6">
        <v>0</v>
      </c>
      <c r="K349" s="6">
        <v>0</v>
      </c>
      <c r="L349" s="6">
        <v>18.997</v>
      </c>
      <c r="M349" s="6">
        <v>18.997</v>
      </c>
      <c r="N349" s="6">
        <v>18.997</v>
      </c>
      <c r="O349" s="6">
        <v>18.997</v>
      </c>
      <c r="P349" s="6">
        <v>70</v>
      </c>
      <c r="Q349" s="4" t="s">
        <v>26</v>
      </c>
      <c r="R349" s="4">
        <v>0</v>
      </c>
      <c r="S349" s="4" t="s">
        <v>169</v>
      </c>
      <c r="T349" s="4" t="s">
        <v>294</v>
      </c>
      <c r="U349" s="4">
        <v>0</v>
      </c>
      <c r="V349" s="4">
        <v>55</v>
      </c>
      <c r="W349" s="4">
        <v>50</v>
      </c>
    </row>
    <row r="350" spans="1:23" ht="11.25" customHeight="1" x14ac:dyDescent="0.25">
      <c r="A350" s="4" t="s">
        <v>28</v>
      </c>
      <c r="B350" s="4" t="s">
        <v>22</v>
      </c>
      <c r="C350" s="4" t="s">
        <v>23</v>
      </c>
      <c r="D350" s="4" t="s">
        <v>24</v>
      </c>
      <c r="E350" s="4" t="s">
        <v>30</v>
      </c>
      <c r="F350" s="4" t="s">
        <v>25</v>
      </c>
      <c r="G350" s="4" t="s">
        <v>25</v>
      </c>
      <c r="H350" s="4" t="s">
        <v>25</v>
      </c>
      <c r="I350" s="5">
        <v>44593</v>
      </c>
      <c r="J350" s="6">
        <v>0</v>
      </c>
      <c r="K350" s="6">
        <v>0</v>
      </c>
      <c r="L350" s="6">
        <v>0.14000000000000001</v>
      </c>
      <c r="M350" s="6">
        <v>-2.8000000000000001E-2</v>
      </c>
      <c r="N350" s="6">
        <v>0.14000000000000001</v>
      </c>
      <c r="O350" s="6">
        <v>-2.8000000000000001E-2</v>
      </c>
      <c r="P350" s="6">
        <v>0</v>
      </c>
      <c r="Q350" s="4" t="s">
        <v>26</v>
      </c>
      <c r="R350" s="4">
        <v>0</v>
      </c>
      <c r="S350" s="4" t="s">
        <v>169</v>
      </c>
      <c r="T350" s="4" t="s">
        <v>294</v>
      </c>
      <c r="U350" s="4">
        <v>0</v>
      </c>
      <c r="V350" s="4">
        <v>55</v>
      </c>
      <c r="W350" s="4">
        <v>50</v>
      </c>
    </row>
    <row r="351" spans="1:23" ht="11.25" customHeight="1" x14ac:dyDescent="0.25">
      <c r="A351" s="4" t="s">
        <v>21</v>
      </c>
      <c r="B351" s="4" t="s">
        <v>22</v>
      </c>
      <c r="C351" s="4" t="s">
        <v>23</v>
      </c>
      <c r="D351" s="4" t="s">
        <v>24</v>
      </c>
      <c r="E351" s="4" t="s">
        <v>30</v>
      </c>
      <c r="F351" s="4" t="s">
        <v>25</v>
      </c>
      <c r="G351" s="4" t="s">
        <v>25</v>
      </c>
      <c r="H351" s="4" t="s">
        <v>25</v>
      </c>
      <c r="I351" s="5">
        <v>44621</v>
      </c>
      <c r="J351" s="6">
        <v>0</v>
      </c>
      <c r="K351" s="6">
        <v>0</v>
      </c>
      <c r="L351" s="6">
        <v>19.401</v>
      </c>
      <c r="M351" s="6">
        <v>19.401</v>
      </c>
      <c r="N351" s="6">
        <v>19.401</v>
      </c>
      <c r="O351" s="6">
        <v>19.401</v>
      </c>
      <c r="P351" s="6">
        <v>73</v>
      </c>
      <c r="Q351" s="4" t="s">
        <v>26</v>
      </c>
      <c r="R351" s="4">
        <v>0</v>
      </c>
      <c r="S351" s="4" t="s">
        <v>170</v>
      </c>
      <c r="T351" s="4" t="s">
        <v>295</v>
      </c>
      <c r="U351" s="4">
        <v>0</v>
      </c>
      <c r="V351" s="4">
        <v>55</v>
      </c>
      <c r="W351" s="4">
        <v>50</v>
      </c>
    </row>
    <row r="352" spans="1:23" ht="11.25" customHeight="1" x14ac:dyDescent="0.25">
      <c r="A352" s="4" t="s">
        <v>28</v>
      </c>
      <c r="B352" s="4" t="s">
        <v>22</v>
      </c>
      <c r="C352" s="4" t="s">
        <v>23</v>
      </c>
      <c r="D352" s="4" t="s">
        <v>24</v>
      </c>
      <c r="E352" s="4" t="s">
        <v>30</v>
      </c>
      <c r="F352" s="4" t="s">
        <v>25</v>
      </c>
      <c r="G352" s="4" t="s">
        <v>25</v>
      </c>
      <c r="H352" s="4" t="s">
        <v>25</v>
      </c>
      <c r="I352" s="5">
        <v>44621</v>
      </c>
      <c r="J352" s="6">
        <v>0</v>
      </c>
      <c r="K352" s="6">
        <v>0</v>
      </c>
      <c r="L352" s="6">
        <v>0.14000000000000001</v>
      </c>
      <c r="M352" s="6">
        <v>-8.4000000000000005E-2</v>
      </c>
      <c r="N352" s="6">
        <v>0.14000000000000001</v>
      </c>
      <c r="O352" s="6">
        <v>-8.4000000000000005E-2</v>
      </c>
      <c r="P352" s="6">
        <v>0</v>
      </c>
      <c r="Q352" s="4" t="s">
        <v>26</v>
      </c>
      <c r="R352" s="4">
        <v>0</v>
      </c>
      <c r="S352" s="4" t="s">
        <v>170</v>
      </c>
      <c r="T352" s="4" t="s">
        <v>295</v>
      </c>
      <c r="U352" s="4">
        <v>0</v>
      </c>
      <c r="V352" s="4">
        <v>55</v>
      </c>
      <c r="W352" s="4">
        <v>50</v>
      </c>
    </row>
    <row r="353" spans="1:23" ht="11.25" customHeight="1" x14ac:dyDescent="0.25">
      <c r="A353" s="4" t="s">
        <v>21</v>
      </c>
      <c r="B353" s="4" t="s">
        <v>22</v>
      </c>
      <c r="C353" s="4" t="s">
        <v>23</v>
      </c>
      <c r="D353" s="4" t="s">
        <v>24</v>
      </c>
      <c r="E353" s="4" t="s">
        <v>30</v>
      </c>
      <c r="F353" s="4" t="s">
        <v>25</v>
      </c>
      <c r="G353" s="4" t="s">
        <v>25</v>
      </c>
      <c r="H353" s="4" t="s">
        <v>25</v>
      </c>
      <c r="I353" s="5">
        <v>44652</v>
      </c>
      <c r="J353" s="6">
        <v>0</v>
      </c>
      <c r="K353" s="6">
        <v>0</v>
      </c>
      <c r="L353" s="6">
        <v>40.292999999999999</v>
      </c>
      <c r="M353" s="6">
        <v>40.292999999999999</v>
      </c>
      <c r="N353" s="6">
        <v>40.292999999999999</v>
      </c>
      <c r="O353" s="6">
        <v>40.292999999999999</v>
      </c>
      <c r="P353" s="6">
        <v>258</v>
      </c>
      <c r="Q353" s="4" t="s">
        <v>26</v>
      </c>
      <c r="R353" s="4">
        <v>0</v>
      </c>
      <c r="S353" s="4" t="s">
        <v>171</v>
      </c>
      <c r="T353" s="4" t="s">
        <v>296</v>
      </c>
      <c r="U353" s="4">
        <v>0</v>
      </c>
      <c r="V353" s="4">
        <v>55</v>
      </c>
      <c r="W353" s="4">
        <v>50</v>
      </c>
    </row>
    <row r="354" spans="1:23" ht="11.25" customHeight="1" x14ac:dyDescent="0.25">
      <c r="A354" s="4" t="s">
        <v>28</v>
      </c>
      <c r="B354" s="4" t="s">
        <v>22</v>
      </c>
      <c r="C354" s="4" t="s">
        <v>23</v>
      </c>
      <c r="D354" s="4" t="s">
        <v>24</v>
      </c>
      <c r="E354" s="4" t="s">
        <v>30</v>
      </c>
      <c r="F354" s="4" t="s">
        <v>25</v>
      </c>
      <c r="G354" s="4" t="s">
        <v>25</v>
      </c>
      <c r="H354" s="4" t="s">
        <v>25</v>
      </c>
      <c r="I354" s="5">
        <v>44652</v>
      </c>
      <c r="J354" s="6">
        <v>0</v>
      </c>
      <c r="K354" s="6">
        <v>0</v>
      </c>
      <c r="L354" s="6">
        <v>4.2999999999999997E-2</v>
      </c>
      <c r="M354" s="6">
        <v>-0.1462</v>
      </c>
      <c r="N354" s="6">
        <v>4.2999999999999997E-2</v>
      </c>
      <c r="O354" s="6">
        <v>-0.1462</v>
      </c>
      <c r="P354" s="6">
        <v>2</v>
      </c>
      <c r="Q354" s="4" t="s">
        <v>26</v>
      </c>
      <c r="R354" s="4">
        <v>0</v>
      </c>
      <c r="S354" s="4" t="s">
        <v>171</v>
      </c>
      <c r="T354" s="4" t="s">
        <v>296</v>
      </c>
      <c r="U354" s="4">
        <v>0</v>
      </c>
      <c r="V354" s="4">
        <v>55</v>
      </c>
      <c r="W354" s="4">
        <v>50</v>
      </c>
    </row>
    <row r="355" spans="1:23" ht="11.25" customHeight="1" x14ac:dyDescent="0.25">
      <c r="A355" s="4" t="s">
        <v>21</v>
      </c>
      <c r="B355" s="4" t="s">
        <v>22</v>
      </c>
      <c r="C355" s="4" t="s">
        <v>23</v>
      </c>
      <c r="D355" s="4" t="s">
        <v>24</v>
      </c>
      <c r="E355" s="4" t="s">
        <v>30</v>
      </c>
      <c r="F355" s="4" t="s">
        <v>25</v>
      </c>
      <c r="G355" s="4" t="s">
        <v>25</v>
      </c>
      <c r="H355" s="4" t="s">
        <v>25</v>
      </c>
      <c r="I355" s="5">
        <v>44682</v>
      </c>
      <c r="J355" s="6">
        <v>0</v>
      </c>
      <c r="K355" s="6">
        <v>0</v>
      </c>
      <c r="L355" s="6">
        <v>40.398000000000003</v>
      </c>
      <c r="M355" s="6">
        <v>40.398000000000003</v>
      </c>
      <c r="N355" s="6">
        <v>40.398000000000003</v>
      </c>
      <c r="O355" s="6">
        <v>40.398000000000003</v>
      </c>
      <c r="P355" s="6">
        <v>278</v>
      </c>
      <c r="Q355" s="4" t="s">
        <v>26</v>
      </c>
      <c r="R355" s="4">
        <v>0</v>
      </c>
      <c r="S355" s="4" t="s">
        <v>172</v>
      </c>
      <c r="T355" s="4" t="s">
        <v>297</v>
      </c>
      <c r="U355" s="4">
        <v>0</v>
      </c>
      <c r="V355" s="4">
        <v>55</v>
      </c>
      <c r="W355" s="4">
        <v>50</v>
      </c>
    </row>
    <row r="356" spans="1:23" ht="11.25" customHeight="1" x14ac:dyDescent="0.25">
      <c r="A356" s="4" t="s">
        <v>27</v>
      </c>
      <c r="B356" s="4" t="s">
        <v>22</v>
      </c>
      <c r="C356" s="4" t="s">
        <v>23</v>
      </c>
      <c r="D356" s="4" t="s">
        <v>24</v>
      </c>
      <c r="E356" s="4" t="s">
        <v>30</v>
      </c>
      <c r="F356" s="4" t="s">
        <v>25</v>
      </c>
      <c r="G356" s="4" t="s">
        <v>25</v>
      </c>
      <c r="H356" s="4" t="s">
        <v>25</v>
      </c>
      <c r="I356" s="5">
        <v>44682</v>
      </c>
      <c r="J356" s="6">
        <v>0</v>
      </c>
      <c r="K356" s="6">
        <v>0</v>
      </c>
      <c r="L356" s="6">
        <v>-1.4E-2</v>
      </c>
      <c r="M356" s="6">
        <v>-1.4E-2</v>
      </c>
      <c r="N356" s="6">
        <v>-1.4E-2</v>
      </c>
      <c r="O356" s="6">
        <v>-1.4E-2</v>
      </c>
      <c r="P356" s="6">
        <v>0</v>
      </c>
      <c r="Q356" s="4" t="s">
        <v>26</v>
      </c>
      <c r="R356" s="4">
        <v>0</v>
      </c>
      <c r="S356" s="4" t="s">
        <v>172</v>
      </c>
      <c r="T356" s="4" t="s">
        <v>297</v>
      </c>
      <c r="U356" s="4">
        <v>0</v>
      </c>
      <c r="V356" s="4">
        <v>55</v>
      </c>
      <c r="W356" s="4">
        <v>50</v>
      </c>
    </row>
    <row r="357" spans="1:23" ht="11.25" customHeight="1" x14ac:dyDescent="0.25">
      <c r="A357" s="4" t="s">
        <v>28</v>
      </c>
      <c r="B357" s="4" t="s">
        <v>22</v>
      </c>
      <c r="C357" s="4" t="s">
        <v>23</v>
      </c>
      <c r="D357" s="4" t="s">
        <v>24</v>
      </c>
      <c r="E357" s="4" t="s">
        <v>30</v>
      </c>
      <c r="F357" s="4" t="s">
        <v>25</v>
      </c>
      <c r="G357" s="4" t="s">
        <v>25</v>
      </c>
      <c r="H357" s="4" t="s">
        <v>25</v>
      </c>
      <c r="I357" s="5">
        <v>44682</v>
      </c>
      <c r="J357" s="6">
        <v>0</v>
      </c>
      <c r="K357" s="6">
        <v>0</v>
      </c>
      <c r="L357" s="6">
        <v>0.158</v>
      </c>
      <c r="M357" s="6">
        <v>-0.53720000000000001</v>
      </c>
      <c r="N357" s="6">
        <v>0.158</v>
      </c>
      <c r="O357" s="6">
        <v>-0.53720000000000001</v>
      </c>
      <c r="P357" s="6">
        <v>2</v>
      </c>
      <c r="Q357" s="4" t="s">
        <v>26</v>
      </c>
      <c r="R357" s="4">
        <v>0</v>
      </c>
      <c r="S357" s="4" t="s">
        <v>172</v>
      </c>
      <c r="T357" s="4" t="s">
        <v>297</v>
      </c>
      <c r="U357" s="4">
        <v>0</v>
      </c>
      <c r="V357" s="4">
        <v>55</v>
      </c>
      <c r="W357" s="4">
        <v>50</v>
      </c>
    </row>
    <row r="358" spans="1:23" ht="11.25" customHeight="1" x14ac:dyDescent="0.25">
      <c r="A358" s="4" t="s">
        <v>21</v>
      </c>
      <c r="B358" s="4" t="s">
        <v>22</v>
      </c>
      <c r="C358" s="4" t="s">
        <v>23</v>
      </c>
      <c r="D358" s="4" t="s">
        <v>24</v>
      </c>
      <c r="E358" s="4" t="s">
        <v>30</v>
      </c>
      <c r="F358" s="4" t="s">
        <v>25</v>
      </c>
      <c r="G358" s="4" t="s">
        <v>25</v>
      </c>
      <c r="H358" s="4" t="s">
        <v>25</v>
      </c>
      <c r="I358" s="5">
        <v>44713</v>
      </c>
      <c r="J358" s="6">
        <v>0</v>
      </c>
      <c r="K358" s="6">
        <v>0</v>
      </c>
      <c r="L358" s="6">
        <v>40.932000000000002</v>
      </c>
      <c r="M358" s="6">
        <v>40.932000000000002</v>
      </c>
      <c r="N358" s="6">
        <v>40.932000000000002</v>
      </c>
      <c r="O358" s="6">
        <v>40.932000000000002</v>
      </c>
      <c r="P358" s="6">
        <v>320</v>
      </c>
      <c r="Q358" s="4" t="s">
        <v>26</v>
      </c>
      <c r="R358" s="4">
        <v>0</v>
      </c>
      <c r="S358" s="4" t="s">
        <v>173</v>
      </c>
      <c r="T358" s="4" t="s">
        <v>298</v>
      </c>
      <c r="U358" s="4">
        <v>0</v>
      </c>
      <c r="V358" s="4">
        <v>55</v>
      </c>
      <c r="W358" s="4">
        <v>50</v>
      </c>
    </row>
    <row r="359" spans="1:23" ht="11.25" customHeight="1" x14ac:dyDescent="0.25">
      <c r="A359" s="4" t="s">
        <v>28</v>
      </c>
      <c r="B359" s="4" t="s">
        <v>22</v>
      </c>
      <c r="C359" s="4" t="s">
        <v>23</v>
      </c>
      <c r="D359" s="4" t="s">
        <v>24</v>
      </c>
      <c r="E359" s="4" t="s">
        <v>30</v>
      </c>
      <c r="F359" s="4" t="s">
        <v>25</v>
      </c>
      <c r="G359" s="4" t="s">
        <v>25</v>
      </c>
      <c r="H359" s="4" t="s">
        <v>25</v>
      </c>
      <c r="I359" s="5">
        <v>44713</v>
      </c>
      <c r="J359" s="6">
        <v>0</v>
      </c>
      <c r="K359" s="6">
        <v>0</v>
      </c>
      <c r="L359" s="6">
        <v>0.20200000000000001</v>
      </c>
      <c r="M359" s="6">
        <v>-0.68679999999999997</v>
      </c>
      <c r="N359" s="6">
        <v>0.20200000000000001</v>
      </c>
      <c r="O359" s="6">
        <v>-0.68679999999999997</v>
      </c>
      <c r="P359" s="6">
        <v>1</v>
      </c>
      <c r="Q359" s="4" t="s">
        <v>26</v>
      </c>
      <c r="R359" s="4">
        <v>0</v>
      </c>
      <c r="S359" s="4" t="s">
        <v>173</v>
      </c>
      <c r="T359" s="4" t="s">
        <v>298</v>
      </c>
      <c r="U359" s="4">
        <v>0</v>
      </c>
      <c r="V359" s="4">
        <v>55</v>
      </c>
      <c r="W359" s="4">
        <v>50</v>
      </c>
    </row>
    <row r="360" spans="1:23" ht="11.25" customHeight="1" x14ac:dyDescent="0.25">
      <c r="A360" s="4" t="s">
        <v>21</v>
      </c>
      <c r="B360" s="4" t="s">
        <v>22</v>
      </c>
      <c r="C360" s="4" t="s">
        <v>23</v>
      </c>
      <c r="D360" s="4" t="s">
        <v>24</v>
      </c>
      <c r="E360" s="4" t="s">
        <v>31</v>
      </c>
      <c r="F360" s="4" t="s">
        <v>25</v>
      </c>
      <c r="G360" s="4" t="s">
        <v>25</v>
      </c>
      <c r="H360" s="4" t="s">
        <v>25</v>
      </c>
      <c r="I360" s="5">
        <v>44378</v>
      </c>
      <c r="J360" s="6">
        <v>0</v>
      </c>
      <c r="K360" s="6">
        <v>0</v>
      </c>
      <c r="L360" s="6">
        <v>8.3789999999999996</v>
      </c>
      <c r="M360" s="6">
        <v>8.3789999999999996</v>
      </c>
      <c r="N360" s="6">
        <v>8.3789999999999996</v>
      </c>
      <c r="O360" s="6">
        <v>8.3789999999999996</v>
      </c>
      <c r="P360" s="6">
        <v>106</v>
      </c>
      <c r="Q360" s="4" t="s">
        <v>26</v>
      </c>
      <c r="R360" s="4">
        <v>0</v>
      </c>
      <c r="S360" s="4" t="s">
        <v>174</v>
      </c>
      <c r="T360" s="4" t="s">
        <v>299</v>
      </c>
      <c r="U360" s="4">
        <v>0</v>
      </c>
      <c r="V360" s="4">
        <v>8</v>
      </c>
      <c r="W360" s="4">
        <v>46</v>
      </c>
    </row>
    <row r="361" spans="1:23" ht="11.25" customHeight="1" x14ac:dyDescent="0.25">
      <c r="A361" s="4" t="s">
        <v>21</v>
      </c>
      <c r="B361" s="4" t="s">
        <v>22</v>
      </c>
      <c r="C361" s="4" t="s">
        <v>23</v>
      </c>
      <c r="D361" s="4" t="s">
        <v>24</v>
      </c>
      <c r="E361" s="4" t="s">
        <v>31</v>
      </c>
      <c r="F361" s="4" t="s">
        <v>25</v>
      </c>
      <c r="G361" s="4" t="s">
        <v>25</v>
      </c>
      <c r="H361" s="4" t="s">
        <v>25</v>
      </c>
      <c r="I361" s="5">
        <v>44409</v>
      </c>
      <c r="J361" s="6">
        <v>0</v>
      </c>
      <c r="K361" s="6">
        <v>0</v>
      </c>
      <c r="L361" s="6">
        <v>9.2449999999999992</v>
      </c>
      <c r="M361" s="6">
        <v>9.2449999999999992</v>
      </c>
      <c r="N361" s="6">
        <v>9.2449999999999992</v>
      </c>
      <c r="O361" s="6">
        <v>9.2449999999999992</v>
      </c>
      <c r="P361" s="6">
        <v>117</v>
      </c>
      <c r="Q361" s="4" t="s">
        <v>26</v>
      </c>
      <c r="R361" s="4">
        <v>0</v>
      </c>
      <c r="S361" s="4" t="s">
        <v>175</v>
      </c>
      <c r="T361" s="4" t="s">
        <v>300</v>
      </c>
      <c r="U361" s="4">
        <v>0</v>
      </c>
      <c r="V361" s="4">
        <v>8</v>
      </c>
      <c r="W361" s="4">
        <v>46</v>
      </c>
    </row>
    <row r="362" spans="1:23" ht="11.25" customHeight="1" x14ac:dyDescent="0.25">
      <c r="A362" s="4" t="s">
        <v>21</v>
      </c>
      <c r="B362" s="4" t="s">
        <v>22</v>
      </c>
      <c r="C362" s="4" t="s">
        <v>23</v>
      </c>
      <c r="D362" s="4" t="s">
        <v>24</v>
      </c>
      <c r="E362" s="4" t="s">
        <v>31</v>
      </c>
      <c r="F362" s="4" t="s">
        <v>25</v>
      </c>
      <c r="G362" s="4" t="s">
        <v>25</v>
      </c>
      <c r="H362" s="4" t="s">
        <v>25</v>
      </c>
      <c r="I362" s="5">
        <v>44440</v>
      </c>
      <c r="J362" s="6">
        <v>0</v>
      </c>
      <c r="K362" s="6">
        <v>0</v>
      </c>
      <c r="L362" s="6">
        <v>10.483000000000001</v>
      </c>
      <c r="M362" s="6">
        <v>10.483000000000001</v>
      </c>
      <c r="N362" s="6">
        <v>10.483000000000001</v>
      </c>
      <c r="O362" s="6">
        <v>10.483000000000001</v>
      </c>
      <c r="P362" s="6">
        <v>131</v>
      </c>
      <c r="Q362" s="4" t="s">
        <v>26</v>
      </c>
      <c r="R362" s="4">
        <v>0</v>
      </c>
      <c r="S362" s="4" t="s">
        <v>176</v>
      </c>
      <c r="T362" s="4" t="s">
        <v>301</v>
      </c>
      <c r="U362" s="4">
        <v>0</v>
      </c>
      <c r="V362" s="4">
        <v>8</v>
      </c>
      <c r="W362" s="4">
        <v>46</v>
      </c>
    </row>
    <row r="363" spans="1:23" ht="11.25" customHeight="1" x14ac:dyDescent="0.25">
      <c r="A363" s="4" t="s">
        <v>21</v>
      </c>
      <c r="B363" s="4" t="s">
        <v>22</v>
      </c>
      <c r="C363" s="4" t="s">
        <v>23</v>
      </c>
      <c r="D363" s="4" t="s">
        <v>24</v>
      </c>
      <c r="E363" s="4" t="s">
        <v>31</v>
      </c>
      <c r="F363" s="4" t="s">
        <v>25</v>
      </c>
      <c r="G363" s="4" t="s">
        <v>25</v>
      </c>
      <c r="H363" s="4" t="s">
        <v>25</v>
      </c>
      <c r="I363" s="5">
        <v>44470</v>
      </c>
      <c r="J363" s="6">
        <v>0</v>
      </c>
      <c r="K363" s="6">
        <v>0</v>
      </c>
      <c r="L363" s="6">
        <v>10.374000000000001</v>
      </c>
      <c r="M363" s="6">
        <v>10.374000000000001</v>
      </c>
      <c r="N363" s="6">
        <v>10.374000000000001</v>
      </c>
      <c r="O363" s="6">
        <v>10.374000000000001</v>
      </c>
      <c r="P363" s="6">
        <v>130</v>
      </c>
      <c r="Q363" s="4" t="s">
        <v>26</v>
      </c>
      <c r="R363" s="4">
        <v>0</v>
      </c>
      <c r="S363" s="4" t="s">
        <v>177</v>
      </c>
      <c r="T363" s="4" t="s">
        <v>302</v>
      </c>
      <c r="U363" s="4">
        <v>0</v>
      </c>
      <c r="V363" s="4">
        <v>8</v>
      </c>
      <c r="W363" s="4">
        <v>46</v>
      </c>
    </row>
    <row r="364" spans="1:23" ht="11.25" customHeight="1" x14ac:dyDescent="0.25">
      <c r="A364" s="4" t="s">
        <v>21</v>
      </c>
      <c r="B364" s="4" t="s">
        <v>22</v>
      </c>
      <c r="C364" s="4" t="s">
        <v>23</v>
      </c>
      <c r="D364" s="4" t="s">
        <v>24</v>
      </c>
      <c r="E364" s="4" t="s">
        <v>31</v>
      </c>
      <c r="F364" s="4" t="s">
        <v>25</v>
      </c>
      <c r="G364" s="4" t="s">
        <v>25</v>
      </c>
      <c r="H364" s="4" t="s">
        <v>25</v>
      </c>
      <c r="I364" s="5">
        <v>44501</v>
      </c>
      <c r="J364" s="6">
        <v>0</v>
      </c>
      <c r="K364" s="6">
        <v>0</v>
      </c>
      <c r="L364" s="6">
        <v>12.676</v>
      </c>
      <c r="M364" s="6">
        <v>12.676</v>
      </c>
      <c r="N364" s="6">
        <v>12.676</v>
      </c>
      <c r="O364" s="6">
        <v>12.676</v>
      </c>
      <c r="P364" s="6">
        <v>130</v>
      </c>
      <c r="Q364" s="4" t="s">
        <v>26</v>
      </c>
      <c r="R364" s="4">
        <v>0</v>
      </c>
      <c r="S364" s="4" t="s">
        <v>178</v>
      </c>
      <c r="T364" s="4" t="s">
        <v>303</v>
      </c>
      <c r="U364" s="4">
        <v>0</v>
      </c>
      <c r="V364" s="4">
        <v>8</v>
      </c>
      <c r="W364" s="4">
        <v>46</v>
      </c>
    </row>
    <row r="365" spans="1:23" ht="11.25" customHeight="1" x14ac:dyDescent="0.25">
      <c r="A365" s="4" t="s">
        <v>21</v>
      </c>
      <c r="B365" s="4" t="s">
        <v>22</v>
      </c>
      <c r="C365" s="4" t="s">
        <v>23</v>
      </c>
      <c r="D365" s="4" t="s">
        <v>24</v>
      </c>
      <c r="E365" s="4" t="s">
        <v>31</v>
      </c>
      <c r="F365" s="4" t="s">
        <v>25</v>
      </c>
      <c r="G365" s="4" t="s">
        <v>25</v>
      </c>
      <c r="H365" s="4" t="s">
        <v>25</v>
      </c>
      <c r="I365" s="5">
        <v>44531</v>
      </c>
      <c r="J365" s="6">
        <v>0</v>
      </c>
      <c r="K365" s="6">
        <v>0</v>
      </c>
      <c r="L365" s="6">
        <v>13.093</v>
      </c>
      <c r="M365" s="6">
        <v>13.093</v>
      </c>
      <c r="N365" s="6">
        <v>13.093</v>
      </c>
      <c r="O365" s="6">
        <v>13.093</v>
      </c>
      <c r="P365" s="6">
        <v>143</v>
      </c>
      <c r="Q365" s="4" t="s">
        <v>26</v>
      </c>
      <c r="R365" s="4">
        <v>0</v>
      </c>
      <c r="S365" s="4" t="s">
        <v>179</v>
      </c>
      <c r="T365" s="4" t="s">
        <v>304</v>
      </c>
      <c r="U365" s="4">
        <v>0</v>
      </c>
      <c r="V365" s="4">
        <v>8</v>
      </c>
      <c r="W365" s="4">
        <v>46</v>
      </c>
    </row>
    <row r="366" spans="1:23" ht="11.25" customHeight="1" x14ac:dyDescent="0.25">
      <c r="A366" s="4" t="s">
        <v>28</v>
      </c>
      <c r="B366" s="4" t="s">
        <v>22</v>
      </c>
      <c r="C366" s="4" t="s">
        <v>23</v>
      </c>
      <c r="D366" s="4" t="s">
        <v>24</v>
      </c>
      <c r="E366" s="4" t="s">
        <v>31</v>
      </c>
      <c r="F366" s="4" t="s">
        <v>25</v>
      </c>
      <c r="G366" s="4" t="s">
        <v>25</v>
      </c>
      <c r="H366" s="4" t="s">
        <v>25</v>
      </c>
      <c r="I366" s="5">
        <v>44531</v>
      </c>
      <c r="J366" s="6">
        <v>0</v>
      </c>
      <c r="K366" s="6">
        <v>0</v>
      </c>
      <c r="L366" s="6">
        <v>0.13</v>
      </c>
      <c r="M366" s="6">
        <v>9.0999999999999998E-2</v>
      </c>
      <c r="N366" s="6">
        <v>0.13</v>
      </c>
      <c r="O366" s="6">
        <v>9.0999999999999998E-2</v>
      </c>
      <c r="P366" s="6">
        <v>1</v>
      </c>
      <c r="Q366" s="4" t="s">
        <v>26</v>
      </c>
      <c r="R366" s="4">
        <v>0</v>
      </c>
      <c r="S366" s="4" t="s">
        <v>179</v>
      </c>
      <c r="T366" s="4" t="s">
        <v>304</v>
      </c>
      <c r="U366" s="4">
        <v>0</v>
      </c>
      <c r="V366" s="4">
        <v>8</v>
      </c>
      <c r="W366" s="4">
        <v>46</v>
      </c>
    </row>
    <row r="367" spans="1:23" ht="11.25" customHeight="1" x14ac:dyDescent="0.25">
      <c r="A367" s="4" t="s">
        <v>21</v>
      </c>
      <c r="B367" s="4" t="s">
        <v>22</v>
      </c>
      <c r="C367" s="4" t="s">
        <v>23</v>
      </c>
      <c r="D367" s="4" t="s">
        <v>24</v>
      </c>
      <c r="E367" s="4" t="s">
        <v>31</v>
      </c>
      <c r="F367" s="4" t="s">
        <v>25</v>
      </c>
      <c r="G367" s="4" t="s">
        <v>25</v>
      </c>
      <c r="H367" s="4" t="s">
        <v>25</v>
      </c>
      <c r="I367" s="5">
        <v>44562</v>
      </c>
      <c r="J367" s="6">
        <v>0</v>
      </c>
      <c r="K367" s="6">
        <v>0</v>
      </c>
      <c r="L367" s="6">
        <v>16.968</v>
      </c>
      <c r="M367" s="6">
        <v>16.968</v>
      </c>
      <c r="N367" s="6">
        <v>16.968</v>
      </c>
      <c r="O367" s="6">
        <v>16.968</v>
      </c>
      <c r="P367" s="6">
        <v>144</v>
      </c>
      <c r="Q367" s="4" t="s">
        <v>26</v>
      </c>
      <c r="R367" s="4">
        <v>0</v>
      </c>
      <c r="S367" s="4" t="s">
        <v>180</v>
      </c>
      <c r="T367" s="4" t="s">
        <v>305</v>
      </c>
      <c r="U367" s="4">
        <v>0</v>
      </c>
      <c r="V367" s="4">
        <v>8</v>
      </c>
      <c r="W367" s="4">
        <v>46</v>
      </c>
    </row>
    <row r="368" spans="1:23" ht="11.25" customHeight="1" x14ac:dyDescent="0.25">
      <c r="A368" s="4" t="s">
        <v>28</v>
      </c>
      <c r="B368" s="4" t="s">
        <v>22</v>
      </c>
      <c r="C368" s="4" t="s">
        <v>23</v>
      </c>
      <c r="D368" s="4" t="s">
        <v>24</v>
      </c>
      <c r="E368" s="4" t="s">
        <v>31</v>
      </c>
      <c r="F368" s="4" t="s">
        <v>25</v>
      </c>
      <c r="G368" s="4" t="s">
        <v>25</v>
      </c>
      <c r="H368" s="4" t="s">
        <v>25</v>
      </c>
      <c r="I368" s="5">
        <v>44562</v>
      </c>
      <c r="J368" s="6">
        <v>0</v>
      </c>
      <c r="K368" s="6">
        <v>0</v>
      </c>
      <c r="L368" s="6">
        <v>0.18</v>
      </c>
      <c r="M368" s="6">
        <v>0.126</v>
      </c>
      <c r="N368" s="6">
        <v>0.18</v>
      </c>
      <c r="O368" s="6">
        <v>0.126</v>
      </c>
      <c r="P368" s="6">
        <v>0</v>
      </c>
      <c r="Q368" s="4" t="s">
        <v>26</v>
      </c>
      <c r="R368" s="4">
        <v>0</v>
      </c>
      <c r="S368" s="4" t="s">
        <v>180</v>
      </c>
      <c r="T368" s="4" t="s">
        <v>305</v>
      </c>
      <c r="U368" s="4">
        <v>0</v>
      </c>
      <c r="V368" s="4">
        <v>8</v>
      </c>
      <c r="W368" s="4">
        <v>46</v>
      </c>
    </row>
    <row r="369" spans="1:23" ht="11.25" customHeight="1" x14ac:dyDescent="0.25">
      <c r="A369" s="4" t="s">
        <v>21</v>
      </c>
      <c r="B369" s="4" t="s">
        <v>22</v>
      </c>
      <c r="C369" s="4" t="s">
        <v>23</v>
      </c>
      <c r="D369" s="4" t="s">
        <v>24</v>
      </c>
      <c r="E369" s="4" t="s">
        <v>31</v>
      </c>
      <c r="F369" s="4" t="s">
        <v>25</v>
      </c>
      <c r="G369" s="4" t="s">
        <v>25</v>
      </c>
      <c r="H369" s="4" t="s">
        <v>25</v>
      </c>
      <c r="I369" s="5">
        <v>44593</v>
      </c>
      <c r="J369" s="6">
        <v>0</v>
      </c>
      <c r="K369" s="6">
        <v>0</v>
      </c>
      <c r="L369" s="6">
        <v>18.715</v>
      </c>
      <c r="M369" s="6">
        <v>18.715</v>
      </c>
      <c r="N369" s="6">
        <v>18.715</v>
      </c>
      <c r="O369" s="6">
        <v>18.715</v>
      </c>
      <c r="P369" s="6">
        <v>138</v>
      </c>
      <c r="Q369" s="4" t="s">
        <v>26</v>
      </c>
      <c r="R369" s="4">
        <v>0</v>
      </c>
      <c r="S369" s="4" t="s">
        <v>181</v>
      </c>
      <c r="T369" s="4" t="s">
        <v>306</v>
      </c>
      <c r="U369" s="4">
        <v>0</v>
      </c>
      <c r="V369" s="4">
        <v>8</v>
      </c>
      <c r="W369" s="4">
        <v>46</v>
      </c>
    </row>
    <row r="370" spans="1:23" ht="11.25" customHeight="1" x14ac:dyDescent="0.25">
      <c r="A370" s="4" t="s">
        <v>28</v>
      </c>
      <c r="B370" s="4" t="s">
        <v>22</v>
      </c>
      <c r="C370" s="4" t="s">
        <v>23</v>
      </c>
      <c r="D370" s="4" t="s">
        <v>24</v>
      </c>
      <c r="E370" s="4" t="s">
        <v>31</v>
      </c>
      <c r="F370" s="4" t="s">
        <v>25</v>
      </c>
      <c r="G370" s="4" t="s">
        <v>25</v>
      </c>
      <c r="H370" s="4" t="s">
        <v>25</v>
      </c>
      <c r="I370" s="5">
        <v>44593</v>
      </c>
      <c r="J370" s="6">
        <v>0</v>
      </c>
      <c r="K370" s="6">
        <v>0</v>
      </c>
      <c r="L370" s="6">
        <v>0.24</v>
      </c>
      <c r="M370" s="6">
        <v>0.16800000000000001</v>
      </c>
      <c r="N370" s="6">
        <v>0.24</v>
      </c>
      <c r="O370" s="6">
        <v>0.16800000000000001</v>
      </c>
      <c r="P370" s="6">
        <v>0</v>
      </c>
      <c r="Q370" s="4" t="s">
        <v>26</v>
      </c>
      <c r="R370" s="4">
        <v>0</v>
      </c>
      <c r="S370" s="4" t="s">
        <v>181</v>
      </c>
      <c r="T370" s="4" t="s">
        <v>306</v>
      </c>
      <c r="U370" s="4">
        <v>0</v>
      </c>
      <c r="V370" s="4">
        <v>8</v>
      </c>
      <c r="W370" s="4">
        <v>46</v>
      </c>
    </row>
    <row r="371" spans="1:23" ht="11.25" customHeight="1" x14ac:dyDescent="0.25">
      <c r="A371" s="4" t="s">
        <v>21</v>
      </c>
      <c r="B371" s="4" t="s">
        <v>22</v>
      </c>
      <c r="C371" s="4" t="s">
        <v>23</v>
      </c>
      <c r="D371" s="4" t="s">
        <v>24</v>
      </c>
      <c r="E371" s="4" t="s">
        <v>31</v>
      </c>
      <c r="F371" s="4" t="s">
        <v>25</v>
      </c>
      <c r="G371" s="4" t="s">
        <v>25</v>
      </c>
      <c r="H371" s="4" t="s">
        <v>25</v>
      </c>
      <c r="I371" s="5">
        <v>44621</v>
      </c>
      <c r="J371" s="6">
        <v>0</v>
      </c>
      <c r="K371" s="6">
        <v>0</v>
      </c>
      <c r="L371" s="6">
        <v>18.001999999999999</v>
      </c>
      <c r="M371" s="6">
        <v>18.001999999999999</v>
      </c>
      <c r="N371" s="6">
        <v>18.001999999999999</v>
      </c>
      <c r="O371" s="6">
        <v>18.001999999999999</v>
      </c>
      <c r="P371" s="6">
        <v>157</v>
      </c>
      <c r="Q371" s="4" t="s">
        <v>26</v>
      </c>
      <c r="R371" s="4">
        <v>0</v>
      </c>
      <c r="S371" s="4" t="s">
        <v>182</v>
      </c>
      <c r="T371" s="4" t="s">
        <v>307</v>
      </c>
      <c r="U371" s="4">
        <v>0</v>
      </c>
      <c r="V371" s="4">
        <v>8</v>
      </c>
      <c r="W371" s="4">
        <v>46</v>
      </c>
    </row>
    <row r="372" spans="1:23" ht="11.25" customHeight="1" x14ac:dyDescent="0.25">
      <c r="A372" s="4" t="s">
        <v>28</v>
      </c>
      <c r="B372" s="4" t="s">
        <v>22</v>
      </c>
      <c r="C372" s="4" t="s">
        <v>23</v>
      </c>
      <c r="D372" s="4" t="s">
        <v>24</v>
      </c>
      <c r="E372" s="4" t="s">
        <v>31</v>
      </c>
      <c r="F372" s="4" t="s">
        <v>25</v>
      </c>
      <c r="G372" s="4" t="s">
        <v>25</v>
      </c>
      <c r="H372" s="4" t="s">
        <v>25</v>
      </c>
      <c r="I372" s="5">
        <v>44621</v>
      </c>
      <c r="J372" s="6">
        <v>0</v>
      </c>
      <c r="K372" s="6">
        <v>0</v>
      </c>
      <c r="L372" s="6">
        <v>0.22800000000000001</v>
      </c>
      <c r="M372" s="6">
        <v>0.1368</v>
      </c>
      <c r="N372" s="6">
        <v>0.22800000000000001</v>
      </c>
      <c r="O372" s="6">
        <v>0.1368</v>
      </c>
      <c r="P372" s="6">
        <v>0</v>
      </c>
      <c r="Q372" s="4" t="s">
        <v>26</v>
      </c>
      <c r="R372" s="4">
        <v>0</v>
      </c>
      <c r="S372" s="4" t="s">
        <v>182</v>
      </c>
      <c r="T372" s="4" t="s">
        <v>307</v>
      </c>
      <c r="U372" s="4">
        <v>0</v>
      </c>
      <c r="V372" s="4">
        <v>8</v>
      </c>
      <c r="W372" s="4">
        <v>46</v>
      </c>
    </row>
    <row r="373" spans="1:23" ht="11.25" customHeight="1" x14ac:dyDescent="0.25">
      <c r="A373" s="4" t="s">
        <v>21</v>
      </c>
      <c r="B373" s="4" t="s">
        <v>22</v>
      </c>
      <c r="C373" s="4" t="s">
        <v>23</v>
      </c>
      <c r="D373" s="4" t="s">
        <v>24</v>
      </c>
      <c r="E373" s="4" t="s">
        <v>31</v>
      </c>
      <c r="F373" s="4" t="s">
        <v>25</v>
      </c>
      <c r="G373" s="4" t="s">
        <v>25</v>
      </c>
      <c r="H373" s="4" t="s">
        <v>25</v>
      </c>
      <c r="I373" s="5">
        <v>44652</v>
      </c>
      <c r="J373" s="6">
        <v>0</v>
      </c>
      <c r="K373" s="6">
        <v>0</v>
      </c>
      <c r="L373" s="6">
        <v>28.111999999999998</v>
      </c>
      <c r="M373" s="6">
        <v>28.111999999999998</v>
      </c>
      <c r="N373" s="6">
        <v>28.111999999999998</v>
      </c>
      <c r="O373" s="6">
        <v>28.111999999999998</v>
      </c>
      <c r="P373" s="6">
        <v>353</v>
      </c>
      <c r="Q373" s="4" t="s">
        <v>26</v>
      </c>
      <c r="R373" s="4">
        <v>0</v>
      </c>
      <c r="S373" s="4" t="s">
        <v>183</v>
      </c>
      <c r="T373" s="4" t="s">
        <v>308</v>
      </c>
      <c r="U373" s="4">
        <v>0</v>
      </c>
      <c r="V373" s="4">
        <v>8</v>
      </c>
      <c r="W373" s="4">
        <v>46</v>
      </c>
    </row>
    <row r="374" spans="1:23" ht="11.25" customHeight="1" x14ac:dyDescent="0.25">
      <c r="A374" s="4" t="s">
        <v>21</v>
      </c>
      <c r="B374" s="4" t="s">
        <v>22</v>
      </c>
      <c r="C374" s="4" t="s">
        <v>23</v>
      </c>
      <c r="D374" s="4" t="s">
        <v>24</v>
      </c>
      <c r="E374" s="4" t="s">
        <v>31</v>
      </c>
      <c r="F374" s="4" t="s">
        <v>25</v>
      </c>
      <c r="G374" s="4" t="s">
        <v>25</v>
      </c>
      <c r="H374" s="4" t="s">
        <v>25</v>
      </c>
      <c r="I374" s="5">
        <v>44682</v>
      </c>
      <c r="J374" s="6">
        <v>0</v>
      </c>
      <c r="K374" s="6">
        <v>0</v>
      </c>
      <c r="L374" s="6">
        <v>25.114999999999998</v>
      </c>
      <c r="M374" s="6">
        <v>25.114999999999998</v>
      </c>
      <c r="N374" s="6">
        <v>25.114999999999998</v>
      </c>
      <c r="O374" s="6">
        <v>25.114999999999998</v>
      </c>
      <c r="P374" s="6">
        <v>363</v>
      </c>
      <c r="Q374" s="4" t="s">
        <v>26</v>
      </c>
      <c r="R374" s="4">
        <v>0</v>
      </c>
      <c r="S374" s="4" t="s">
        <v>184</v>
      </c>
      <c r="T374" s="4" t="s">
        <v>309</v>
      </c>
      <c r="U374" s="4">
        <v>0</v>
      </c>
      <c r="V374" s="4">
        <v>8</v>
      </c>
      <c r="W374" s="4">
        <v>46</v>
      </c>
    </row>
    <row r="375" spans="1:23" ht="11.25" customHeight="1" x14ac:dyDescent="0.25">
      <c r="A375" s="4" t="s">
        <v>27</v>
      </c>
      <c r="B375" s="4" t="s">
        <v>22</v>
      </c>
      <c r="C375" s="4" t="s">
        <v>23</v>
      </c>
      <c r="D375" s="4" t="s">
        <v>24</v>
      </c>
      <c r="E375" s="4" t="s">
        <v>31</v>
      </c>
      <c r="F375" s="4" t="s">
        <v>25</v>
      </c>
      <c r="G375" s="4" t="s">
        <v>25</v>
      </c>
      <c r="H375" s="4" t="s">
        <v>25</v>
      </c>
      <c r="I375" s="5">
        <v>44682</v>
      </c>
      <c r="J375" s="6">
        <v>0</v>
      </c>
      <c r="K375" s="6">
        <v>0</v>
      </c>
      <c r="L375" s="6">
        <v>-0.12</v>
      </c>
      <c r="M375" s="6">
        <v>-0.12</v>
      </c>
      <c r="N375" s="6">
        <v>-0.12</v>
      </c>
      <c r="O375" s="6">
        <v>-0.12</v>
      </c>
      <c r="P375" s="6">
        <v>0</v>
      </c>
      <c r="Q375" s="4" t="s">
        <v>26</v>
      </c>
      <c r="R375" s="4">
        <v>0</v>
      </c>
      <c r="S375" s="4" t="s">
        <v>184</v>
      </c>
      <c r="T375" s="4" t="s">
        <v>309</v>
      </c>
      <c r="U375" s="4">
        <v>0</v>
      </c>
      <c r="V375" s="4">
        <v>8</v>
      </c>
      <c r="W375" s="4">
        <v>46</v>
      </c>
    </row>
    <row r="376" spans="1:23" ht="11.25" customHeight="1" x14ac:dyDescent="0.25">
      <c r="A376" s="4" t="s">
        <v>28</v>
      </c>
      <c r="B376" s="4" t="s">
        <v>22</v>
      </c>
      <c r="C376" s="4" t="s">
        <v>23</v>
      </c>
      <c r="D376" s="4" t="s">
        <v>24</v>
      </c>
      <c r="E376" s="4" t="s">
        <v>31</v>
      </c>
      <c r="F376" s="4" t="s">
        <v>25</v>
      </c>
      <c r="G376" s="4" t="s">
        <v>25</v>
      </c>
      <c r="H376" s="4" t="s">
        <v>25</v>
      </c>
      <c r="I376" s="5">
        <v>44682</v>
      </c>
      <c r="J376" s="6">
        <v>0</v>
      </c>
      <c r="K376" s="6">
        <v>0</v>
      </c>
      <c r="L376" s="6">
        <v>8.9999999999999993E-3</v>
      </c>
      <c r="M376" s="6">
        <v>8.9999999999999998E-4</v>
      </c>
      <c r="N376" s="6">
        <v>8.9999999999999993E-3</v>
      </c>
      <c r="O376" s="6">
        <v>8.9999999999999998E-4</v>
      </c>
      <c r="P376" s="6">
        <v>6</v>
      </c>
      <c r="Q376" s="4" t="s">
        <v>26</v>
      </c>
      <c r="R376" s="4">
        <v>0</v>
      </c>
      <c r="S376" s="4" t="s">
        <v>184</v>
      </c>
      <c r="T376" s="4" t="s">
        <v>309</v>
      </c>
      <c r="U376" s="4">
        <v>0</v>
      </c>
      <c r="V376" s="4">
        <v>8</v>
      </c>
      <c r="W376" s="4">
        <v>46</v>
      </c>
    </row>
    <row r="377" spans="1:23" ht="11.25" customHeight="1" x14ac:dyDescent="0.25">
      <c r="A377" s="4" t="s">
        <v>21</v>
      </c>
      <c r="B377" s="4" t="s">
        <v>22</v>
      </c>
      <c r="C377" s="4" t="s">
        <v>23</v>
      </c>
      <c r="D377" s="4" t="s">
        <v>24</v>
      </c>
      <c r="E377" s="4" t="s">
        <v>31</v>
      </c>
      <c r="F377" s="4" t="s">
        <v>25</v>
      </c>
      <c r="G377" s="4" t="s">
        <v>25</v>
      </c>
      <c r="H377" s="4" t="s">
        <v>25</v>
      </c>
      <c r="I377" s="5">
        <v>44713</v>
      </c>
      <c r="J377" s="6">
        <v>0</v>
      </c>
      <c r="K377" s="6">
        <v>0</v>
      </c>
      <c r="L377" s="6">
        <v>23.856999999999999</v>
      </c>
      <c r="M377" s="6">
        <v>23.856999999999999</v>
      </c>
      <c r="N377" s="6">
        <v>23.856999999999999</v>
      </c>
      <c r="O377" s="6">
        <v>23.856999999999999</v>
      </c>
      <c r="P377" s="6">
        <v>344</v>
      </c>
      <c r="Q377" s="4" t="s">
        <v>26</v>
      </c>
      <c r="R377" s="4">
        <v>0</v>
      </c>
      <c r="S377" s="4" t="s">
        <v>185</v>
      </c>
      <c r="T377" s="4" t="s">
        <v>310</v>
      </c>
      <c r="U377" s="4">
        <v>0</v>
      </c>
      <c r="V377" s="4">
        <v>8</v>
      </c>
      <c r="W377" s="4">
        <v>46</v>
      </c>
    </row>
    <row r="378" spans="1:23" ht="11.25" customHeight="1" x14ac:dyDescent="0.25">
      <c r="A378" s="4" t="s">
        <v>28</v>
      </c>
      <c r="B378" s="4" t="s">
        <v>22</v>
      </c>
      <c r="C378" s="4" t="s">
        <v>23</v>
      </c>
      <c r="D378" s="4" t="s">
        <v>24</v>
      </c>
      <c r="E378" s="4" t="s">
        <v>31</v>
      </c>
      <c r="F378" s="4" t="s">
        <v>25</v>
      </c>
      <c r="G378" s="4" t="s">
        <v>25</v>
      </c>
      <c r="H378" s="4" t="s">
        <v>25</v>
      </c>
      <c r="I378" s="5">
        <v>44713</v>
      </c>
      <c r="J378" s="6">
        <v>0</v>
      </c>
      <c r="K378" s="6">
        <v>0</v>
      </c>
      <c r="L378" s="6">
        <v>3.5999999999999997E-2</v>
      </c>
      <c r="M378" s="6">
        <v>0</v>
      </c>
      <c r="N378" s="6">
        <v>3.5999999999999997E-2</v>
      </c>
      <c r="O378" s="6">
        <v>0</v>
      </c>
      <c r="P378" s="6">
        <v>6</v>
      </c>
      <c r="Q378" s="4" t="s">
        <v>26</v>
      </c>
      <c r="R378" s="4">
        <v>0</v>
      </c>
      <c r="S378" s="4" t="s">
        <v>185</v>
      </c>
      <c r="T378" s="4" t="s">
        <v>310</v>
      </c>
      <c r="U378" s="4">
        <v>0</v>
      </c>
      <c r="V378" s="4">
        <v>8</v>
      </c>
      <c r="W378" s="4">
        <v>46</v>
      </c>
    </row>
    <row r="379" spans="1:23" ht="11.25" customHeight="1" x14ac:dyDescent="0.25">
      <c r="A379" s="4" t="s">
        <v>21</v>
      </c>
      <c r="B379" s="4" t="s">
        <v>22</v>
      </c>
      <c r="C379" s="4" t="s">
        <v>23</v>
      </c>
      <c r="D379" s="4" t="s">
        <v>24</v>
      </c>
      <c r="E379" s="4" t="s">
        <v>32</v>
      </c>
      <c r="F379" s="4" t="s">
        <v>25</v>
      </c>
      <c r="G379" s="4" t="s">
        <v>25</v>
      </c>
      <c r="H379" s="4" t="s">
        <v>25</v>
      </c>
      <c r="I379" s="5">
        <v>44378</v>
      </c>
      <c r="J379" s="6">
        <v>0</v>
      </c>
      <c r="K379" s="6">
        <v>0</v>
      </c>
      <c r="L379" s="6">
        <v>1.22</v>
      </c>
      <c r="M379" s="6">
        <v>1.22</v>
      </c>
      <c r="N379" s="6">
        <v>1.22</v>
      </c>
      <c r="O379" s="6">
        <v>1.22</v>
      </c>
      <c r="P379" s="6">
        <v>24</v>
      </c>
      <c r="Q379" s="4" t="s">
        <v>26</v>
      </c>
      <c r="R379" s="4">
        <v>0</v>
      </c>
      <c r="S379" s="4" t="s">
        <v>186</v>
      </c>
      <c r="T379" s="4" t="s">
        <v>311</v>
      </c>
      <c r="U379" s="4">
        <v>0</v>
      </c>
      <c r="V379" s="4">
        <v>14</v>
      </c>
      <c r="W379" s="4">
        <v>86</v>
      </c>
    </row>
    <row r="380" spans="1:23" ht="11.25" customHeight="1" x14ac:dyDescent="0.25">
      <c r="A380" s="4" t="s">
        <v>21</v>
      </c>
      <c r="B380" s="4" t="s">
        <v>22</v>
      </c>
      <c r="C380" s="4" t="s">
        <v>23</v>
      </c>
      <c r="D380" s="4" t="s">
        <v>24</v>
      </c>
      <c r="E380" s="4" t="s">
        <v>32</v>
      </c>
      <c r="F380" s="4" t="s">
        <v>25</v>
      </c>
      <c r="G380" s="4" t="s">
        <v>25</v>
      </c>
      <c r="H380" s="4" t="s">
        <v>25</v>
      </c>
      <c r="I380" s="5">
        <v>44409</v>
      </c>
      <c r="J380" s="6">
        <v>0</v>
      </c>
      <c r="K380" s="6">
        <v>0</v>
      </c>
      <c r="L380" s="6">
        <v>1.6419999999999999</v>
      </c>
      <c r="M380" s="6">
        <v>1.6419999999999999</v>
      </c>
      <c r="N380" s="6">
        <v>1.6419999999999999</v>
      </c>
      <c r="O380" s="6">
        <v>1.6419999999999999</v>
      </c>
      <c r="P380" s="6">
        <v>29</v>
      </c>
      <c r="Q380" s="4" t="s">
        <v>26</v>
      </c>
      <c r="R380" s="4">
        <v>0</v>
      </c>
      <c r="S380" s="4" t="s">
        <v>187</v>
      </c>
      <c r="T380" s="4" t="s">
        <v>312</v>
      </c>
      <c r="U380" s="4">
        <v>0</v>
      </c>
      <c r="V380" s="4">
        <v>14</v>
      </c>
      <c r="W380" s="4">
        <v>86</v>
      </c>
    </row>
    <row r="381" spans="1:23" ht="11.25" customHeight="1" x14ac:dyDescent="0.25">
      <c r="A381" s="4" t="s">
        <v>21</v>
      </c>
      <c r="B381" s="4" t="s">
        <v>22</v>
      </c>
      <c r="C381" s="4" t="s">
        <v>23</v>
      </c>
      <c r="D381" s="4" t="s">
        <v>24</v>
      </c>
      <c r="E381" s="4" t="s">
        <v>32</v>
      </c>
      <c r="F381" s="4" t="s">
        <v>25</v>
      </c>
      <c r="G381" s="4" t="s">
        <v>25</v>
      </c>
      <c r="H381" s="4" t="s">
        <v>25</v>
      </c>
      <c r="I381" s="5">
        <v>44440</v>
      </c>
      <c r="J381" s="6">
        <v>0</v>
      </c>
      <c r="K381" s="6">
        <v>0</v>
      </c>
      <c r="L381" s="6">
        <v>2.2559999999999998</v>
      </c>
      <c r="M381" s="6">
        <v>2.2559999999999998</v>
      </c>
      <c r="N381" s="6">
        <v>2.2559999999999998</v>
      </c>
      <c r="O381" s="6">
        <v>2.2559999999999998</v>
      </c>
      <c r="P381" s="6">
        <v>27</v>
      </c>
      <c r="Q381" s="4" t="s">
        <v>26</v>
      </c>
      <c r="R381" s="4">
        <v>0</v>
      </c>
      <c r="S381" s="4" t="s">
        <v>188</v>
      </c>
      <c r="T381" s="4" t="s">
        <v>313</v>
      </c>
      <c r="U381" s="4">
        <v>0</v>
      </c>
      <c r="V381" s="4">
        <v>14</v>
      </c>
      <c r="W381" s="4">
        <v>86</v>
      </c>
    </row>
    <row r="382" spans="1:23" ht="11.25" customHeight="1" x14ac:dyDescent="0.25">
      <c r="A382" s="4" t="s">
        <v>21</v>
      </c>
      <c r="B382" s="4" t="s">
        <v>22</v>
      </c>
      <c r="C382" s="4" t="s">
        <v>23</v>
      </c>
      <c r="D382" s="4" t="s">
        <v>24</v>
      </c>
      <c r="E382" s="4" t="s">
        <v>32</v>
      </c>
      <c r="F382" s="4" t="s">
        <v>25</v>
      </c>
      <c r="G382" s="4" t="s">
        <v>25</v>
      </c>
      <c r="H382" s="4" t="s">
        <v>25</v>
      </c>
      <c r="I382" s="5">
        <v>44470</v>
      </c>
      <c r="J382" s="6">
        <v>0</v>
      </c>
      <c r="K382" s="6">
        <v>0</v>
      </c>
      <c r="L382" s="6">
        <v>1.8440000000000001</v>
      </c>
      <c r="M382" s="6">
        <v>1.8440000000000001</v>
      </c>
      <c r="N382" s="6">
        <v>1.8440000000000001</v>
      </c>
      <c r="O382" s="6">
        <v>1.8440000000000001</v>
      </c>
      <c r="P382" s="6">
        <v>30</v>
      </c>
      <c r="Q382" s="4" t="s">
        <v>26</v>
      </c>
      <c r="R382" s="4">
        <v>0</v>
      </c>
      <c r="S382" s="4" t="s">
        <v>189</v>
      </c>
      <c r="T382" s="4" t="s">
        <v>314</v>
      </c>
      <c r="U382" s="4">
        <v>0</v>
      </c>
      <c r="V382" s="4">
        <v>14</v>
      </c>
      <c r="W382" s="4">
        <v>86</v>
      </c>
    </row>
    <row r="383" spans="1:23" ht="11.25" customHeight="1" x14ac:dyDescent="0.25">
      <c r="A383" s="4" t="s">
        <v>21</v>
      </c>
      <c r="B383" s="4" t="s">
        <v>22</v>
      </c>
      <c r="C383" s="4" t="s">
        <v>23</v>
      </c>
      <c r="D383" s="4" t="s">
        <v>24</v>
      </c>
      <c r="E383" s="4" t="s">
        <v>32</v>
      </c>
      <c r="F383" s="4" t="s">
        <v>25</v>
      </c>
      <c r="G383" s="4" t="s">
        <v>25</v>
      </c>
      <c r="H383" s="4" t="s">
        <v>25</v>
      </c>
      <c r="I383" s="5">
        <v>44501</v>
      </c>
      <c r="J383" s="6">
        <v>0</v>
      </c>
      <c r="K383" s="6">
        <v>0</v>
      </c>
      <c r="L383" s="6">
        <v>3.5609999999999999</v>
      </c>
      <c r="M383" s="6">
        <v>3.5609999999999999</v>
      </c>
      <c r="N383" s="6">
        <v>3.5609999999999999</v>
      </c>
      <c r="O383" s="6">
        <v>3.5609999999999999</v>
      </c>
      <c r="P383" s="6">
        <v>50</v>
      </c>
      <c r="Q383" s="4" t="s">
        <v>26</v>
      </c>
      <c r="R383" s="4">
        <v>0</v>
      </c>
      <c r="S383" s="4" t="s">
        <v>190</v>
      </c>
      <c r="T383" s="4" t="s">
        <v>315</v>
      </c>
      <c r="U383" s="4">
        <v>0</v>
      </c>
      <c r="V383" s="4">
        <v>14</v>
      </c>
      <c r="W383" s="4">
        <v>86</v>
      </c>
    </row>
    <row r="384" spans="1:23" ht="11.25" customHeight="1" x14ac:dyDescent="0.25">
      <c r="A384" s="4" t="s">
        <v>21</v>
      </c>
      <c r="B384" s="4" t="s">
        <v>22</v>
      </c>
      <c r="C384" s="4" t="s">
        <v>23</v>
      </c>
      <c r="D384" s="4" t="s">
        <v>24</v>
      </c>
      <c r="E384" s="4" t="s">
        <v>32</v>
      </c>
      <c r="F384" s="4" t="s">
        <v>25</v>
      </c>
      <c r="G384" s="4" t="s">
        <v>25</v>
      </c>
      <c r="H384" s="4" t="s">
        <v>25</v>
      </c>
      <c r="I384" s="5">
        <v>44531</v>
      </c>
      <c r="J384" s="6">
        <v>0</v>
      </c>
      <c r="K384" s="6">
        <v>0</v>
      </c>
      <c r="L384" s="6">
        <v>4.069</v>
      </c>
      <c r="M384" s="6">
        <v>4.069</v>
      </c>
      <c r="N384" s="6">
        <v>4.069</v>
      </c>
      <c r="O384" s="6">
        <v>4.069</v>
      </c>
      <c r="P384" s="6">
        <v>46</v>
      </c>
      <c r="Q384" s="4" t="s">
        <v>26</v>
      </c>
      <c r="R384" s="4">
        <v>0</v>
      </c>
      <c r="S384" s="4" t="s">
        <v>191</v>
      </c>
      <c r="T384" s="4" t="s">
        <v>316</v>
      </c>
      <c r="U384" s="4">
        <v>0</v>
      </c>
      <c r="V384" s="4">
        <v>14</v>
      </c>
      <c r="W384" s="4">
        <v>86</v>
      </c>
    </row>
    <row r="385" spans="1:23" ht="11.25" customHeight="1" x14ac:dyDescent="0.25">
      <c r="A385" s="4" t="s">
        <v>21</v>
      </c>
      <c r="B385" s="4" t="s">
        <v>22</v>
      </c>
      <c r="C385" s="4" t="s">
        <v>23</v>
      </c>
      <c r="D385" s="4" t="s">
        <v>24</v>
      </c>
      <c r="E385" s="4" t="s">
        <v>32</v>
      </c>
      <c r="F385" s="4" t="s">
        <v>25</v>
      </c>
      <c r="G385" s="4" t="s">
        <v>25</v>
      </c>
      <c r="H385" s="4" t="s">
        <v>25</v>
      </c>
      <c r="I385" s="5">
        <v>44562</v>
      </c>
      <c r="J385" s="6">
        <v>0</v>
      </c>
      <c r="K385" s="6">
        <v>0</v>
      </c>
      <c r="L385" s="6">
        <v>8.1270000000000007</v>
      </c>
      <c r="M385" s="6">
        <v>8.1270000000000007</v>
      </c>
      <c r="N385" s="6">
        <v>8.1270000000000007</v>
      </c>
      <c r="O385" s="6">
        <v>8.1270000000000007</v>
      </c>
      <c r="P385" s="6">
        <v>74</v>
      </c>
      <c r="Q385" s="4" t="s">
        <v>26</v>
      </c>
      <c r="R385" s="4">
        <v>0</v>
      </c>
      <c r="S385" s="4" t="s">
        <v>192</v>
      </c>
      <c r="T385" s="4" t="s">
        <v>317</v>
      </c>
      <c r="U385" s="4">
        <v>0</v>
      </c>
      <c r="V385" s="4">
        <v>14</v>
      </c>
      <c r="W385" s="4">
        <v>86</v>
      </c>
    </row>
    <row r="386" spans="1:23" ht="11.25" customHeight="1" x14ac:dyDescent="0.25">
      <c r="A386" s="4" t="s">
        <v>28</v>
      </c>
      <c r="B386" s="4" t="s">
        <v>22</v>
      </c>
      <c r="C386" s="4" t="s">
        <v>23</v>
      </c>
      <c r="D386" s="4" t="s">
        <v>24</v>
      </c>
      <c r="E386" s="4" t="s">
        <v>32</v>
      </c>
      <c r="F386" s="4" t="s">
        <v>25</v>
      </c>
      <c r="G386" s="4" t="s">
        <v>25</v>
      </c>
      <c r="H386" s="4" t="s">
        <v>25</v>
      </c>
      <c r="I386" s="5">
        <v>44562</v>
      </c>
      <c r="J386" s="6">
        <v>0</v>
      </c>
      <c r="K386" s="6">
        <v>0</v>
      </c>
      <c r="L386" s="6">
        <v>0.27900000000000003</v>
      </c>
      <c r="M386" s="6">
        <v>0.27900000000000003</v>
      </c>
      <c r="N386" s="6">
        <v>0.27900000000000003</v>
      </c>
      <c r="O386" s="6">
        <v>0.27900000000000003</v>
      </c>
      <c r="P386" s="6">
        <v>3</v>
      </c>
      <c r="Q386" s="4" t="s">
        <v>26</v>
      </c>
      <c r="R386" s="4">
        <v>0</v>
      </c>
      <c r="S386" s="4" t="s">
        <v>192</v>
      </c>
      <c r="T386" s="4" t="s">
        <v>317</v>
      </c>
      <c r="U386" s="4">
        <v>0</v>
      </c>
      <c r="V386" s="4">
        <v>14</v>
      </c>
      <c r="W386" s="4">
        <v>86</v>
      </c>
    </row>
    <row r="387" spans="1:23" ht="11.25" customHeight="1" x14ac:dyDescent="0.25">
      <c r="A387" s="4" t="s">
        <v>21</v>
      </c>
      <c r="B387" s="4" t="s">
        <v>22</v>
      </c>
      <c r="C387" s="4" t="s">
        <v>23</v>
      </c>
      <c r="D387" s="4" t="s">
        <v>24</v>
      </c>
      <c r="E387" s="4" t="s">
        <v>32</v>
      </c>
      <c r="F387" s="4" t="s">
        <v>25</v>
      </c>
      <c r="G387" s="4" t="s">
        <v>25</v>
      </c>
      <c r="H387" s="4" t="s">
        <v>25</v>
      </c>
      <c r="I387" s="5">
        <v>44593</v>
      </c>
      <c r="J387" s="6">
        <v>0</v>
      </c>
      <c r="K387" s="6">
        <v>0</v>
      </c>
      <c r="L387" s="6">
        <v>8.9809999999999999</v>
      </c>
      <c r="M387" s="6">
        <v>8.9809999999999999</v>
      </c>
      <c r="N387" s="6">
        <v>8.9809999999999999</v>
      </c>
      <c r="O387" s="6">
        <v>8.9809999999999999</v>
      </c>
      <c r="P387" s="6">
        <v>95</v>
      </c>
      <c r="Q387" s="4" t="s">
        <v>26</v>
      </c>
      <c r="R387" s="4">
        <v>0</v>
      </c>
      <c r="S387" s="4" t="s">
        <v>193</v>
      </c>
      <c r="T387" s="4" t="s">
        <v>318</v>
      </c>
      <c r="U387" s="4">
        <v>0</v>
      </c>
      <c r="V387" s="4">
        <v>14</v>
      </c>
      <c r="W387" s="4">
        <v>86</v>
      </c>
    </row>
    <row r="388" spans="1:23" ht="11.25" customHeight="1" x14ac:dyDescent="0.25">
      <c r="A388" s="4" t="s">
        <v>28</v>
      </c>
      <c r="B388" s="4" t="s">
        <v>22</v>
      </c>
      <c r="C388" s="4" t="s">
        <v>23</v>
      </c>
      <c r="D388" s="4" t="s">
        <v>24</v>
      </c>
      <c r="E388" s="4" t="s">
        <v>32</v>
      </c>
      <c r="F388" s="4" t="s">
        <v>25</v>
      </c>
      <c r="G388" s="4" t="s">
        <v>25</v>
      </c>
      <c r="H388" s="4" t="s">
        <v>25</v>
      </c>
      <c r="I388" s="5">
        <v>44593</v>
      </c>
      <c r="J388" s="6">
        <v>0</v>
      </c>
      <c r="K388" s="6">
        <v>0</v>
      </c>
      <c r="L388" s="6">
        <v>7.6999999999999999E-2</v>
      </c>
      <c r="M388" s="6">
        <v>7.6999999999999999E-2</v>
      </c>
      <c r="N388" s="6">
        <v>7.6999999999999999E-2</v>
      </c>
      <c r="O388" s="6">
        <v>7.6999999999999999E-2</v>
      </c>
      <c r="P388" s="6">
        <v>3</v>
      </c>
      <c r="Q388" s="4" t="s">
        <v>26</v>
      </c>
      <c r="R388" s="4">
        <v>0</v>
      </c>
      <c r="S388" s="4" t="s">
        <v>193</v>
      </c>
      <c r="T388" s="4" t="s">
        <v>318</v>
      </c>
      <c r="U388" s="4">
        <v>0</v>
      </c>
      <c r="V388" s="4">
        <v>14</v>
      </c>
      <c r="W388" s="4">
        <v>86</v>
      </c>
    </row>
    <row r="389" spans="1:23" ht="11.25" customHeight="1" x14ac:dyDescent="0.25">
      <c r="A389" s="4" t="s">
        <v>21</v>
      </c>
      <c r="B389" s="4" t="s">
        <v>22</v>
      </c>
      <c r="C389" s="4" t="s">
        <v>23</v>
      </c>
      <c r="D389" s="4" t="s">
        <v>24</v>
      </c>
      <c r="E389" s="4" t="s">
        <v>32</v>
      </c>
      <c r="F389" s="4" t="s">
        <v>25</v>
      </c>
      <c r="G389" s="4" t="s">
        <v>25</v>
      </c>
      <c r="H389" s="4" t="s">
        <v>25</v>
      </c>
      <c r="I389" s="5">
        <v>44621</v>
      </c>
      <c r="J389" s="6">
        <v>0</v>
      </c>
      <c r="K389" s="6">
        <v>0</v>
      </c>
      <c r="L389" s="6">
        <v>5.7720000000000002</v>
      </c>
      <c r="M389" s="6">
        <v>5.7720000000000002</v>
      </c>
      <c r="N389" s="6">
        <v>5.7720000000000002</v>
      </c>
      <c r="O389" s="6">
        <v>5.7720000000000002</v>
      </c>
      <c r="P389" s="6">
        <v>77</v>
      </c>
      <c r="Q389" s="4" t="s">
        <v>26</v>
      </c>
      <c r="R389" s="4">
        <v>0</v>
      </c>
      <c r="S389" s="4" t="s">
        <v>194</v>
      </c>
      <c r="T389" s="4" t="s">
        <v>319</v>
      </c>
      <c r="U389" s="4">
        <v>0</v>
      </c>
      <c r="V389" s="4">
        <v>14</v>
      </c>
      <c r="W389" s="4">
        <v>86</v>
      </c>
    </row>
    <row r="390" spans="1:23" ht="11.25" customHeight="1" x14ac:dyDescent="0.25">
      <c r="A390" s="4" t="s">
        <v>21</v>
      </c>
      <c r="B390" s="4" t="s">
        <v>22</v>
      </c>
      <c r="C390" s="4" t="s">
        <v>23</v>
      </c>
      <c r="D390" s="4" t="s">
        <v>24</v>
      </c>
      <c r="E390" s="4" t="s">
        <v>32</v>
      </c>
      <c r="F390" s="4" t="s">
        <v>25</v>
      </c>
      <c r="G390" s="4" t="s">
        <v>25</v>
      </c>
      <c r="H390" s="4" t="s">
        <v>25</v>
      </c>
      <c r="I390" s="5">
        <v>44652</v>
      </c>
      <c r="J390" s="6">
        <v>0</v>
      </c>
      <c r="K390" s="6">
        <v>0</v>
      </c>
      <c r="L390" s="6">
        <v>7.0389999999999997</v>
      </c>
      <c r="M390" s="6">
        <v>7.0389999999999997</v>
      </c>
      <c r="N390" s="6">
        <v>7.0389999999999997</v>
      </c>
      <c r="O390" s="6">
        <v>7.0389999999999997</v>
      </c>
      <c r="P390" s="6">
        <v>85</v>
      </c>
      <c r="Q390" s="4" t="s">
        <v>26</v>
      </c>
      <c r="R390" s="4">
        <v>0</v>
      </c>
      <c r="S390" s="4" t="s">
        <v>195</v>
      </c>
      <c r="T390" s="4" t="s">
        <v>320</v>
      </c>
      <c r="U390" s="4">
        <v>0</v>
      </c>
      <c r="V390" s="4">
        <v>14</v>
      </c>
      <c r="W390" s="4">
        <v>86</v>
      </c>
    </row>
    <row r="391" spans="1:23" ht="11.25" customHeight="1" x14ac:dyDescent="0.25">
      <c r="A391" s="4" t="s">
        <v>21</v>
      </c>
      <c r="B391" s="4" t="s">
        <v>22</v>
      </c>
      <c r="C391" s="4" t="s">
        <v>23</v>
      </c>
      <c r="D391" s="4" t="s">
        <v>24</v>
      </c>
      <c r="E391" s="4" t="s">
        <v>32</v>
      </c>
      <c r="F391" s="4" t="s">
        <v>25</v>
      </c>
      <c r="G391" s="4" t="s">
        <v>25</v>
      </c>
      <c r="H391" s="4" t="s">
        <v>25</v>
      </c>
      <c r="I391" s="5">
        <v>44682</v>
      </c>
      <c r="J391" s="6">
        <v>0</v>
      </c>
      <c r="K391" s="6">
        <v>0</v>
      </c>
      <c r="L391" s="6">
        <v>6.0679999999999996</v>
      </c>
      <c r="M391" s="6">
        <v>6.0679999999999996</v>
      </c>
      <c r="N391" s="6">
        <v>6.0679999999999996</v>
      </c>
      <c r="O391" s="6">
        <v>6.0679999999999996</v>
      </c>
      <c r="P391" s="6">
        <v>66</v>
      </c>
      <c r="Q391" s="4" t="s">
        <v>26</v>
      </c>
      <c r="R391" s="4">
        <v>0</v>
      </c>
      <c r="S391" s="4" t="s">
        <v>196</v>
      </c>
      <c r="T391" s="4" t="s">
        <v>321</v>
      </c>
      <c r="U391" s="4">
        <v>0</v>
      </c>
      <c r="V391" s="4">
        <v>14</v>
      </c>
      <c r="W391" s="4">
        <v>86</v>
      </c>
    </row>
    <row r="392" spans="1:23" ht="11.25" customHeight="1" x14ac:dyDescent="0.25">
      <c r="A392" s="4" t="s">
        <v>27</v>
      </c>
      <c r="B392" s="4" t="s">
        <v>22</v>
      </c>
      <c r="C392" s="4" t="s">
        <v>23</v>
      </c>
      <c r="D392" s="4" t="s">
        <v>24</v>
      </c>
      <c r="E392" s="4" t="s">
        <v>32</v>
      </c>
      <c r="F392" s="4" t="s">
        <v>25</v>
      </c>
      <c r="G392" s="4" t="s">
        <v>25</v>
      </c>
      <c r="H392" s="4" t="s">
        <v>25</v>
      </c>
      <c r="I392" s="5">
        <v>44682</v>
      </c>
      <c r="J392" s="6">
        <v>0</v>
      </c>
      <c r="K392" s="6">
        <v>0</v>
      </c>
      <c r="L392" s="6">
        <v>-0.46600000000000003</v>
      </c>
      <c r="M392" s="6">
        <v>-0.46600000000000003</v>
      </c>
      <c r="N392" s="6">
        <v>-0.46600000000000003</v>
      </c>
      <c r="O392" s="6">
        <v>-0.46600000000000003</v>
      </c>
      <c r="P392" s="6">
        <v>0</v>
      </c>
      <c r="Q392" s="4" t="s">
        <v>26</v>
      </c>
      <c r="R392" s="4">
        <v>0</v>
      </c>
      <c r="S392" s="4" t="s">
        <v>196</v>
      </c>
      <c r="T392" s="4" t="s">
        <v>321</v>
      </c>
      <c r="U392" s="4">
        <v>0</v>
      </c>
      <c r="V392" s="4">
        <v>14</v>
      </c>
      <c r="W392" s="4">
        <v>86</v>
      </c>
    </row>
    <row r="393" spans="1:23" ht="11.25" customHeight="1" x14ac:dyDescent="0.25">
      <c r="A393" s="4" t="s">
        <v>21</v>
      </c>
      <c r="B393" s="4" t="s">
        <v>22</v>
      </c>
      <c r="C393" s="4" t="s">
        <v>23</v>
      </c>
      <c r="D393" s="4" t="s">
        <v>24</v>
      </c>
      <c r="E393" s="4" t="s">
        <v>32</v>
      </c>
      <c r="F393" s="4" t="s">
        <v>25</v>
      </c>
      <c r="G393" s="4" t="s">
        <v>25</v>
      </c>
      <c r="H393" s="4" t="s">
        <v>25</v>
      </c>
      <c r="I393" s="5">
        <v>44713</v>
      </c>
      <c r="J393" s="6">
        <v>0</v>
      </c>
      <c r="K393" s="6">
        <v>0</v>
      </c>
      <c r="L393" s="6">
        <v>5.8520000000000003</v>
      </c>
      <c r="M393" s="6">
        <v>5.8520000000000003</v>
      </c>
      <c r="N393" s="6">
        <v>5.8520000000000003</v>
      </c>
      <c r="O393" s="6">
        <v>5.8520000000000003</v>
      </c>
      <c r="P393" s="6">
        <v>69</v>
      </c>
      <c r="Q393" s="4" t="s">
        <v>26</v>
      </c>
      <c r="R393" s="4">
        <v>0</v>
      </c>
      <c r="S393" s="4" t="s">
        <v>197</v>
      </c>
      <c r="T393" s="4" t="s">
        <v>322</v>
      </c>
      <c r="U393" s="4">
        <v>0</v>
      </c>
      <c r="V393" s="4">
        <v>14</v>
      </c>
      <c r="W393" s="4">
        <v>86</v>
      </c>
    </row>
    <row r="394" spans="1:23" ht="11.25" customHeight="1" x14ac:dyDescent="0.25">
      <c r="A394" s="4" t="s">
        <v>21</v>
      </c>
      <c r="B394" s="4" t="s">
        <v>40</v>
      </c>
      <c r="C394" s="4" t="s">
        <v>23</v>
      </c>
      <c r="D394" s="4" t="s">
        <v>41</v>
      </c>
      <c r="E394" s="4" t="s">
        <v>49</v>
      </c>
      <c r="F394" s="4" t="s">
        <v>50</v>
      </c>
      <c r="G394" s="4" t="s">
        <v>25</v>
      </c>
      <c r="H394" s="4" t="s">
        <v>25</v>
      </c>
      <c r="I394" s="5">
        <v>44378</v>
      </c>
      <c r="J394" s="6">
        <v>0</v>
      </c>
      <c r="K394" s="6">
        <v>0</v>
      </c>
      <c r="L394" s="6">
        <v>4.234</v>
      </c>
      <c r="M394" s="6">
        <v>4.234</v>
      </c>
      <c r="N394" s="6">
        <v>4.234</v>
      </c>
      <c r="O394" s="6">
        <v>4.234</v>
      </c>
      <c r="P394" s="6">
        <v>0</v>
      </c>
      <c r="Q394" s="4" t="s">
        <v>26</v>
      </c>
      <c r="R394" s="4">
        <v>0</v>
      </c>
      <c r="S394" s="4" t="s">
        <v>198</v>
      </c>
      <c r="T394" s="4" t="s">
        <v>323</v>
      </c>
      <c r="U394" s="4">
        <v>0</v>
      </c>
      <c r="V394" s="4">
        <v>33</v>
      </c>
      <c r="W394" s="4">
        <v>72</v>
      </c>
    </row>
    <row r="395" spans="1:23" ht="11.25" customHeight="1" x14ac:dyDescent="0.25">
      <c r="A395" s="4" t="s">
        <v>28</v>
      </c>
      <c r="B395" s="4" t="s">
        <v>40</v>
      </c>
      <c r="C395" s="4" t="s">
        <v>23</v>
      </c>
      <c r="D395" s="4" t="s">
        <v>41</v>
      </c>
      <c r="E395" s="4" t="s">
        <v>49</v>
      </c>
      <c r="F395" s="4" t="s">
        <v>50</v>
      </c>
      <c r="G395" s="4" t="s">
        <v>25</v>
      </c>
      <c r="H395" s="4" t="s">
        <v>25</v>
      </c>
      <c r="I395" s="5">
        <v>44378</v>
      </c>
      <c r="J395" s="6">
        <v>0</v>
      </c>
      <c r="K395" s="6">
        <v>0</v>
      </c>
      <c r="L395" s="6">
        <v>0.04</v>
      </c>
      <c r="M395" s="6">
        <v>0.04</v>
      </c>
      <c r="N395" s="6">
        <v>0.04</v>
      </c>
      <c r="O395" s="6">
        <v>0.04</v>
      </c>
      <c r="P395" s="6">
        <v>0</v>
      </c>
      <c r="Q395" s="4" t="s">
        <v>26</v>
      </c>
      <c r="R395" s="4">
        <v>0</v>
      </c>
      <c r="S395" s="4" t="s">
        <v>198</v>
      </c>
      <c r="T395" s="4" t="s">
        <v>323</v>
      </c>
      <c r="U395" s="4">
        <v>0</v>
      </c>
      <c r="V395" s="4">
        <v>33</v>
      </c>
      <c r="W395" s="4">
        <v>72</v>
      </c>
    </row>
    <row r="396" spans="1:23" ht="11.25" customHeight="1" x14ac:dyDescent="0.25">
      <c r="A396" s="4" t="s">
        <v>21</v>
      </c>
      <c r="B396" s="4" t="s">
        <v>40</v>
      </c>
      <c r="C396" s="4" t="s">
        <v>23</v>
      </c>
      <c r="D396" s="4" t="s">
        <v>41</v>
      </c>
      <c r="E396" s="4" t="s">
        <v>49</v>
      </c>
      <c r="F396" s="4" t="s">
        <v>50</v>
      </c>
      <c r="G396" s="4" t="s">
        <v>25</v>
      </c>
      <c r="H396" s="4" t="s">
        <v>25</v>
      </c>
      <c r="I396" s="5">
        <v>44409</v>
      </c>
      <c r="J396" s="6">
        <v>0</v>
      </c>
      <c r="K396" s="6">
        <v>0</v>
      </c>
      <c r="L396" s="6">
        <v>2.2959999999999998</v>
      </c>
      <c r="M396" s="6">
        <v>2.2959999999999998</v>
      </c>
      <c r="N396" s="6">
        <v>2.2959999999999998</v>
      </c>
      <c r="O396" s="6">
        <v>2.2959999999999998</v>
      </c>
      <c r="P396" s="6">
        <v>0</v>
      </c>
      <c r="Q396" s="4" t="s">
        <v>26</v>
      </c>
      <c r="R396" s="4">
        <v>0</v>
      </c>
      <c r="S396" s="4" t="s">
        <v>199</v>
      </c>
      <c r="T396" s="4" t="s">
        <v>324</v>
      </c>
      <c r="U396" s="4">
        <v>0</v>
      </c>
      <c r="V396" s="4">
        <v>33</v>
      </c>
      <c r="W396" s="4">
        <v>72</v>
      </c>
    </row>
    <row r="397" spans="1:23" ht="11.25" customHeight="1" x14ac:dyDescent="0.25">
      <c r="A397" s="4" t="s">
        <v>28</v>
      </c>
      <c r="B397" s="4" t="s">
        <v>40</v>
      </c>
      <c r="C397" s="4" t="s">
        <v>23</v>
      </c>
      <c r="D397" s="4" t="s">
        <v>41</v>
      </c>
      <c r="E397" s="4" t="s">
        <v>49</v>
      </c>
      <c r="F397" s="4" t="s">
        <v>50</v>
      </c>
      <c r="G397" s="4" t="s">
        <v>25</v>
      </c>
      <c r="H397" s="4" t="s">
        <v>25</v>
      </c>
      <c r="I397" s="5">
        <v>44409</v>
      </c>
      <c r="J397" s="6">
        <v>0</v>
      </c>
      <c r="K397" s="6">
        <v>0</v>
      </c>
      <c r="L397" s="6">
        <v>0.36599999999999999</v>
      </c>
      <c r="M397" s="6">
        <v>0.36599999999999999</v>
      </c>
      <c r="N397" s="6">
        <v>0.36599999999999999</v>
      </c>
      <c r="O397" s="6">
        <v>0.36599999999999999</v>
      </c>
      <c r="P397" s="6">
        <v>0</v>
      </c>
      <c r="Q397" s="4" t="s">
        <v>26</v>
      </c>
      <c r="R397" s="4">
        <v>0</v>
      </c>
      <c r="S397" s="4" t="s">
        <v>199</v>
      </c>
      <c r="T397" s="4" t="s">
        <v>324</v>
      </c>
      <c r="U397" s="4">
        <v>0</v>
      </c>
      <c r="V397" s="4">
        <v>33</v>
      </c>
      <c r="W397" s="4">
        <v>72</v>
      </c>
    </row>
    <row r="398" spans="1:23" ht="11.25" customHeight="1" x14ac:dyDescent="0.25">
      <c r="A398" s="4" t="s">
        <v>21</v>
      </c>
      <c r="B398" s="4" t="s">
        <v>40</v>
      </c>
      <c r="C398" s="4" t="s">
        <v>23</v>
      </c>
      <c r="D398" s="4" t="s">
        <v>41</v>
      </c>
      <c r="E398" s="4" t="s">
        <v>49</v>
      </c>
      <c r="F398" s="4" t="s">
        <v>50</v>
      </c>
      <c r="G398" s="4" t="s">
        <v>25</v>
      </c>
      <c r="H398" s="4" t="s">
        <v>25</v>
      </c>
      <c r="I398" s="5">
        <v>44440</v>
      </c>
      <c r="J398" s="6">
        <v>0</v>
      </c>
      <c r="K398" s="6">
        <v>0</v>
      </c>
      <c r="L398" s="6">
        <v>6.0069999999999997</v>
      </c>
      <c r="M398" s="6">
        <v>6.0069999999999997</v>
      </c>
      <c r="N398" s="6">
        <v>6.0069999999999997</v>
      </c>
      <c r="O398" s="6">
        <v>6.0069999999999997</v>
      </c>
      <c r="P398" s="6">
        <v>0</v>
      </c>
      <c r="Q398" s="4" t="s">
        <v>26</v>
      </c>
      <c r="R398" s="4">
        <v>0</v>
      </c>
      <c r="S398" s="4" t="s">
        <v>200</v>
      </c>
      <c r="T398" s="4" t="s">
        <v>325</v>
      </c>
      <c r="U398" s="4">
        <v>0</v>
      </c>
      <c r="V398" s="4">
        <v>33</v>
      </c>
      <c r="W398" s="4">
        <v>72</v>
      </c>
    </row>
    <row r="399" spans="1:23" ht="11.25" customHeight="1" x14ac:dyDescent="0.25">
      <c r="A399" s="4" t="s">
        <v>28</v>
      </c>
      <c r="B399" s="4" t="s">
        <v>40</v>
      </c>
      <c r="C399" s="4" t="s">
        <v>23</v>
      </c>
      <c r="D399" s="4" t="s">
        <v>41</v>
      </c>
      <c r="E399" s="4" t="s">
        <v>49</v>
      </c>
      <c r="F399" s="4" t="s">
        <v>50</v>
      </c>
      <c r="G399" s="4" t="s">
        <v>25</v>
      </c>
      <c r="H399" s="4" t="s">
        <v>25</v>
      </c>
      <c r="I399" s="5">
        <v>44440</v>
      </c>
      <c r="J399" s="6">
        <v>0</v>
      </c>
      <c r="K399" s="6">
        <v>0</v>
      </c>
      <c r="L399" s="6">
        <v>1.2909999999999999</v>
      </c>
      <c r="M399" s="6">
        <v>1.2909999999999999</v>
      </c>
      <c r="N399" s="6">
        <v>1.2909999999999999</v>
      </c>
      <c r="O399" s="6">
        <v>1.2909999999999999</v>
      </c>
      <c r="P399" s="6">
        <v>0</v>
      </c>
      <c r="Q399" s="4" t="s">
        <v>26</v>
      </c>
      <c r="R399" s="4">
        <v>0</v>
      </c>
      <c r="S399" s="4" t="s">
        <v>200</v>
      </c>
      <c r="T399" s="4" t="s">
        <v>325</v>
      </c>
      <c r="U399" s="4">
        <v>0</v>
      </c>
      <c r="V399" s="4">
        <v>33</v>
      </c>
      <c r="W399" s="4">
        <v>72</v>
      </c>
    </row>
    <row r="400" spans="1:23" ht="11.25" customHeight="1" x14ac:dyDescent="0.25">
      <c r="A400" s="4" t="s">
        <v>21</v>
      </c>
      <c r="B400" s="4" t="s">
        <v>40</v>
      </c>
      <c r="C400" s="4" t="s">
        <v>23</v>
      </c>
      <c r="D400" s="4" t="s">
        <v>41</v>
      </c>
      <c r="E400" s="4" t="s">
        <v>49</v>
      </c>
      <c r="F400" s="4" t="s">
        <v>50</v>
      </c>
      <c r="G400" s="4" t="s">
        <v>25</v>
      </c>
      <c r="H400" s="4" t="s">
        <v>25</v>
      </c>
      <c r="I400" s="5">
        <v>44470</v>
      </c>
      <c r="J400" s="6">
        <v>0</v>
      </c>
      <c r="K400" s="6">
        <v>0</v>
      </c>
      <c r="L400" s="6">
        <v>11.356999999999999</v>
      </c>
      <c r="M400" s="6">
        <v>11.356999999999999</v>
      </c>
      <c r="N400" s="6">
        <v>11.356999999999999</v>
      </c>
      <c r="O400" s="6">
        <v>11.356999999999999</v>
      </c>
      <c r="P400" s="6">
        <v>0</v>
      </c>
      <c r="Q400" s="4" t="s">
        <v>26</v>
      </c>
      <c r="R400" s="4">
        <v>0</v>
      </c>
      <c r="S400" s="4" t="s">
        <v>201</v>
      </c>
      <c r="T400" s="4" t="s">
        <v>326</v>
      </c>
      <c r="U400" s="4">
        <v>0</v>
      </c>
      <c r="V400" s="4">
        <v>33</v>
      </c>
      <c r="W400" s="4">
        <v>72</v>
      </c>
    </row>
    <row r="401" spans="1:23" ht="11.25" customHeight="1" x14ac:dyDescent="0.25">
      <c r="A401" s="4" t="s">
        <v>28</v>
      </c>
      <c r="B401" s="4" t="s">
        <v>40</v>
      </c>
      <c r="C401" s="4" t="s">
        <v>23</v>
      </c>
      <c r="D401" s="4" t="s">
        <v>41</v>
      </c>
      <c r="E401" s="4" t="s">
        <v>49</v>
      </c>
      <c r="F401" s="4" t="s">
        <v>50</v>
      </c>
      <c r="G401" s="4" t="s">
        <v>25</v>
      </c>
      <c r="H401" s="4" t="s">
        <v>25</v>
      </c>
      <c r="I401" s="5">
        <v>44470</v>
      </c>
      <c r="J401" s="6">
        <v>0</v>
      </c>
      <c r="K401" s="6">
        <v>0</v>
      </c>
      <c r="L401" s="6">
        <v>0.19</v>
      </c>
      <c r="M401" s="6">
        <v>0.19</v>
      </c>
      <c r="N401" s="6">
        <v>0.19</v>
      </c>
      <c r="O401" s="6">
        <v>0.19</v>
      </c>
      <c r="P401" s="6">
        <v>0</v>
      </c>
      <c r="Q401" s="4" t="s">
        <v>26</v>
      </c>
      <c r="R401" s="4">
        <v>0</v>
      </c>
      <c r="S401" s="4" t="s">
        <v>201</v>
      </c>
      <c r="T401" s="4" t="s">
        <v>326</v>
      </c>
      <c r="U401" s="4">
        <v>0</v>
      </c>
      <c r="V401" s="4">
        <v>33</v>
      </c>
      <c r="W401" s="4">
        <v>72</v>
      </c>
    </row>
    <row r="402" spans="1:23" ht="11.25" customHeight="1" x14ac:dyDescent="0.25">
      <c r="A402" s="4" t="s">
        <v>21</v>
      </c>
      <c r="B402" s="4" t="s">
        <v>40</v>
      </c>
      <c r="C402" s="4" t="s">
        <v>23</v>
      </c>
      <c r="D402" s="4" t="s">
        <v>41</v>
      </c>
      <c r="E402" s="4" t="s">
        <v>49</v>
      </c>
      <c r="F402" s="4" t="s">
        <v>50</v>
      </c>
      <c r="G402" s="4" t="s">
        <v>25</v>
      </c>
      <c r="H402" s="4" t="s">
        <v>25</v>
      </c>
      <c r="I402" s="5">
        <v>44501</v>
      </c>
      <c r="J402" s="6">
        <v>0</v>
      </c>
      <c r="K402" s="6">
        <v>0</v>
      </c>
      <c r="L402" s="6">
        <v>83.301000000000002</v>
      </c>
      <c r="M402" s="6">
        <v>83.301000000000002</v>
      </c>
      <c r="N402" s="6">
        <v>83.301000000000002</v>
      </c>
      <c r="O402" s="6">
        <v>83.301000000000002</v>
      </c>
      <c r="P402" s="6">
        <v>0</v>
      </c>
      <c r="Q402" s="4" t="s">
        <v>26</v>
      </c>
      <c r="R402" s="4">
        <v>0</v>
      </c>
      <c r="S402" s="4" t="s">
        <v>202</v>
      </c>
      <c r="T402" s="4" t="s">
        <v>327</v>
      </c>
      <c r="U402" s="4">
        <v>0</v>
      </c>
      <c r="V402" s="4">
        <v>33</v>
      </c>
      <c r="W402" s="4">
        <v>72</v>
      </c>
    </row>
    <row r="403" spans="1:23" ht="11.25" customHeight="1" x14ac:dyDescent="0.25">
      <c r="A403" s="4" t="s">
        <v>27</v>
      </c>
      <c r="B403" s="4" t="s">
        <v>40</v>
      </c>
      <c r="C403" s="4" t="s">
        <v>23</v>
      </c>
      <c r="D403" s="4" t="s">
        <v>41</v>
      </c>
      <c r="E403" s="4" t="s">
        <v>49</v>
      </c>
      <c r="F403" s="4" t="s">
        <v>50</v>
      </c>
      <c r="G403" s="4" t="s">
        <v>25</v>
      </c>
      <c r="H403" s="4" t="s">
        <v>25</v>
      </c>
      <c r="I403" s="5">
        <v>44501</v>
      </c>
      <c r="J403" s="6">
        <v>0</v>
      </c>
      <c r="K403" s="6">
        <v>0</v>
      </c>
      <c r="L403" s="6">
        <v>0.2</v>
      </c>
      <c r="M403" s="6">
        <v>0.2</v>
      </c>
      <c r="N403" s="6">
        <v>0.2</v>
      </c>
      <c r="O403" s="6">
        <v>0.2</v>
      </c>
      <c r="P403" s="6">
        <v>0</v>
      </c>
      <c r="Q403" s="4" t="s">
        <v>26</v>
      </c>
      <c r="R403" s="4">
        <v>0</v>
      </c>
      <c r="S403" s="4" t="s">
        <v>202</v>
      </c>
      <c r="T403" s="4" t="s">
        <v>327</v>
      </c>
      <c r="U403" s="4">
        <v>0</v>
      </c>
      <c r="V403" s="4">
        <v>33</v>
      </c>
      <c r="W403" s="4">
        <v>72</v>
      </c>
    </row>
    <row r="404" spans="1:23" ht="11.25" customHeight="1" x14ac:dyDescent="0.25">
      <c r="A404" s="4" t="s">
        <v>28</v>
      </c>
      <c r="B404" s="4" t="s">
        <v>40</v>
      </c>
      <c r="C404" s="4" t="s">
        <v>23</v>
      </c>
      <c r="D404" s="4" t="s">
        <v>41</v>
      </c>
      <c r="E404" s="4" t="s">
        <v>49</v>
      </c>
      <c r="F404" s="4" t="s">
        <v>50</v>
      </c>
      <c r="G404" s="4" t="s">
        <v>25</v>
      </c>
      <c r="H404" s="4" t="s">
        <v>25</v>
      </c>
      <c r="I404" s="5">
        <v>44501</v>
      </c>
      <c r="J404" s="6">
        <v>0</v>
      </c>
      <c r="K404" s="6">
        <v>0</v>
      </c>
      <c r="L404" s="6">
        <v>1.4670000000000001</v>
      </c>
      <c r="M404" s="6">
        <v>1.4670000000000001</v>
      </c>
      <c r="N404" s="6">
        <v>1.4670000000000001</v>
      </c>
      <c r="O404" s="6">
        <v>1.4670000000000001</v>
      </c>
      <c r="P404" s="6">
        <v>0</v>
      </c>
      <c r="Q404" s="4" t="s">
        <v>26</v>
      </c>
      <c r="R404" s="4">
        <v>0</v>
      </c>
      <c r="S404" s="4" t="s">
        <v>202</v>
      </c>
      <c r="T404" s="4" t="s">
        <v>327</v>
      </c>
      <c r="U404" s="4">
        <v>0</v>
      </c>
      <c r="V404" s="4">
        <v>33</v>
      </c>
      <c r="W404" s="4">
        <v>72</v>
      </c>
    </row>
    <row r="405" spans="1:23" ht="11.25" customHeight="1" x14ac:dyDescent="0.25">
      <c r="A405" s="4" t="s">
        <v>21</v>
      </c>
      <c r="B405" s="4" t="s">
        <v>40</v>
      </c>
      <c r="C405" s="4" t="s">
        <v>23</v>
      </c>
      <c r="D405" s="4" t="s">
        <v>41</v>
      </c>
      <c r="E405" s="4" t="s">
        <v>49</v>
      </c>
      <c r="F405" s="4" t="s">
        <v>50</v>
      </c>
      <c r="G405" s="4" t="s">
        <v>25</v>
      </c>
      <c r="H405" s="4" t="s">
        <v>25</v>
      </c>
      <c r="I405" s="5">
        <v>44531</v>
      </c>
      <c r="J405" s="6">
        <v>0</v>
      </c>
      <c r="K405" s="6">
        <v>0</v>
      </c>
      <c r="L405" s="6">
        <v>209.755</v>
      </c>
      <c r="M405" s="6">
        <v>209.755</v>
      </c>
      <c r="N405" s="6">
        <v>209.755</v>
      </c>
      <c r="O405" s="6">
        <v>209.755</v>
      </c>
      <c r="P405" s="6">
        <v>0</v>
      </c>
      <c r="Q405" s="4" t="s">
        <v>26</v>
      </c>
      <c r="R405" s="4">
        <v>0</v>
      </c>
      <c r="S405" s="4" t="s">
        <v>203</v>
      </c>
      <c r="T405" s="4" t="s">
        <v>328</v>
      </c>
      <c r="U405" s="4">
        <v>0</v>
      </c>
      <c r="V405" s="4">
        <v>33</v>
      </c>
      <c r="W405" s="4">
        <v>72</v>
      </c>
    </row>
    <row r="406" spans="1:23" ht="11.25" customHeight="1" x14ac:dyDescent="0.25">
      <c r="A406" s="4" t="s">
        <v>28</v>
      </c>
      <c r="B406" s="4" t="s">
        <v>40</v>
      </c>
      <c r="C406" s="4" t="s">
        <v>23</v>
      </c>
      <c r="D406" s="4" t="s">
        <v>41</v>
      </c>
      <c r="E406" s="4" t="s">
        <v>49</v>
      </c>
      <c r="F406" s="4" t="s">
        <v>50</v>
      </c>
      <c r="G406" s="4" t="s">
        <v>25</v>
      </c>
      <c r="H406" s="4" t="s">
        <v>25</v>
      </c>
      <c r="I406" s="5">
        <v>44531</v>
      </c>
      <c r="J406" s="6">
        <v>0</v>
      </c>
      <c r="K406" s="6">
        <v>0</v>
      </c>
      <c r="L406" s="6">
        <v>0.89200000000000002</v>
      </c>
      <c r="M406" s="6">
        <v>0.89200000000000002</v>
      </c>
      <c r="N406" s="6">
        <v>0.89200000000000002</v>
      </c>
      <c r="O406" s="6">
        <v>0.89200000000000002</v>
      </c>
      <c r="P406" s="6">
        <v>0</v>
      </c>
      <c r="Q406" s="4" t="s">
        <v>26</v>
      </c>
      <c r="R406" s="4">
        <v>0</v>
      </c>
      <c r="S406" s="4" t="s">
        <v>203</v>
      </c>
      <c r="T406" s="4" t="s">
        <v>328</v>
      </c>
      <c r="U406" s="4">
        <v>0</v>
      </c>
      <c r="V406" s="4">
        <v>33</v>
      </c>
      <c r="W406" s="4">
        <v>72</v>
      </c>
    </row>
    <row r="407" spans="1:23" ht="11.25" customHeight="1" x14ac:dyDescent="0.25">
      <c r="A407" s="4" t="s">
        <v>21</v>
      </c>
      <c r="B407" s="4" t="s">
        <v>40</v>
      </c>
      <c r="C407" s="4" t="s">
        <v>23</v>
      </c>
      <c r="D407" s="4" t="s">
        <v>41</v>
      </c>
      <c r="E407" s="4" t="s">
        <v>49</v>
      </c>
      <c r="F407" s="4" t="s">
        <v>50</v>
      </c>
      <c r="G407" s="4" t="s">
        <v>25</v>
      </c>
      <c r="H407" s="4" t="s">
        <v>25</v>
      </c>
      <c r="I407" s="5">
        <v>44562</v>
      </c>
      <c r="J407" s="6">
        <v>0</v>
      </c>
      <c r="K407" s="6">
        <v>0</v>
      </c>
      <c r="L407" s="6">
        <v>243.178</v>
      </c>
      <c r="M407" s="6">
        <v>243.178</v>
      </c>
      <c r="N407" s="6">
        <v>243.178</v>
      </c>
      <c r="O407" s="6">
        <v>243.178</v>
      </c>
      <c r="P407" s="6">
        <v>0</v>
      </c>
      <c r="Q407" s="4" t="s">
        <v>26</v>
      </c>
      <c r="R407" s="4">
        <v>0</v>
      </c>
      <c r="S407" s="4" t="s">
        <v>204</v>
      </c>
      <c r="T407" s="4" t="s">
        <v>329</v>
      </c>
      <c r="U407" s="4">
        <v>0</v>
      </c>
      <c r="V407" s="4">
        <v>33</v>
      </c>
      <c r="W407" s="4">
        <v>72</v>
      </c>
    </row>
    <row r="408" spans="1:23" ht="11.25" customHeight="1" x14ac:dyDescent="0.25">
      <c r="A408" s="4" t="s">
        <v>28</v>
      </c>
      <c r="B408" s="4" t="s">
        <v>40</v>
      </c>
      <c r="C408" s="4" t="s">
        <v>23</v>
      </c>
      <c r="D408" s="4" t="s">
        <v>41</v>
      </c>
      <c r="E408" s="4" t="s">
        <v>49</v>
      </c>
      <c r="F408" s="4" t="s">
        <v>50</v>
      </c>
      <c r="G408" s="4" t="s">
        <v>25</v>
      </c>
      <c r="H408" s="4" t="s">
        <v>25</v>
      </c>
      <c r="I408" s="5">
        <v>44562</v>
      </c>
      <c r="J408" s="6">
        <v>0</v>
      </c>
      <c r="K408" s="6">
        <v>0</v>
      </c>
      <c r="L408" s="6">
        <v>3.8889999999999998</v>
      </c>
      <c r="M408" s="6">
        <v>3.8889999999999998</v>
      </c>
      <c r="N408" s="6">
        <v>3.8889999999999998</v>
      </c>
      <c r="O408" s="6">
        <v>3.8889999999999998</v>
      </c>
      <c r="P408" s="6">
        <v>0</v>
      </c>
      <c r="Q408" s="4" t="s">
        <v>26</v>
      </c>
      <c r="R408" s="4">
        <v>0</v>
      </c>
      <c r="S408" s="4" t="s">
        <v>204</v>
      </c>
      <c r="T408" s="4" t="s">
        <v>329</v>
      </c>
      <c r="U408" s="4">
        <v>0</v>
      </c>
      <c r="V408" s="4">
        <v>33</v>
      </c>
      <c r="W408" s="4">
        <v>72</v>
      </c>
    </row>
    <row r="409" spans="1:23" ht="11.25" customHeight="1" x14ac:dyDescent="0.25">
      <c r="A409" s="4" t="s">
        <v>21</v>
      </c>
      <c r="B409" s="4" t="s">
        <v>40</v>
      </c>
      <c r="C409" s="4" t="s">
        <v>23</v>
      </c>
      <c r="D409" s="4" t="s">
        <v>41</v>
      </c>
      <c r="E409" s="4" t="s">
        <v>49</v>
      </c>
      <c r="F409" s="4" t="s">
        <v>50</v>
      </c>
      <c r="G409" s="4" t="s">
        <v>25</v>
      </c>
      <c r="H409" s="4" t="s">
        <v>25</v>
      </c>
      <c r="I409" s="5">
        <v>44593</v>
      </c>
      <c r="J409" s="6">
        <v>0</v>
      </c>
      <c r="K409" s="6">
        <v>0</v>
      </c>
      <c r="L409" s="6">
        <v>220.43299999999999</v>
      </c>
      <c r="M409" s="6">
        <v>220.43299999999999</v>
      </c>
      <c r="N409" s="6">
        <v>220.43299999999999</v>
      </c>
      <c r="O409" s="6">
        <v>220.43299999999999</v>
      </c>
      <c r="P409" s="6">
        <v>0</v>
      </c>
      <c r="Q409" s="4" t="s">
        <v>26</v>
      </c>
      <c r="R409" s="4">
        <v>0</v>
      </c>
      <c r="S409" s="4" t="s">
        <v>205</v>
      </c>
      <c r="T409" s="4" t="s">
        <v>330</v>
      </c>
      <c r="U409" s="4">
        <v>0</v>
      </c>
      <c r="V409" s="4">
        <v>33</v>
      </c>
      <c r="W409" s="4">
        <v>72</v>
      </c>
    </row>
    <row r="410" spans="1:23" ht="11.25" customHeight="1" x14ac:dyDescent="0.25">
      <c r="A410" s="4" t="s">
        <v>28</v>
      </c>
      <c r="B410" s="4" t="s">
        <v>40</v>
      </c>
      <c r="C410" s="4" t="s">
        <v>23</v>
      </c>
      <c r="D410" s="4" t="s">
        <v>41</v>
      </c>
      <c r="E410" s="4" t="s">
        <v>49</v>
      </c>
      <c r="F410" s="4" t="s">
        <v>50</v>
      </c>
      <c r="G410" s="4" t="s">
        <v>25</v>
      </c>
      <c r="H410" s="4" t="s">
        <v>25</v>
      </c>
      <c r="I410" s="5">
        <v>44593</v>
      </c>
      <c r="J410" s="6">
        <v>0</v>
      </c>
      <c r="K410" s="6">
        <v>0</v>
      </c>
      <c r="L410" s="6">
        <v>0.1</v>
      </c>
      <c r="M410" s="6">
        <v>0.1</v>
      </c>
      <c r="N410" s="6">
        <v>0.1</v>
      </c>
      <c r="O410" s="6">
        <v>0.1</v>
      </c>
      <c r="P410" s="6">
        <v>0</v>
      </c>
      <c r="Q410" s="4" t="s">
        <v>26</v>
      </c>
      <c r="R410" s="4">
        <v>0</v>
      </c>
      <c r="S410" s="4" t="s">
        <v>205</v>
      </c>
      <c r="T410" s="4" t="s">
        <v>330</v>
      </c>
      <c r="U410" s="4">
        <v>0</v>
      </c>
      <c r="V410" s="4">
        <v>33</v>
      </c>
      <c r="W410" s="4">
        <v>72</v>
      </c>
    </row>
    <row r="411" spans="1:23" ht="11.25" customHeight="1" x14ac:dyDescent="0.25">
      <c r="A411" s="4" t="s">
        <v>21</v>
      </c>
      <c r="B411" s="4" t="s">
        <v>40</v>
      </c>
      <c r="C411" s="4" t="s">
        <v>23</v>
      </c>
      <c r="D411" s="4" t="s">
        <v>41</v>
      </c>
      <c r="E411" s="4" t="s">
        <v>49</v>
      </c>
      <c r="F411" s="4" t="s">
        <v>50</v>
      </c>
      <c r="G411" s="4" t="s">
        <v>25</v>
      </c>
      <c r="H411" s="4" t="s">
        <v>25</v>
      </c>
      <c r="I411" s="5">
        <v>44621</v>
      </c>
      <c r="J411" s="6">
        <v>0</v>
      </c>
      <c r="K411" s="6">
        <v>0</v>
      </c>
      <c r="L411" s="6">
        <v>139.81899999999999</v>
      </c>
      <c r="M411" s="6">
        <v>139.81899999999999</v>
      </c>
      <c r="N411" s="6">
        <v>139.81899999999999</v>
      </c>
      <c r="O411" s="6">
        <v>139.81899999999999</v>
      </c>
      <c r="P411" s="6">
        <v>0</v>
      </c>
      <c r="Q411" s="4" t="s">
        <v>26</v>
      </c>
      <c r="R411" s="4">
        <v>0</v>
      </c>
      <c r="S411" s="4" t="s">
        <v>206</v>
      </c>
      <c r="T411" s="4" t="s">
        <v>331</v>
      </c>
      <c r="U411" s="4">
        <v>0</v>
      </c>
      <c r="V411" s="4">
        <v>33</v>
      </c>
      <c r="W411" s="4">
        <v>72</v>
      </c>
    </row>
    <row r="412" spans="1:23" ht="11.25" customHeight="1" x14ac:dyDescent="0.25">
      <c r="A412" s="4" t="s">
        <v>28</v>
      </c>
      <c r="B412" s="4" t="s">
        <v>40</v>
      </c>
      <c r="C412" s="4" t="s">
        <v>23</v>
      </c>
      <c r="D412" s="4" t="s">
        <v>41</v>
      </c>
      <c r="E412" s="4" t="s">
        <v>49</v>
      </c>
      <c r="F412" s="4" t="s">
        <v>50</v>
      </c>
      <c r="G412" s="4" t="s">
        <v>25</v>
      </c>
      <c r="H412" s="4" t="s">
        <v>25</v>
      </c>
      <c r="I412" s="5">
        <v>44621</v>
      </c>
      <c r="J412" s="6">
        <v>0</v>
      </c>
      <c r="K412" s="6">
        <v>0</v>
      </c>
      <c r="L412" s="6">
        <v>10.055</v>
      </c>
      <c r="M412" s="6">
        <v>10.055</v>
      </c>
      <c r="N412" s="6">
        <v>10.055</v>
      </c>
      <c r="O412" s="6">
        <v>10.055</v>
      </c>
      <c r="P412" s="6">
        <v>0</v>
      </c>
      <c r="Q412" s="4" t="s">
        <v>26</v>
      </c>
      <c r="R412" s="4">
        <v>0</v>
      </c>
      <c r="S412" s="4" t="s">
        <v>206</v>
      </c>
      <c r="T412" s="4" t="s">
        <v>331</v>
      </c>
      <c r="U412" s="4">
        <v>0</v>
      </c>
      <c r="V412" s="4">
        <v>33</v>
      </c>
      <c r="W412" s="4">
        <v>72</v>
      </c>
    </row>
    <row r="413" spans="1:23" ht="11.25" customHeight="1" x14ac:dyDescent="0.25">
      <c r="A413" s="4" t="s">
        <v>21</v>
      </c>
      <c r="B413" s="4" t="s">
        <v>40</v>
      </c>
      <c r="C413" s="4" t="s">
        <v>23</v>
      </c>
      <c r="D413" s="4" t="s">
        <v>41</v>
      </c>
      <c r="E413" s="4" t="s">
        <v>49</v>
      </c>
      <c r="F413" s="4" t="s">
        <v>50</v>
      </c>
      <c r="G413" s="4" t="s">
        <v>25</v>
      </c>
      <c r="H413" s="4" t="s">
        <v>25</v>
      </c>
      <c r="I413" s="5">
        <v>44652</v>
      </c>
      <c r="J413" s="6">
        <v>0</v>
      </c>
      <c r="K413" s="6">
        <v>0</v>
      </c>
      <c r="L413" s="6">
        <v>27.771999999999998</v>
      </c>
      <c r="M413" s="6">
        <v>27.771999999999998</v>
      </c>
      <c r="N413" s="6">
        <v>27.771999999999998</v>
      </c>
      <c r="O413" s="6">
        <v>27.771999999999998</v>
      </c>
      <c r="P413" s="6">
        <v>0</v>
      </c>
      <c r="Q413" s="4" t="s">
        <v>26</v>
      </c>
      <c r="R413" s="4">
        <v>0</v>
      </c>
      <c r="S413" s="4" t="s">
        <v>207</v>
      </c>
      <c r="T413" s="4" t="s">
        <v>332</v>
      </c>
      <c r="U413" s="4">
        <v>0</v>
      </c>
      <c r="V413" s="4">
        <v>33</v>
      </c>
      <c r="W413" s="4">
        <v>72</v>
      </c>
    </row>
    <row r="414" spans="1:23" ht="11.25" customHeight="1" x14ac:dyDescent="0.25">
      <c r="A414" s="4" t="s">
        <v>28</v>
      </c>
      <c r="B414" s="4" t="s">
        <v>40</v>
      </c>
      <c r="C414" s="4" t="s">
        <v>23</v>
      </c>
      <c r="D414" s="4" t="s">
        <v>41</v>
      </c>
      <c r="E414" s="4" t="s">
        <v>49</v>
      </c>
      <c r="F414" s="4" t="s">
        <v>50</v>
      </c>
      <c r="G414" s="4" t="s">
        <v>25</v>
      </c>
      <c r="H414" s="4" t="s">
        <v>25</v>
      </c>
      <c r="I414" s="5">
        <v>44652</v>
      </c>
      <c r="J414" s="6">
        <v>0</v>
      </c>
      <c r="K414" s="6">
        <v>0</v>
      </c>
      <c r="L414" s="6">
        <v>0.2</v>
      </c>
      <c r="M414" s="6">
        <v>0.2</v>
      </c>
      <c r="N414" s="6">
        <v>0.2</v>
      </c>
      <c r="O414" s="6">
        <v>0.2</v>
      </c>
      <c r="P414" s="6">
        <v>0</v>
      </c>
      <c r="Q414" s="4" t="s">
        <v>26</v>
      </c>
      <c r="R414" s="4">
        <v>0</v>
      </c>
      <c r="S414" s="4" t="s">
        <v>207</v>
      </c>
      <c r="T414" s="4" t="s">
        <v>332</v>
      </c>
      <c r="U414" s="4">
        <v>0</v>
      </c>
      <c r="V414" s="4">
        <v>33</v>
      </c>
      <c r="W414" s="4">
        <v>72</v>
      </c>
    </row>
    <row r="415" spans="1:23" ht="11.25" customHeight="1" x14ac:dyDescent="0.25">
      <c r="A415" s="4" t="s">
        <v>21</v>
      </c>
      <c r="B415" s="4" t="s">
        <v>40</v>
      </c>
      <c r="C415" s="4" t="s">
        <v>23</v>
      </c>
      <c r="D415" s="4" t="s">
        <v>41</v>
      </c>
      <c r="E415" s="4" t="s">
        <v>49</v>
      </c>
      <c r="F415" s="4" t="s">
        <v>50</v>
      </c>
      <c r="G415" s="4" t="s">
        <v>25</v>
      </c>
      <c r="H415" s="4" t="s">
        <v>25</v>
      </c>
      <c r="I415" s="5">
        <v>44682</v>
      </c>
      <c r="J415" s="6">
        <v>0</v>
      </c>
      <c r="K415" s="6">
        <v>0</v>
      </c>
      <c r="L415" s="6">
        <v>5.6420000000000003</v>
      </c>
      <c r="M415" s="6">
        <v>5.6420000000000003</v>
      </c>
      <c r="N415" s="6">
        <v>5.6420000000000003</v>
      </c>
      <c r="O415" s="6">
        <v>5.6420000000000003</v>
      </c>
      <c r="P415" s="6">
        <v>0</v>
      </c>
      <c r="Q415" s="4" t="s">
        <v>26</v>
      </c>
      <c r="R415" s="4">
        <v>0</v>
      </c>
      <c r="S415" s="4" t="s">
        <v>208</v>
      </c>
      <c r="T415" s="4" t="s">
        <v>333</v>
      </c>
      <c r="U415" s="4">
        <v>0</v>
      </c>
      <c r="V415" s="4">
        <v>33</v>
      </c>
      <c r="W415" s="4">
        <v>72</v>
      </c>
    </row>
    <row r="416" spans="1:23" ht="11.25" customHeight="1" x14ac:dyDescent="0.25">
      <c r="A416" s="4" t="s">
        <v>27</v>
      </c>
      <c r="B416" s="4" t="s">
        <v>40</v>
      </c>
      <c r="C416" s="4" t="s">
        <v>23</v>
      </c>
      <c r="D416" s="4" t="s">
        <v>41</v>
      </c>
      <c r="E416" s="4" t="s">
        <v>49</v>
      </c>
      <c r="F416" s="4" t="s">
        <v>50</v>
      </c>
      <c r="G416" s="4" t="s">
        <v>25</v>
      </c>
      <c r="H416" s="4" t="s">
        <v>25</v>
      </c>
      <c r="I416" s="5">
        <v>44682</v>
      </c>
      <c r="J416" s="6">
        <v>0</v>
      </c>
      <c r="K416" s="6">
        <v>0</v>
      </c>
      <c r="L416" s="6">
        <v>3.2040000000000002</v>
      </c>
      <c r="M416" s="6">
        <v>3.2040000000000002</v>
      </c>
      <c r="N416" s="6">
        <v>3.2040000000000002</v>
      </c>
      <c r="O416" s="6">
        <v>3.2040000000000002</v>
      </c>
      <c r="P416" s="6">
        <v>0</v>
      </c>
      <c r="Q416" s="4" t="s">
        <v>26</v>
      </c>
      <c r="R416" s="4">
        <v>0</v>
      </c>
      <c r="S416" s="4" t="s">
        <v>208</v>
      </c>
      <c r="T416" s="4" t="s">
        <v>333</v>
      </c>
      <c r="U416" s="4">
        <v>0</v>
      </c>
      <c r="V416" s="4">
        <v>33</v>
      </c>
      <c r="W416" s="4">
        <v>72</v>
      </c>
    </row>
    <row r="417" spans="1:23" ht="11.25" customHeight="1" x14ac:dyDescent="0.25">
      <c r="A417" s="4" t="s">
        <v>28</v>
      </c>
      <c r="B417" s="4" t="s">
        <v>40</v>
      </c>
      <c r="C417" s="4" t="s">
        <v>23</v>
      </c>
      <c r="D417" s="4" t="s">
        <v>41</v>
      </c>
      <c r="E417" s="4" t="s">
        <v>49</v>
      </c>
      <c r="F417" s="4" t="s">
        <v>50</v>
      </c>
      <c r="G417" s="4" t="s">
        <v>25</v>
      </c>
      <c r="H417" s="4" t="s">
        <v>25</v>
      </c>
      <c r="I417" s="5">
        <v>44682</v>
      </c>
      <c r="J417" s="6">
        <v>0</v>
      </c>
      <c r="K417" s="6">
        <v>0</v>
      </c>
      <c r="L417" s="6">
        <v>0.16</v>
      </c>
      <c r="M417" s="6">
        <v>0.16</v>
      </c>
      <c r="N417" s="6">
        <v>0.16</v>
      </c>
      <c r="O417" s="6">
        <v>0.16</v>
      </c>
      <c r="P417" s="6">
        <v>0</v>
      </c>
      <c r="Q417" s="4" t="s">
        <v>26</v>
      </c>
      <c r="R417" s="4">
        <v>0</v>
      </c>
      <c r="S417" s="4" t="s">
        <v>208</v>
      </c>
      <c r="T417" s="4" t="s">
        <v>333</v>
      </c>
      <c r="U417" s="4">
        <v>0</v>
      </c>
      <c r="V417" s="4">
        <v>33</v>
      </c>
      <c r="W417" s="4">
        <v>72</v>
      </c>
    </row>
    <row r="418" spans="1:23" ht="11.25" customHeight="1" x14ac:dyDescent="0.25">
      <c r="A418" s="4" t="s">
        <v>21</v>
      </c>
      <c r="B418" s="4" t="s">
        <v>40</v>
      </c>
      <c r="C418" s="4" t="s">
        <v>23</v>
      </c>
      <c r="D418" s="4" t="s">
        <v>41</v>
      </c>
      <c r="E418" s="4" t="s">
        <v>49</v>
      </c>
      <c r="F418" s="4" t="s">
        <v>50</v>
      </c>
      <c r="G418" s="4" t="s">
        <v>25</v>
      </c>
      <c r="H418" s="4" t="s">
        <v>25</v>
      </c>
      <c r="I418" s="5">
        <v>44713</v>
      </c>
      <c r="J418" s="6">
        <v>0</v>
      </c>
      <c r="K418" s="6">
        <v>0</v>
      </c>
      <c r="L418" s="6">
        <v>3.7</v>
      </c>
      <c r="M418" s="6">
        <v>3.7</v>
      </c>
      <c r="N418" s="6">
        <v>3.7</v>
      </c>
      <c r="O418" s="6">
        <v>3.7</v>
      </c>
      <c r="P418" s="6">
        <v>0</v>
      </c>
      <c r="Q418" s="4" t="s">
        <v>26</v>
      </c>
      <c r="R418" s="4">
        <v>0</v>
      </c>
      <c r="S418" s="4" t="s">
        <v>209</v>
      </c>
      <c r="T418" s="4" t="s">
        <v>334</v>
      </c>
      <c r="U418" s="4">
        <v>0</v>
      </c>
      <c r="V418" s="4">
        <v>33</v>
      </c>
      <c r="W418" s="4">
        <v>72</v>
      </c>
    </row>
    <row r="419" spans="1:23" ht="11.25" customHeight="1" x14ac:dyDescent="0.25">
      <c r="A419" s="4" t="s">
        <v>28</v>
      </c>
      <c r="B419" s="4" t="s">
        <v>40</v>
      </c>
      <c r="C419" s="4" t="s">
        <v>23</v>
      </c>
      <c r="D419" s="4" t="s">
        <v>41</v>
      </c>
      <c r="E419" s="4" t="s">
        <v>49</v>
      </c>
      <c r="F419" s="4" t="s">
        <v>50</v>
      </c>
      <c r="G419" s="4" t="s">
        <v>25</v>
      </c>
      <c r="H419" s="4" t="s">
        <v>25</v>
      </c>
      <c r="I419" s="5">
        <v>44713</v>
      </c>
      <c r="J419" s="6">
        <v>0</v>
      </c>
      <c r="K419" s="6">
        <v>0</v>
      </c>
      <c r="L419" s="6">
        <v>0.16</v>
      </c>
      <c r="M419" s="6">
        <v>0.16</v>
      </c>
      <c r="N419" s="6">
        <v>0.16</v>
      </c>
      <c r="O419" s="6">
        <v>0.16</v>
      </c>
      <c r="P419" s="6">
        <v>0</v>
      </c>
      <c r="Q419" s="4" t="s">
        <v>26</v>
      </c>
      <c r="R419" s="4">
        <v>0</v>
      </c>
      <c r="S419" s="4" t="s">
        <v>209</v>
      </c>
      <c r="T419" s="4" t="s">
        <v>334</v>
      </c>
      <c r="U419" s="4">
        <v>0</v>
      </c>
      <c r="V419" s="4">
        <v>33</v>
      </c>
      <c r="W419" s="4">
        <v>72</v>
      </c>
    </row>
    <row r="420" spans="1:23" ht="11.25" customHeight="1" x14ac:dyDescent="0.25">
      <c r="A420" s="4" t="s">
        <v>21</v>
      </c>
      <c r="B420" s="4" t="s">
        <v>40</v>
      </c>
      <c r="C420" s="4" t="s">
        <v>23</v>
      </c>
      <c r="D420" s="4" t="s">
        <v>41</v>
      </c>
      <c r="E420" s="4" t="s">
        <v>49</v>
      </c>
      <c r="F420" s="4" t="s">
        <v>51</v>
      </c>
      <c r="G420" s="4" t="s">
        <v>25</v>
      </c>
      <c r="H420" s="4" t="s">
        <v>25</v>
      </c>
      <c r="I420" s="5">
        <v>44378</v>
      </c>
      <c r="J420" s="6">
        <v>0</v>
      </c>
      <c r="K420" s="6">
        <v>0</v>
      </c>
      <c r="L420" s="6">
        <v>0.55600000000000005</v>
      </c>
      <c r="M420" s="6">
        <v>0.22239999999999999</v>
      </c>
      <c r="N420" s="6">
        <v>0.55600000000000005</v>
      </c>
      <c r="O420" s="6">
        <v>0.22239999999999999</v>
      </c>
      <c r="P420" s="6">
        <v>0</v>
      </c>
      <c r="Q420" s="4" t="s">
        <v>26</v>
      </c>
      <c r="R420" s="4">
        <v>0</v>
      </c>
      <c r="S420" s="4" t="s">
        <v>198</v>
      </c>
      <c r="T420" s="4" t="s">
        <v>323</v>
      </c>
      <c r="U420" s="4">
        <v>0</v>
      </c>
      <c r="V420" s="4">
        <v>33</v>
      </c>
      <c r="W420" s="4">
        <v>72</v>
      </c>
    </row>
    <row r="421" spans="1:23" ht="11.25" customHeight="1" x14ac:dyDescent="0.25">
      <c r="A421" s="4" t="s">
        <v>28</v>
      </c>
      <c r="B421" s="4" t="s">
        <v>40</v>
      </c>
      <c r="C421" s="4" t="s">
        <v>23</v>
      </c>
      <c r="D421" s="4" t="s">
        <v>41</v>
      </c>
      <c r="E421" s="4" t="s">
        <v>49</v>
      </c>
      <c r="F421" s="4" t="s">
        <v>51</v>
      </c>
      <c r="G421" s="4" t="s">
        <v>25</v>
      </c>
      <c r="H421" s="4" t="s">
        <v>25</v>
      </c>
      <c r="I421" s="5">
        <v>44378</v>
      </c>
      <c r="J421" s="6">
        <v>0</v>
      </c>
      <c r="K421" s="6">
        <v>0</v>
      </c>
      <c r="L421" s="6">
        <v>0.247</v>
      </c>
      <c r="M421" s="6">
        <v>0.247</v>
      </c>
      <c r="N421" s="6">
        <v>0.247</v>
      </c>
      <c r="O421" s="6">
        <v>0.247</v>
      </c>
      <c r="P421" s="6">
        <v>0</v>
      </c>
      <c r="Q421" s="4" t="s">
        <v>26</v>
      </c>
      <c r="R421" s="4">
        <v>0</v>
      </c>
      <c r="S421" s="4" t="s">
        <v>198</v>
      </c>
      <c r="T421" s="4" t="s">
        <v>323</v>
      </c>
      <c r="U421" s="4">
        <v>0</v>
      </c>
      <c r="V421" s="4">
        <v>33</v>
      </c>
      <c r="W421" s="4">
        <v>72</v>
      </c>
    </row>
    <row r="422" spans="1:23" ht="11.25" customHeight="1" x14ac:dyDescent="0.25">
      <c r="A422" s="4" t="s">
        <v>21</v>
      </c>
      <c r="B422" s="4" t="s">
        <v>40</v>
      </c>
      <c r="C422" s="4" t="s">
        <v>23</v>
      </c>
      <c r="D422" s="4" t="s">
        <v>41</v>
      </c>
      <c r="E422" s="4" t="s">
        <v>49</v>
      </c>
      <c r="F422" s="4" t="s">
        <v>51</v>
      </c>
      <c r="G422" s="4" t="s">
        <v>25</v>
      </c>
      <c r="H422" s="4" t="s">
        <v>25</v>
      </c>
      <c r="I422" s="5">
        <v>44409</v>
      </c>
      <c r="J422" s="6">
        <v>0</v>
      </c>
      <c r="K422" s="6">
        <v>0</v>
      </c>
      <c r="L422" s="6">
        <v>1.163</v>
      </c>
      <c r="M422" s="6">
        <v>0.4652</v>
      </c>
      <c r="N422" s="6">
        <v>1.163</v>
      </c>
      <c r="O422" s="6">
        <v>0.4652</v>
      </c>
      <c r="P422" s="6">
        <v>0</v>
      </c>
      <c r="Q422" s="4" t="s">
        <v>26</v>
      </c>
      <c r="R422" s="4">
        <v>0</v>
      </c>
      <c r="S422" s="4" t="s">
        <v>199</v>
      </c>
      <c r="T422" s="4" t="s">
        <v>324</v>
      </c>
      <c r="U422" s="4">
        <v>0</v>
      </c>
      <c r="V422" s="4">
        <v>33</v>
      </c>
      <c r="W422" s="4">
        <v>72</v>
      </c>
    </row>
    <row r="423" spans="1:23" ht="11.25" customHeight="1" x14ac:dyDescent="0.25">
      <c r="A423" s="4" t="s">
        <v>28</v>
      </c>
      <c r="B423" s="4" t="s">
        <v>40</v>
      </c>
      <c r="C423" s="4" t="s">
        <v>23</v>
      </c>
      <c r="D423" s="4" t="s">
        <v>41</v>
      </c>
      <c r="E423" s="4" t="s">
        <v>49</v>
      </c>
      <c r="F423" s="4" t="s">
        <v>51</v>
      </c>
      <c r="G423" s="4" t="s">
        <v>25</v>
      </c>
      <c r="H423" s="4" t="s">
        <v>25</v>
      </c>
      <c r="I423" s="5">
        <v>44409</v>
      </c>
      <c r="J423" s="6">
        <v>0</v>
      </c>
      <c r="K423" s="6">
        <v>0</v>
      </c>
      <c r="L423" s="6">
        <v>0.317</v>
      </c>
      <c r="M423" s="6">
        <v>0.317</v>
      </c>
      <c r="N423" s="6">
        <v>0.317</v>
      </c>
      <c r="O423" s="6">
        <v>0.317</v>
      </c>
      <c r="P423" s="6">
        <v>0</v>
      </c>
      <c r="Q423" s="4" t="s">
        <v>26</v>
      </c>
      <c r="R423" s="4">
        <v>0</v>
      </c>
      <c r="S423" s="4" t="s">
        <v>199</v>
      </c>
      <c r="T423" s="4" t="s">
        <v>324</v>
      </c>
      <c r="U423" s="4">
        <v>0</v>
      </c>
      <c r="V423" s="4">
        <v>33</v>
      </c>
      <c r="W423" s="4">
        <v>72</v>
      </c>
    </row>
    <row r="424" spans="1:23" ht="11.25" customHeight="1" x14ac:dyDescent="0.25">
      <c r="A424" s="4" t="s">
        <v>21</v>
      </c>
      <c r="B424" s="4" t="s">
        <v>40</v>
      </c>
      <c r="C424" s="4" t="s">
        <v>23</v>
      </c>
      <c r="D424" s="4" t="s">
        <v>41</v>
      </c>
      <c r="E424" s="4" t="s">
        <v>49</v>
      </c>
      <c r="F424" s="4" t="s">
        <v>51</v>
      </c>
      <c r="G424" s="4" t="s">
        <v>25</v>
      </c>
      <c r="H424" s="4" t="s">
        <v>25</v>
      </c>
      <c r="I424" s="5">
        <v>44440</v>
      </c>
      <c r="J424" s="6">
        <v>0</v>
      </c>
      <c r="K424" s="6">
        <v>0</v>
      </c>
      <c r="L424" s="6">
        <v>5.7380000000000004</v>
      </c>
      <c r="M424" s="6">
        <v>2.2951999999999999</v>
      </c>
      <c r="N424" s="6">
        <v>5.7380000000000004</v>
      </c>
      <c r="O424" s="6">
        <v>2.2951999999999999</v>
      </c>
      <c r="P424" s="6">
        <v>0</v>
      </c>
      <c r="Q424" s="4" t="s">
        <v>26</v>
      </c>
      <c r="R424" s="4">
        <v>0</v>
      </c>
      <c r="S424" s="4" t="s">
        <v>200</v>
      </c>
      <c r="T424" s="4" t="s">
        <v>325</v>
      </c>
      <c r="U424" s="4">
        <v>0</v>
      </c>
      <c r="V424" s="4">
        <v>33</v>
      </c>
      <c r="W424" s="4">
        <v>72</v>
      </c>
    </row>
    <row r="425" spans="1:23" ht="11.25" customHeight="1" x14ac:dyDescent="0.25">
      <c r="A425" s="4" t="s">
        <v>28</v>
      </c>
      <c r="B425" s="4" t="s">
        <v>40</v>
      </c>
      <c r="C425" s="4" t="s">
        <v>23</v>
      </c>
      <c r="D425" s="4" t="s">
        <v>41</v>
      </c>
      <c r="E425" s="4" t="s">
        <v>49</v>
      </c>
      <c r="F425" s="4" t="s">
        <v>51</v>
      </c>
      <c r="G425" s="4" t="s">
        <v>25</v>
      </c>
      <c r="H425" s="4" t="s">
        <v>25</v>
      </c>
      <c r="I425" s="5">
        <v>44440</v>
      </c>
      <c r="J425" s="6">
        <v>0</v>
      </c>
      <c r="K425" s="6">
        <v>0</v>
      </c>
      <c r="L425" s="6">
        <v>1.1499999999999999</v>
      </c>
      <c r="M425" s="6">
        <v>1.1499999999999999</v>
      </c>
      <c r="N425" s="6">
        <v>1.1499999999999999</v>
      </c>
      <c r="O425" s="6">
        <v>1.1499999999999999</v>
      </c>
      <c r="P425" s="6">
        <v>0</v>
      </c>
      <c r="Q425" s="4" t="s">
        <v>26</v>
      </c>
      <c r="R425" s="4">
        <v>0</v>
      </c>
      <c r="S425" s="4" t="s">
        <v>200</v>
      </c>
      <c r="T425" s="4" t="s">
        <v>325</v>
      </c>
      <c r="U425" s="4">
        <v>0</v>
      </c>
      <c r="V425" s="4">
        <v>33</v>
      </c>
      <c r="W425" s="4">
        <v>72</v>
      </c>
    </row>
    <row r="426" spans="1:23" ht="11.25" customHeight="1" x14ac:dyDescent="0.25">
      <c r="A426" s="4" t="s">
        <v>21</v>
      </c>
      <c r="B426" s="4" t="s">
        <v>40</v>
      </c>
      <c r="C426" s="4" t="s">
        <v>23</v>
      </c>
      <c r="D426" s="4" t="s">
        <v>41</v>
      </c>
      <c r="E426" s="4" t="s">
        <v>49</v>
      </c>
      <c r="F426" s="4" t="s">
        <v>51</v>
      </c>
      <c r="G426" s="4" t="s">
        <v>25</v>
      </c>
      <c r="H426" s="4" t="s">
        <v>25</v>
      </c>
      <c r="I426" s="5">
        <v>44470</v>
      </c>
      <c r="J426" s="6">
        <v>0</v>
      </c>
      <c r="K426" s="6">
        <v>0</v>
      </c>
      <c r="L426" s="6">
        <v>19.593</v>
      </c>
      <c r="M426" s="6">
        <v>7.8372000000000002</v>
      </c>
      <c r="N426" s="6">
        <v>19.593</v>
      </c>
      <c r="O426" s="6">
        <v>7.8372000000000002</v>
      </c>
      <c r="P426" s="6">
        <v>0</v>
      </c>
      <c r="Q426" s="4" t="s">
        <v>26</v>
      </c>
      <c r="R426" s="4">
        <v>0</v>
      </c>
      <c r="S426" s="4" t="s">
        <v>201</v>
      </c>
      <c r="T426" s="4" t="s">
        <v>326</v>
      </c>
      <c r="U426" s="4">
        <v>0</v>
      </c>
      <c r="V426" s="4">
        <v>33</v>
      </c>
      <c r="W426" s="4">
        <v>72</v>
      </c>
    </row>
    <row r="427" spans="1:23" ht="11.25" customHeight="1" x14ac:dyDescent="0.25">
      <c r="A427" s="4" t="s">
        <v>28</v>
      </c>
      <c r="B427" s="4" t="s">
        <v>40</v>
      </c>
      <c r="C427" s="4" t="s">
        <v>23</v>
      </c>
      <c r="D427" s="4" t="s">
        <v>41</v>
      </c>
      <c r="E427" s="4" t="s">
        <v>49</v>
      </c>
      <c r="F427" s="4" t="s">
        <v>51</v>
      </c>
      <c r="G427" s="4" t="s">
        <v>25</v>
      </c>
      <c r="H427" s="4" t="s">
        <v>25</v>
      </c>
      <c r="I427" s="5">
        <v>44470</v>
      </c>
      <c r="J427" s="6">
        <v>0</v>
      </c>
      <c r="K427" s="6">
        <v>0</v>
      </c>
      <c r="L427" s="6">
        <v>0.01</v>
      </c>
      <c r="M427" s="6">
        <v>0.01</v>
      </c>
      <c r="N427" s="6">
        <v>0.01</v>
      </c>
      <c r="O427" s="6">
        <v>0.01</v>
      </c>
      <c r="P427" s="6">
        <v>0</v>
      </c>
      <c r="Q427" s="4" t="s">
        <v>26</v>
      </c>
      <c r="R427" s="4">
        <v>0</v>
      </c>
      <c r="S427" s="4" t="s">
        <v>201</v>
      </c>
      <c r="T427" s="4" t="s">
        <v>326</v>
      </c>
      <c r="U427" s="4">
        <v>0</v>
      </c>
      <c r="V427" s="4">
        <v>33</v>
      </c>
      <c r="W427" s="4">
        <v>72</v>
      </c>
    </row>
    <row r="428" spans="1:23" ht="11.25" customHeight="1" x14ac:dyDescent="0.25">
      <c r="A428" s="4" t="s">
        <v>21</v>
      </c>
      <c r="B428" s="4" t="s">
        <v>40</v>
      </c>
      <c r="C428" s="4" t="s">
        <v>23</v>
      </c>
      <c r="D428" s="4" t="s">
        <v>41</v>
      </c>
      <c r="E428" s="4" t="s">
        <v>49</v>
      </c>
      <c r="F428" s="4" t="s">
        <v>51</v>
      </c>
      <c r="G428" s="4" t="s">
        <v>25</v>
      </c>
      <c r="H428" s="4" t="s">
        <v>25</v>
      </c>
      <c r="I428" s="5">
        <v>44501</v>
      </c>
      <c r="J428" s="6">
        <v>0</v>
      </c>
      <c r="K428" s="6">
        <v>0</v>
      </c>
      <c r="L428" s="6">
        <v>103.77800000000001</v>
      </c>
      <c r="M428" s="6">
        <v>41.511200000000002</v>
      </c>
      <c r="N428" s="6">
        <v>103.77800000000001</v>
      </c>
      <c r="O428" s="6">
        <v>41.511200000000002</v>
      </c>
      <c r="P428" s="6">
        <v>0</v>
      </c>
      <c r="Q428" s="4" t="s">
        <v>26</v>
      </c>
      <c r="R428" s="4">
        <v>0</v>
      </c>
      <c r="S428" s="4" t="s">
        <v>202</v>
      </c>
      <c r="T428" s="4" t="s">
        <v>327</v>
      </c>
      <c r="U428" s="4">
        <v>0</v>
      </c>
      <c r="V428" s="4">
        <v>33</v>
      </c>
      <c r="W428" s="4">
        <v>72</v>
      </c>
    </row>
    <row r="429" spans="1:23" ht="11.25" customHeight="1" x14ac:dyDescent="0.25">
      <c r="A429" s="4" t="s">
        <v>27</v>
      </c>
      <c r="B429" s="4" t="s">
        <v>40</v>
      </c>
      <c r="C429" s="4" t="s">
        <v>23</v>
      </c>
      <c r="D429" s="4" t="s">
        <v>41</v>
      </c>
      <c r="E429" s="4" t="s">
        <v>49</v>
      </c>
      <c r="F429" s="4" t="s">
        <v>51</v>
      </c>
      <c r="G429" s="4" t="s">
        <v>25</v>
      </c>
      <c r="H429" s="4" t="s">
        <v>25</v>
      </c>
      <c r="I429" s="5">
        <v>44501</v>
      </c>
      <c r="J429" s="6">
        <v>0</v>
      </c>
      <c r="K429" s="6">
        <v>0</v>
      </c>
      <c r="L429" s="6">
        <v>-12.36</v>
      </c>
      <c r="M429" s="6">
        <v>-4.944</v>
      </c>
      <c r="N429" s="6">
        <v>-12.36</v>
      </c>
      <c r="O429" s="6">
        <v>-4.944</v>
      </c>
      <c r="P429" s="6">
        <v>0</v>
      </c>
      <c r="Q429" s="4" t="s">
        <v>26</v>
      </c>
      <c r="R429" s="4">
        <v>0</v>
      </c>
      <c r="S429" s="4" t="s">
        <v>202</v>
      </c>
      <c r="T429" s="4" t="s">
        <v>327</v>
      </c>
      <c r="U429" s="4">
        <v>0</v>
      </c>
      <c r="V429" s="4">
        <v>33</v>
      </c>
      <c r="W429" s="4">
        <v>72</v>
      </c>
    </row>
    <row r="430" spans="1:23" ht="11.25" customHeight="1" x14ac:dyDescent="0.25">
      <c r="A430" s="4" t="s">
        <v>28</v>
      </c>
      <c r="B430" s="4" t="s">
        <v>40</v>
      </c>
      <c r="C430" s="4" t="s">
        <v>23</v>
      </c>
      <c r="D430" s="4" t="s">
        <v>41</v>
      </c>
      <c r="E430" s="4" t="s">
        <v>49</v>
      </c>
      <c r="F430" s="4" t="s">
        <v>51</v>
      </c>
      <c r="G430" s="4" t="s">
        <v>25</v>
      </c>
      <c r="H430" s="4" t="s">
        <v>25</v>
      </c>
      <c r="I430" s="5">
        <v>44501</v>
      </c>
      <c r="J430" s="6">
        <v>0</v>
      </c>
      <c r="K430" s="6">
        <v>0</v>
      </c>
      <c r="L430" s="6">
        <v>8.2799999999999994</v>
      </c>
      <c r="M430" s="6">
        <v>8.2799999999999994</v>
      </c>
      <c r="N430" s="6">
        <v>8.2799999999999994</v>
      </c>
      <c r="O430" s="6">
        <v>8.2799999999999994</v>
      </c>
      <c r="P430" s="6">
        <v>0</v>
      </c>
      <c r="Q430" s="4" t="s">
        <v>26</v>
      </c>
      <c r="R430" s="4">
        <v>0</v>
      </c>
      <c r="S430" s="4" t="s">
        <v>202</v>
      </c>
      <c r="T430" s="4" t="s">
        <v>327</v>
      </c>
      <c r="U430" s="4">
        <v>0</v>
      </c>
      <c r="V430" s="4">
        <v>33</v>
      </c>
      <c r="W430" s="4">
        <v>72</v>
      </c>
    </row>
    <row r="431" spans="1:23" ht="11.25" customHeight="1" x14ac:dyDescent="0.25">
      <c r="A431" s="4" t="s">
        <v>21</v>
      </c>
      <c r="B431" s="4" t="s">
        <v>40</v>
      </c>
      <c r="C431" s="4" t="s">
        <v>23</v>
      </c>
      <c r="D431" s="4" t="s">
        <v>41</v>
      </c>
      <c r="E431" s="4" t="s">
        <v>49</v>
      </c>
      <c r="F431" s="4" t="s">
        <v>51</v>
      </c>
      <c r="G431" s="4" t="s">
        <v>25</v>
      </c>
      <c r="H431" s="4" t="s">
        <v>25</v>
      </c>
      <c r="I431" s="5">
        <v>44531</v>
      </c>
      <c r="J431" s="6">
        <v>0</v>
      </c>
      <c r="K431" s="6">
        <v>0</v>
      </c>
      <c r="L431" s="6">
        <v>262.84800000000001</v>
      </c>
      <c r="M431" s="6">
        <v>105.1392</v>
      </c>
      <c r="N431" s="6">
        <v>262.84800000000001</v>
      </c>
      <c r="O431" s="6">
        <v>105.1392</v>
      </c>
      <c r="P431" s="6">
        <v>0</v>
      </c>
      <c r="Q431" s="4" t="s">
        <v>26</v>
      </c>
      <c r="R431" s="4">
        <v>0</v>
      </c>
      <c r="S431" s="4" t="s">
        <v>203</v>
      </c>
      <c r="T431" s="4" t="s">
        <v>328</v>
      </c>
      <c r="U431" s="4">
        <v>0</v>
      </c>
      <c r="V431" s="4">
        <v>33</v>
      </c>
      <c r="W431" s="4">
        <v>72</v>
      </c>
    </row>
    <row r="432" spans="1:23" ht="11.25" customHeight="1" x14ac:dyDescent="0.25">
      <c r="A432" s="4" t="s">
        <v>28</v>
      </c>
      <c r="B432" s="4" t="s">
        <v>40</v>
      </c>
      <c r="C432" s="4" t="s">
        <v>23</v>
      </c>
      <c r="D432" s="4" t="s">
        <v>41</v>
      </c>
      <c r="E432" s="4" t="s">
        <v>49</v>
      </c>
      <c r="F432" s="4" t="s">
        <v>51</v>
      </c>
      <c r="G432" s="4" t="s">
        <v>25</v>
      </c>
      <c r="H432" s="4" t="s">
        <v>25</v>
      </c>
      <c r="I432" s="5">
        <v>44531</v>
      </c>
      <c r="J432" s="6">
        <v>0</v>
      </c>
      <c r="K432" s="6">
        <v>0</v>
      </c>
      <c r="L432" s="6">
        <v>17.352</v>
      </c>
      <c r="M432" s="6">
        <v>17.352</v>
      </c>
      <c r="N432" s="6">
        <v>17.352</v>
      </c>
      <c r="O432" s="6">
        <v>17.352</v>
      </c>
      <c r="P432" s="6">
        <v>0</v>
      </c>
      <c r="Q432" s="4" t="s">
        <v>26</v>
      </c>
      <c r="R432" s="4">
        <v>0</v>
      </c>
      <c r="S432" s="4" t="s">
        <v>203</v>
      </c>
      <c r="T432" s="4" t="s">
        <v>328</v>
      </c>
      <c r="U432" s="4">
        <v>0</v>
      </c>
      <c r="V432" s="4">
        <v>33</v>
      </c>
      <c r="W432" s="4">
        <v>72</v>
      </c>
    </row>
    <row r="433" spans="1:23" ht="11.25" customHeight="1" x14ac:dyDescent="0.25">
      <c r="A433" s="4" t="s">
        <v>21</v>
      </c>
      <c r="B433" s="4" t="s">
        <v>40</v>
      </c>
      <c r="C433" s="4" t="s">
        <v>23</v>
      </c>
      <c r="D433" s="4" t="s">
        <v>41</v>
      </c>
      <c r="E433" s="4" t="s">
        <v>49</v>
      </c>
      <c r="F433" s="4" t="s">
        <v>51</v>
      </c>
      <c r="G433" s="4" t="s">
        <v>25</v>
      </c>
      <c r="H433" s="4" t="s">
        <v>25</v>
      </c>
      <c r="I433" s="5">
        <v>44562</v>
      </c>
      <c r="J433" s="6">
        <v>0</v>
      </c>
      <c r="K433" s="6">
        <v>0</v>
      </c>
      <c r="L433" s="6">
        <v>273.72500000000002</v>
      </c>
      <c r="M433" s="6">
        <v>109.49</v>
      </c>
      <c r="N433" s="6">
        <v>273.72500000000002</v>
      </c>
      <c r="O433" s="6">
        <v>109.49</v>
      </c>
      <c r="P433" s="6">
        <v>0</v>
      </c>
      <c r="Q433" s="4" t="s">
        <v>26</v>
      </c>
      <c r="R433" s="4">
        <v>0</v>
      </c>
      <c r="S433" s="4" t="s">
        <v>204</v>
      </c>
      <c r="T433" s="4" t="s">
        <v>329</v>
      </c>
      <c r="U433" s="4">
        <v>0</v>
      </c>
      <c r="V433" s="4">
        <v>33</v>
      </c>
      <c r="W433" s="4">
        <v>72</v>
      </c>
    </row>
    <row r="434" spans="1:23" ht="11.25" customHeight="1" x14ac:dyDescent="0.25">
      <c r="A434" s="4" t="s">
        <v>28</v>
      </c>
      <c r="B434" s="4" t="s">
        <v>40</v>
      </c>
      <c r="C434" s="4" t="s">
        <v>23</v>
      </c>
      <c r="D434" s="4" t="s">
        <v>41</v>
      </c>
      <c r="E434" s="4" t="s">
        <v>49</v>
      </c>
      <c r="F434" s="4" t="s">
        <v>51</v>
      </c>
      <c r="G434" s="4" t="s">
        <v>25</v>
      </c>
      <c r="H434" s="4" t="s">
        <v>25</v>
      </c>
      <c r="I434" s="5">
        <v>44562</v>
      </c>
      <c r="J434" s="6">
        <v>0</v>
      </c>
      <c r="K434" s="6">
        <v>0</v>
      </c>
      <c r="L434" s="6">
        <v>26.376999999999999</v>
      </c>
      <c r="M434" s="6">
        <v>26.376999999999999</v>
      </c>
      <c r="N434" s="6">
        <v>26.376999999999999</v>
      </c>
      <c r="O434" s="6">
        <v>26.376999999999999</v>
      </c>
      <c r="P434" s="6">
        <v>0</v>
      </c>
      <c r="Q434" s="4" t="s">
        <v>26</v>
      </c>
      <c r="R434" s="4">
        <v>0</v>
      </c>
      <c r="S434" s="4" t="s">
        <v>204</v>
      </c>
      <c r="T434" s="4" t="s">
        <v>329</v>
      </c>
      <c r="U434" s="4">
        <v>0</v>
      </c>
      <c r="V434" s="4">
        <v>33</v>
      </c>
      <c r="W434" s="4">
        <v>72</v>
      </c>
    </row>
    <row r="435" spans="1:23" ht="11.25" customHeight="1" x14ac:dyDescent="0.25">
      <c r="A435" s="4" t="s">
        <v>21</v>
      </c>
      <c r="B435" s="4" t="s">
        <v>40</v>
      </c>
      <c r="C435" s="4" t="s">
        <v>23</v>
      </c>
      <c r="D435" s="4" t="s">
        <v>41</v>
      </c>
      <c r="E435" s="4" t="s">
        <v>49</v>
      </c>
      <c r="F435" s="4" t="s">
        <v>51</v>
      </c>
      <c r="G435" s="4" t="s">
        <v>25</v>
      </c>
      <c r="H435" s="4" t="s">
        <v>25</v>
      </c>
      <c r="I435" s="5">
        <v>44593</v>
      </c>
      <c r="J435" s="6">
        <v>0</v>
      </c>
      <c r="K435" s="6">
        <v>0</v>
      </c>
      <c r="L435" s="6">
        <v>101.414</v>
      </c>
      <c r="M435" s="6">
        <v>40.565600000000003</v>
      </c>
      <c r="N435" s="6">
        <v>101.414</v>
      </c>
      <c r="O435" s="6">
        <v>40.565600000000003</v>
      </c>
      <c r="P435" s="6">
        <v>0</v>
      </c>
      <c r="Q435" s="4" t="s">
        <v>26</v>
      </c>
      <c r="R435" s="4">
        <v>0</v>
      </c>
      <c r="S435" s="4" t="s">
        <v>205</v>
      </c>
      <c r="T435" s="4" t="s">
        <v>330</v>
      </c>
      <c r="U435" s="4">
        <v>0</v>
      </c>
      <c r="V435" s="4">
        <v>33</v>
      </c>
      <c r="W435" s="4">
        <v>72</v>
      </c>
    </row>
    <row r="436" spans="1:23" ht="11.25" customHeight="1" x14ac:dyDescent="0.25">
      <c r="A436" s="4" t="s">
        <v>21</v>
      </c>
      <c r="B436" s="4" t="s">
        <v>40</v>
      </c>
      <c r="C436" s="4" t="s">
        <v>23</v>
      </c>
      <c r="D436" s="4" t="s">
        <v>41</v>
      </c>
      <c r="E436" s="4" t="s">
        <v>49</v>
      </c>
      <c r="F436" s="4" t="s">
        <v>51</v>
      </c>
      <c r="G436" s="4" t="s">
        <v>25</v>
      </c>
      <c r="H436" s="4" t="s">
        <v>25</v>
      </c>
      <c r="I436" s="5">
        <v>44621</v>
      </c>
      <c r="J436" s="6">
        <v>0</v>
      </c>
      <c r="K436" s="6">
        <v>0</v>
      </c>
      <c r="L436" s="6">
        <v>67.37</v>
      </c>
      <c r="M436" s="6">
        <v>26.948</v>
      </c>
      <c r="N436" s="6">
        <v>67.37</v>
      </c>
      <c r="O436" s="6">
        <v>26.948</v>
      </c>
      <c r="P436" s="6">
        <v>0</v>
      </c>
      <c r="Q436" s="4" t="s">
        <v>26</v>
      </c>
      <c r="R436" s="4">
        <v>0</v>
      </c>
      <c r="S436" s="4" t="s">
        <v>206</v>
      </c>
      <c r="T436" s="4" t="s">
        <v>331</v>
      </c>
      <c r="U436" s="4">
        <v>0</v>
      </c>
      <c r="V436" s="4">
        <v>33</v>
      </c>
      <c r="W436" s="4">
        <v>72</v>
      </c>
    </row>
    <row r="437" spans="1:23" ht="11.25" customHeight="1" x14ac:dyDescent="0.25">
      <c r="A437" s="4" t="s">
        <v>28</v>
      </c>
      <c r="B437" s="4" t="s">
        <v>40</v>
      </c>
      <c r="C437" s="4" t="s">
        <v>23</v>
      </c>
      <c r="D437" s="4" t="s">
        <v>41</v>
      </c>
      <c r="E437" s="4" t="s">
        <v>49</v>
      </c>
      <c r="F437" s="4" t="s">
        <v>51</v>
      </c>
      <c r="G437" s="4" t="s">
        <v>25</v>
      </c>
      <c r="H437" s="4" t="s">
        <v>25</v>
      </c>
      <c r="I437" s="5">
        <v>44621</v>
      </c>
      <c r="J437" s="6">
        <v>0</v>
      </c>
      <c r="K437" s="6">
        <v>0</v>
      </c>
      <c r="L437" s="6">
        <v>6.4210000000000003</v>
      </c>
      <c r="M437" s="6">
        <v>6.4210000000000003</v>
      </c>
      <c r="N437" s="6">
        <v>6.4210000000000003</v>
      </c>
      <c r="O437" s="6">
        <v>6.4210000000000003</v>
      </c>
      <c r="P437" s="6">
        <v>0</v>
      </c>
      <c r="Q437" s="4" t="s">
        <v>26</v>
      </c>
      <c r="R437" s="4">
        <v>0</v>
      </c>
      <c r="S437" s="4" t="s">
        <v>206</v>
      </c>
      <c r="T437" s="4" t="s">
        <v>331</v>
      </c>
      <c r="U437" s="4">
        <v>0</v>
      </c>
      <c r="V437" s="4">
        <v>33</v>
      </c>
      <c r="W437" s="4">
        <v>72</v>
      </c>
    </row>
    <row r="438" spans="1:23" ht="11.25" customHeight="1" x14ac:dyDescent="0.25">
      <c r="A438" s="4" t="s">
        <v>21</v>
      </c>
      <c r="B438" s="4" t="s">
        <v>40</v>
      </c>
      <c r="C438" s="4" t="s">
        <v>23</v>
      </c>
      <c r="D438" s="4" t="s">
        <v>41</v>
      </c>
      <c r="E438" s="4" t="s">
        <v>49</v>
      </c>
      <c r="F438" s="4" t="s">
        <v>51</v>
      </c>
      <c r="G438" s="4" t="s">
        <v>25</v>
      </c>
      <c r="H438" s="4" t="s">
        <v>25</v>
      </c>
      <c r="I438" s="5">
        <v>44652</v>
      </c>
      <c r="J438" s="6">
        <v>0</v>
      </c>
      <c r="K438" s="6">
        <v>0</v>
      </c>
      <c r="L438" s="6">
        <v>26.43</v>
      </c>
      <c r="M438" s="6">
        <v>10.571999999999999</v>
      </c>
      <c r="N438" s="6">
        <v>26.43</v>
      </c>
      <c r="O438" s="6">
        <v>10.571999999999999</v>
      </c>
      <c r="P438" s="6">
        <v>0</v>
      </c>
      <c r="Q438" s="4" t="s">
        <v>26</v>
      </c>
      <c r="R438" s="4">
        <v>0</v>
      </c>
      <c r="S438" s="4" t="s">
        <v>207</v>
      </c>
      <c r="T438" s="4" t="s">
        <v>332</v>
      </c>
      <c r="U438" s="4">
        <v>0</v>
      </c>
      <c r="V438" s="4">
        <v>33</v>
      </c>
      <c r="W438" s="4">
        <v>72</v>
      </c>
    </row>
    <row r="439" spans="1:23" ht="11.25" customHeight="1" x14ac:dyDescent="0.25">
      <c r="A439" s="4" t="s">
        <v>28</v>
      </c>
      <c r="B439" s="4" t="s">
        <v>40</v>
      </c>
      <c r="C439" s="4" t="s">
        <v>23</v>
      </c>
      <c r="D439" s="4" t="s">
        <v>41</v>
      </c>
      <c r="E439" s="4" t="s">
        <v>49</v>
      </c>
      <c r="F439" s="4" t="s">
        <v>51</v>
      </c>
      <c r="G439" s="4" t="s">
        <v>25</v>
      </c>
      <c r="H439" s="4" t="s">
        <v>25</v>
      </c>
      <c r="I439" s="5">
        <v>44652</v>
      </c>
      <c r="J439" s="6">
        <v>0</v>
      </c>
      <c r="K439" s="6">
        <v>0</v>
      </c>
      <c r="L439" s="6">
        <v>0.2</v>
      </c>
      <c r="M439" s="6">
        <v>0.2</v>
      </c>
      <c r="N439" s="6">
        <v>0.2</v>
      </c>
      <c r="O439" s="6">
        <v>0.2</v>
      </c>
      <c r="P439" s="6">
        <v>0</v>
      </c>
      <c r="Q439" s="4" t="s">
        <v>26</v>
      </c>
      <c r="R439" s="4">
        <v>0</v>
      </c>
      <c r="S439" s="4" t="s">
        <v>207</v>
      </c>
      <c r="T439" s="4" t="s">
        <v>332</v>
      </c>
      <c r="U439" s="4">
        <v>0</v>
      </c>
      <c r="V439" s="4">
        <v>33</v>
      </c>
      <c r="W439" s="4">
        <v>72</v>
      </c>
    </row>
    <row r="440" spans="1:23" ht="11.25" customHeight="1" x14ac:dyDescent="0.25">
      <c r="A440" s="4" t="s">
        <v>21</v>
      </c>
      <c r="B440" s="4" t="s">
        <v>40</v>
      </c>
      <c r="C440" s="4" t="s">
        <v>23</v>
      </c>
      <c r="D440" s="4" t="s">
        <v>41</v>
      </c>
      <c r="E440" s="4" t="s">
        <v>49</v>
      </c>
      <c r="F440" s="4" t="s">
        <v>51</v>
      </c>
      <c r="G440" s="4" t="s">
        <v>25</v>
      </c>
      <c r="H440" s="4" t="s">
        <v>25</v>
      </c>
      <c r="I440" s="5">
        <v>44682</v>
      </c>
      <c r="J440" s="6">
        <v>0</v>
      </c>
      <c r="K440" s="6">
        <v>0</v>
      </c>
      <c r="L440" s="6">
        <v>2.2999999999999998</v>
      </c>
      <c r="M440" s="6">
        <v>0.92</v>
      </c>
      <c r="N440" s="6">
        <v>2.2999999999999998</v>
      </c>
      <c r="O440" s="6">
        <v>0.92</v>
      </c>
      <c r="P440" s="6">
        <v>0</v>
      </c>
      <c r="Q440" s="4" t="s">
        <v>26</v>
      </c>
      <c r="R440" s="4">
        <v>0</v>
      </c>
      <c r="S440" s="4" t="s">
        <v>208</v>
      </c>
      <c r="T440" s="4" t="s">
        <v>333</v>
      </c>
      <c r="U440" s="4">
        <v>0</v>
      </c>
      <c r="V440" s="4">
        <v>33</v>
      </c>
      <c r="W440" s="4">
        <v>72</v>
      </c>
    </row>
    <row r="441" spans="1:23" ht="11.25" customHeight="1" x14ac:dyDescent="0.25">
      <c r="A441" s="4" t="s">
        <v>27</v>
      </c>
      <c r="B441" s="4" t="s">
        <v>40</v>
      </c>
      <c r="C441" s="4" t="s">
        <v>23</v>
      </c>
      <c r="D441" s="4" t="s">
        <v>41</v>
      </c>
      <c r="E441" s="4" t="s">
        <v>49</v>
      </c>
      <c r="F441" s="4" t="s">
        <v>51</v>
      </c>
      <c r="G441" s="4" t="s">
        <v>25</v>
      </c>
      <c r="H441" s="4" t="s">
        <v>25</v>
      </c>
      <c r="I441" s="5">
        <v>44682</v>
      </c>
      <c r="J441" s="6">
        <v>0</v>
      </c>
      <c r="K441" s="6">
        <v>0</v>
      </c>
      <c r="L441" s="6">
        <v>-3.1019999999999999</v>
      </c>
      <c r="M441" s="6">
        <v>-1.2407999999999999</v>
      </c>
      <c r="N441" s="6">
        <v>-3.1019999999999999</v>
      </c>
      <c r="O441" s="6">
        <v>-1.2407999999999999</v>
      </c>
      <c r="P441" s="6">
        <v>0</v>
      </c>
      <c r="Q441" s="4" t="s">
        <v>26</v>
      </c>
      <c r="R441" s="4">
        <v>0</v>
      </c>
      <c r="S441" s="4" t="s">
        <v>208</v>
      </c>
      <c r="T441" s="4" t="s">
        <v>333</v>
      </c>
      <c r="U441" s="4">
        <v>0</v>
      </c>
      <c r="V441" s="4">
        <v>33</v>
      </c>
      <c r="W441" s="4">
        <v>72</v>
      </c>
    </row>
    <row r="442" spans="1:23" ht="11.25" customHeight="1" x14ac:dyDescent="0.25">
      <c r="A442" s="4" t="s">
        <v>28</v>
      </c>
      <c r="B442" s="4" t="s">
        <v>40</v>
      </c>
      <c r="C442" s="4" t="s">
        <v>23</v>
      </c>
      <c r="D442" s="4" t="s">
        <v>41</v>
      </c>
      <c r="E442" s="4" t="s">
        <v>49</v>
      </c>
      <c r="F442" s="4" t="s">
        <v>51</v>
      </c>
      <c r="G442" s="4" t="s">
        <v>25</v>
      </c>
      <c r="H442" s="4" t="s">
        <v>25</v>
      </c>
      <c r="I442" s="5">
        <v>44682</v>
      </c>
      <c r="J442" s="6">
        <v>0</v>
      </c>
      <c r="K442" s="6">
        <v>0</v>
      </c>
      <c r="L442" s="6">
        <v>0.04</v>
      </c>
      <c r="M442" s="6">
        <v>0.04</v>
      </c>
      <c r="N442" s="6">
        <v>0.04</v>
      </c>
      <c r="O442" s="6">
        <v>0.04</v>
      </c>
      <c r="P442" s="6">
        <v>0</v>
      </c>
      <c r="Q442" s="4" t="s">
        <v>26</v>
      </c>
      <c r="R442" s="4">
        <v>0</v>
      </c>
      <c r="S442" s="4" t="s">
        <v>208</v>
      </c>
      <c r="T442" s="4" t="s">
        <v>333</v>
      </c>
      <c r="U442" s="4">
        <v>0</v>
      </c>
      <c r="V442" s="4">
        <v>33</v>
      </c>
      <c r="W442" s="4">
        <v>72</v>
      </c>
    </row>
    <row r="443" spans="1:23" ht="11.25" customHeight="1" x14ac:dyDescent="0.25">
      <c r="A443" s="4" t="s">
        <v>21</v>
      </c>
      <c r="B443" s="4" t="s">
        <v>40</v>
      </c>
      <c r="C443" s="4" t="s">
        <v>23</v>
      </c>
      <c r="D443" s="4" t="s">
        <v>41</v>
      </c>
      <c r="E443" s="4" t="s">
        <v>49</v>
      </c>
      <c r="F443" s="4" t="s">
        <v>51</v>
      </c>
      <c r="G443" s="4" t="s">
        <v>25</v>
      </c>
      <c r="H443" s="4" t="s">
        <v>25</v>
      </c>
      <c r="I443" s="5">
        <v>44713</v>
      </c>
      <c r="J443" s="6">
        <v>0</v>
      </c>
      <c r="K443" s="6">
        <v>0</v>
      </c>
      <c r="L443" s="6">
        <v>0.42</v>
      </c>
      <c r="M443" s="6">
        <v>0.16800000000000001</v>
      </c>
      <c r="N443" s="6">
        <v>0.42</v>
      </c>
      <c r="O443" s="6">
        <v>0.16800000000000001</v>
      </c>
      <c r="P443" s="6">
        <v>0</v>
      </c>
      <c r="Q443" s="4" t="s">
        <v>26</v>
      </c>
      <c r="R443" s="4">
        <v>0</v>
      </c>
      <c r="S443" s="4" t="s">
        <v>209</v>
      </c>
      <c r="T443" s="4" t="s">
        <v>334</v>
      </c>
      <c r="U443" s="4">
        <v>0</v>
      </c>
      <c r="V443" s="4">
        <v>33</v>
      </c>
      <c r="W443" s="4">
        <v>72</v>
      </c>
    </row>
    <row r="444" spans="1:23" ht="11.25" customHeight="1" x14ac:dyDescent="0.25">
      <c r="A444" s="4" t="s">
        <v>28</v>
      </c>
      <c r="B444" s="4" t="s">
        <v>40</v>
      </c>
      <c r="C444" s="4" t="s">
        <v>23</v>
      </c>
      <c r="D444" s="4" t="s">
        <v>41</v>
      </c>
      <c r="E444" s="4" t="s">
        <v>49</v>
      </c>
      <c r="F444" s="4" t="s">
        <v>51</v>
      </c>
      <c r="G444" s="4" t="s">
        <v>25</v>
      </c>
      <c r="H444" s="4" t="s">
        <v>25</v>
      </c>
      <c r="I444" s="5">
        <v>44713</v>
      </c>
      <c r="J444" s="6">
        <v>0</v>
      </c>
      <c r="K444" s="6">
        <v>0</v>
      </c>
      <c r="L444" s="6">
        <v>0.04</v>
      </c>
      <c r="M444" s="6">
        <v>1.6E-2</v>
      </c>
      <c r="N444" s="6">
        <v>0.04</v>
      </c>
      <c r="O444" s="6">
        <v>1.6E-2</v>
      </c>
      <c r="P444" s="6">
        <v>0</v>
      </c>
      <c r="Q444" s="4" t="s">
        <v>26</v>
      </c>
      <c r="R444" s="4">
        <v>0</v>
      </c>
      <c r="S444" s="4" t="s">
        <v>209</v>
      </c>
      <c r="T444" s="4" t="s">
        <v>334</v>
      </c>
      <c r="U444" s="4">
        <v>0</v>
      </c>
      <c r="V444" s="4">
        <v>33</v>
      </c>
      <c r="W444" s="4">
        <v>72</v>
      </c>
    </row>
    <row r="445" spans="1:23" ht="11.25" customHeight="1" x14ac:dyDescent="0.25">
      <c r="A445" s="4" t="s">
        <v>21</v>
      </c>
      <c r="B445" s="4" t="s">
        <v>40</v>
      </c>
      <c r="C445" s="4" t="s">
        <v>23</v>
      </c>
      <c r="D445" s="4" t="s">
        <v>41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44378</v>
      </c>
      <c r="J445" s="6">
        <v>0</v>
      </c>
      <c r="K445" s="6">
        <v>0</v>
      </c>
      <c r="L445" s="6">
        <v>2436.2240000000002</v>
      </c>
      <c r="M445" s="6">
        <v>2436.2240000000002</v>
      </c>
      <c r="N445" s="6">
        <v>2436.2240000000002</v>
      </c>
      <c r="O445" s="6">
        <v>2436.2240000000002</v>
      </c>
      <c r="P445" s="6">
        <v>12117</v>
      </c>
      <c r="Q445" s="4" t="s">
        <v>26</v>
      </c>
      <c r="R445" s="4">
        <v>0</v>
      </c>
      <c r="S445" s="4" t="s">
        <v>198</v>
      </c>
      <c r="T445" s="4" t="s">
        <v>323</v>
      </c>
      <c r="U445" s="4">
        <v>0</v>
      </c>
      <c r="V445" s="4">
        <v>61</v>
      </c>
      <c r="W445" s="4">
        <v>72</v>
      </c>
    </row>
    <row r="446" spans="1:23" ht="11.25" customHeight="1" x14ac:dyDescent="0.25">
      <c r="A446" s="4" t="s">
        <v>27</v>
      </c>
      <c r="B446" s="4" t="s">
        <v>40</v>
      </c>
      <c r="C446" s="4" t="s">
        <v>23</v>
      </c>
      <c r="D446" s="4" t="s">
        <v>41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44378</v>
      </c>
      <c r="J446" s="6">
        <v>0</v>
      </c>
      <c r="K446" s="6">
        <v>0</v>
      </c>
      <c r="L446" s="6">
        <v>-8.2919999999999998</v>
      </c>
      <c r="M446" s="6">
        <v>-8.2919999999999998</v>
      </c>
      <c r="N446" s="6">
        <v>-8.2919999999999998</v>
      </c>
      <c r="O446" s="6">
        <v>-8.2919999999999998</v>
      </c>
      <c r="P446" s="6">
        <v>0</v>
      </c>
      <c r="Q446" s="4" t="s">
        <v>26</v>
      </c>
      <c r="R446" s="4">
        <v>0</v>
      </c>
      <c r="S446" s="4" t="s">
        <v>198</v>
      </c>
      <c r="T446" s="4" t="s">
        <v>323</v>
      </c>
      <c r="U446" s="4">
        <v>0</v>
      </c>
      <c r="V446" s="4">
        <v>61</v>
      </c>
      <c r="W446" s="4">
        <v>72</v>
      </c>
    </row>
    <row r="447" spans="1:23" ht="11.25" customHeight="1" x14ac:dyDescent="0.25">
      <c r="A447" s="4" t="s">
        <v>28</v>
      </c>
      <c r="B447" s="4" t="s">
        <v>40</v>
      </c>
      <c r="C447" s="4" t="s">
        <v>23</v>
      </c>
      <c r="D447" s="4" t="s">
        <v>41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44378</v>
      </c>
      <c r="J447" s="6">
        <v>0</v>
      </c>
      <c r="K447" s="6">
        <v>0</v>
      </c>
      <c r="L447" s="6">
        <v>119.592</v>
      </c>
      <c r="M447" s="6">
        <v>119.592</v>
      </c>
      <c r="N447" s="6">
        <v>119.592</v>
      </c>
      <c r="O447" s="6">
        <v>119.592</v>
      </c>
      <c r="P447" s="6">
        <v>747</v>
      </c>
      <c r="Q447" s="4" t="s">
        <v>26</v>
      </c>
      <c r="R447" s="4">
        <v>0</v>
      </c>
      <c r="S447" s="4" t="s">
        <v>198</v>
      </c>
      <c r="T447" s="4" t="s">
        <v>323</v>
      </c>
      <c r="U447" s="4">
        <v>0</v>
      </c>
      <c r="V447" s="4">
        <v>61</v>
      </c>
      <c r="W447" s="4">
        <v>72</v>
      </c>
    </row>
    <row r="448" spans="1:23" ht="11.25" customHeight="1" x14ac:dyDescent="0.25">
      <c r="A448" s="4" t="s">
        <v>21</v>
      </c>
      <c r="B448" s="4" t="s">
        <v>40</v>
      </c>
      <c r="C448" s="4" t="s">
        <v>23</v>
      </c>
      <c r="D448" s="4" t="s">
        <v>41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44409</v>
      </c>
      <c r="J448" s="6">
        <v>0</v>
      </c>
      <c r="K448" s="6">
        <v>0</v>
      </c>
      <c r="L448" s="6">
        <v>2560.5230000000001</v>
      </c>
      <c r="M448" s="6">
        <v>2560.5230000000001</v>
      </c>
      <c r="N448" s="6">
        <v>2560.5230000000001</v>
      </c>
      <c r="O448" s="6">
        <v>2560.5230000000001</v>
      </c>
      <c r="P448" s="6">
        <v>12097</v>
      </c>
      <c r="Q448" s="4" t="s">
        <v>26</v>
      </c>
      <c r="R448" s="4">
        <v>0</v>
      </c>
      <c r="S448" s="4" t="s">
        <v>199</v>
      </c>
      <c r="T448" s="4" t="s">
        <v>324</v>
      </c>
      <c r="U448" s="4">
        <v>0</v>
      </c>
      <c r="V448" s="4">
        <v>61</v>
      </c>
      <c r="W448" s="4">
        <v>72</v>
      </c>
    </row>
    <row r="449" spans="1:23" ht="11.25" customHeight="1" x14ac:dyDescent="0.25">
      <c r="A449" s="4" t="s">
        <v>27</v>
      </c>
      <c r="B449" s="4" t="s">
        <v>40</v>
      </c>
      <c r="C449" s="4" t="s">
        <v>23</v>
      </c>
      <c r="D449" s="4" t="s">
        <v>41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44409</v>
      </c>
      <c r="J449" s="6">
        <v>0</v>
      </c>
      <c r="K449" s="6">
        <v>0</v>
      </c>
      <c r="L449" s="6">
        <v>-2.149</v>
      </c>
      <c r="M449" s="6">
        <v>-2.149</v>
      </c>
      <c r="N449" s="6">
        <v>-2.149</v>
      </c>
      <c r="O449" s="6">
        <v>-2.149</v>
      </c>
      <c r="P449" s="6">
        <v>0</v>
      </c>
      <c r="Q449" s="4" t="s">
        <v>26</v>
      </c>
      <c r="R449" s="4">
        <v>0</v>
      </c>
      <c r="S449" s="4" t="s">
        <v>199</v>
      </c>
      <c r="T449" s="4" t="s">
        <v>324</v>
      </c>
      <c r="U449" s="4">
        <v>0</v>
      </c>
      <c r="V449" s="4">
        <v>61</v>
      </c>
      <c r="W449" s="4">
        <v>72</v>
      </c>
    </row>
    <row r="450" spans="1:23" ht="11.25" customHeight="1" x14ac:dyDescent="0.25">
      <c r="A450" s="4" t="s">
        <v>28</v>
      </c>
      <c r="B450" s="4" t="s">
        <v>40</v>
      </c>
      <c r="C450" s="4" t="s">
        <v>23</v>
      </c>
      <c r="D450" s="4" t="s">
        <v>41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44409</v>
      </c>
      <c r="J450" s="6">
        <v>0</v>
      </c>
      <c r="K450" s="6">
        <v>0</v>
      </c>
      <c r="L450" s="6">
        <v>102.249</v>
      </c>
      <c r="M450" s="6">
        <v>102.249</v>
      </c>
      <c r="N450" s="6">
        <v>102.249</v>
      </c>
      <c r="O450" s="6">
        <v>102.249</v>
      </c>
      <c r="P450" s="6">
        <v>775</v>
      </c>
      <c r="Q450" s="4" t="s">
        <v>26</v>
      </c>
      <c r="R450" s="4">
        <v>0</v>
      </c>
      <c r="S450" s="4" t="s">
        <v>199</v>
      </c>
      <c r="T450" s="4" t="s">
        <v>324</v>
      </c>
      <c r="U450" s="4">
        <v>0</v>
      </c>
      <c r="V450" s="4">
        <v>61</v>
      </c>
      <c r="W450" s="4">
        <v>72</v>
      </c>
    </row>
    <row r="451" spans="1:23" ht="11.25" customHeight="1" x14ac:dyDescent="0.25">
      <c r="A451" s="4" t="s">
        <v>28</v>
      </c>
      <c r="B451" s="4" t="s">
        <v>40</v>
      </c>
      <c r="C451" s="4" t="s">
        <v>23</v>
      </c>
      <c r="D451" s="4" t="s">
        <v>41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44409</v>
      </c>
      <c r="J451" s="6">
        <v>0</v>
      </c>
      <c r="K451" s="6">
        <v>0</v>
      </c>
      <c r="L451" s="6">
        <v>-0.85499999999999998</v>
      </c>
      <c r="M451" s="6">
        <v>-0.85499999999999998</v>
      </c>
      <c r="N451" s="6">
        <v>-0.85499999999999998</v>
      </c>
      <c r="O451" s="6">
        <v>-0.85499999999999998</v>
      </c>
      <c r="P451" s="6">
        <v>2</v>
      </c>
      <c r="Q451" s="4" t="s">
        <v>26</v>
      </c>
      <c r="R451" s="4">
        <v>0</v>
      </c>
      <c r="S451" s="4" t="s">
        <v>199</v>
      </c>
      <c r="T451" s="4" t="s">
        <v>324</v>
      </c>
      <c r="U451" s="4">
        <v>0</v>
      </c>
      <c r="V451" s="4">
        <v>61</v>
      </c>
      <c r="W451" s="4">
        <v>72</v>
      </c>
    </row>
    <row r="452" spans="1:23" ht="11.25" customHeight="1" x14ac:dyDescent="0.25">
      <c r="A452" s="4" t="s">
        <v>21</v>
      </c>
      <c r="B452" s="4" t="s">
        <v>40</v>
      </c>
      <c r="C452" s="4" t="s">
        <v>23</v>
      </c>
      <c r="D452" s="4" t="s">
        <v>41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44440</v>
      </c>
      <c r="J452" s="6">
        <v>0</v>
      </c>
      <c r="K452" s="6">
        <v>0</v>
      </c>
      <c r="L452" s="6">
        <v>2550.3969999999999</v>
      </c>
      <c r="M452" s="6">
        <v>2550.3969999999999</v>
      </c>
      <c r="N452" s="6">
        <v>2550.3969999999999</v>
      </c>
      <c r="O452" s="6">
        <v>2550.3969999999999</v>
      </c>
      <c r="P452" s="6">
        <v>12093</v>
      </c>
      <c r="Q452" s="4" t="s">
        <v>26</v>
      </c>
      <c r="R452" s="4">
        <v>0</v>
      </c>
      <c r="S452" s="4" t="s">
        <v>200</v>
      </c>
      <c r="T452" s="4" t="s">
        <v>325</v>
      </c>
      <c r="U452" s="4">
        <v>0</v>
      </c>
      <c r="V452" s="4">
        <v>61</v>
      </c>
      <c r="W452" s="4">
        <v>72</v>
      </c>
    </row>
    <row r="453" spans="1:23" ht="11.25" customHeight="1" x14ac:dyDescent="0.25">
      <c r="A453" s="4" t="s">
        <v>27</v>
      </c>
      <c r="B453" s="4" t="s">
        <v>40</v>
      </c>
      <c r="C453" s="4" t="s">
        <v>23</v>
      </c>
      <c r="D453" s="4" t="s">
        <v>41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44440</v>
      </c>
      <c r="J453" s="6">
        <v>0</v>
      </c>
      <c r="K453" s="6">
        <v>0</v>
      </c>
      <c r="L453" s="6">
        <v>-0.878</v>
      </c>
      <c r="M453" s="6">
        <v>-0.878</v>
      </c>
      <c r="N453" s="6">
        <v>-0.878</v>
      </c>
      <c r="O453" s="6">
        <v>-0.878</v>
      </c>
      <c r="P453" s="6">
        <v>0</v>
      </c>
      <c r="Q453" s="4" t="s">
        <v>26</v>
      </c>
      <c r="R453" s="4">
        <v>0</v>
      </c>
      <c r="S453" s="4" t="s">
        <v>200</v>
      </c>
      <c r="T453" s="4" t="s">
        <v>325</v>
      </c>
      <c r="U453" s="4">
        <v>0</v>
      </c>
      <c r="V453" s="4">
        <v>61</v>
      </c>
      <c r="W453" s="4">
        <v>72</v>
      </c>
    </row>
    <row r="454" spans="1:23" ht="11.25" customHeight="1" x14ac:dyDescent="0.25">
      <c r="A454" s="4" t="s">
        <v>28</v>
      </c>
      <c r="B454" s="4" t="s">
        <v>40</v>
      </c>
      <c r="C454" s="4" t="s">
        <v>23</v>
      </c>
      <c r="D454" s="4" t="s">
        <v>41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44440</v>
      </c>
      <c r="J454" s="6">
        <v>0</v>
      </c>
      <c r="K454" s="6">
        <v>0</v>
      </c>
      <c r="L454" s="6">
        <v>96.396000000000001</v>
      </c>
      <c r="M454" s="6">
        <v>96.396000000000001</v>
      </c>
      <c r="N454" s="6">
        <v>96.396000000000001</v>
      </c>
      <c r="O454" s="6">
        <v>96.396000000000001</v>
      </c>
      <c r="P454" s="6">
        <v>816</v>
      </c>
      <c r="Q454" s="4" t="s">
        <v>26</v>
      </c>
      <c r="R454" s="4">
        <v>0</v>
      </c>
      <c r="S454" s="4" t="s">
        <v>200</v>
      </c>
      <c r="T454" s="4" t="s">
        <v>325</v>
      </c>
      <c r="U454" s="4">
        <v>0</v>
      </c>
      <c r="V454" s="4">
        <v>61</v>
      </c>
      <c r="W454" s="4">
        <v>72</v>
      </c>
    </row>
    <row r="455" spans="1:23" ht="11.25" customHeight="1" x14ac:dyDescent="0.25">
      <c r="A455" s="4" t="s">
        <v>28</v>
      </c>
      <c r="B455" s="4" t="s">
        <v>40</v>
      </c>
      <c r="C455" s="4" t="s">
        <v>23</v>
      </c>
      <c r="D455" s="4" t="s">
        <v>41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44440</v>
      </c>
      <c r="J455" s="6">
        <v>0</v>
      </c>
      <c r="K455" s="6">
        <v>0</v>
      </c>
      <c r="L455" s="6">
        <v>-0.71099999999999997</v>
      </c>
      <c r="M455" s="6">
        <v>-0.71099999999999997</v>
      </c>
      <c r="N455" s="6">
        <v>-0.71099999999999997</v>
      </c>
      <c r="O455" s="6">
        <v>-0.71099999999999997</v>
      </c>
      <c r="P455" s="6">
        <v>4</v>
      </c>
      <c r="Q455" s="4" t="s">
        <v>26</v>
      </c>
      <c r="R455" s="4">
        <v>0</v>
      </c>
      <c r="S455" s="4" t="s">
        <v>200</v>
      </c>
      <c r="T455" s="4" t="s">
        <v>325</v>
      </c>
      <c r="U455" s="4">
        <v>0</v>
      </c>
      <c r="V455" s="4">
        <v>61</v>
      </c>
      <c r="W455" s="4">
        <v>72</v>
      </c>
    </row>
    <row r="456" spans="1:23" ht="11.25" customHeight="1" x14ac:dyDescent="0.25">
      <c r="A456" s="4" t="s">
        <v>21</v>
      </c>
      <c r="B456" s="4" t="s">
        <v>40</v>
      </c>
      <c r="C456" s="4" t="s">
        <v>23</v>
      </c>
      <c r="D456" s="4" t="s">
        <v>41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44470</v>
      </c>
      <c r="J456" s="6">
        <v>0</v>
      </c>
      <c r="K456" s="6">
        <v>0</v>
      </c>
      <c r="L456" s="6">
        <v>2682.5039999999999</v>
      </c>
      <c r="M456" s="6">
        <v>2682.5039999999999</v>
      </c>
      <c r="N456" s="6">
        <v>2682.5039999999999</v>
      </c>
      <c r="O456" s="6">
        <v>2682.5039999999999</v>
      </c>
      <c r="P456" s="6">
        <v>12094</v>
      </c>
      <c r="Q456" s="4" t="s">
        <v>26</v>
      </c>
      <c r="R456" s="4">
        <v>0</v>
      </c>
      <c r="S456" s="4" t="s">
        <v>201</v>
      </c>
      <c r="T456" s="4" t="s">
        <v>326</v>
      </c>
      <c r="U456" s="4">
        <v>0</v>
      </c>
      <c r="V456" s="4">
        <v>61</v>
      </c>
      <c r="W456" s="4">
        <v>72</v>
      </c>
    </row>
    <row r="457" spans="1:23" ht="11.25" customHeight="1" x14ac:dyDescent="0.25">
      <c r="A457" s="4" t="s">
        <v>27</v>
      </c>
      <c r="B457" s="4" t="s">
        <v>40</v>
      </c>
      <c r="C457" s="4" t="s">
        <v>23</v>
      </c>
      <c r="D457" s="4" t="s">
        <v>41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44470</v>
      </c>
      <c r="J457" s="6">
        <v>0</v>
      </c>
      <c r="K457" s="6">
        <v>0</v>
      </c>
      <c r="L457" s="6">
        <v>-3.08</v>
      </c>
      <c r="M457" s="6">
        <v>-3.08</v>
      </c>
      <c r="N457" s="6">
        <v>-3.08</v>
      </c>
      <c r="O457" s="6">
        <v>-3.08</v>
      </c>
      <c r="P457" s="6">
        <v>0</v>
      </c>
      <c r="Q457" s="4" t="s">
        <v>26</v>
      </c>
      <c r="R457" s="4">
        <v>0</v>
      </c>
      <c r="S457" s="4" t="s">
        <v>201</v>
      </c>
      <c r="T457" s="4" t="s">
        <v>326</v>
      </c>
      <c r="U457" s="4">
        <v>0</v>
      </c>
      <c r="V457" s="4">
        <v>61</v>
      </c>
      <c r="W457" s="4">
        <v>72</v>
      </c>
    </row>
    <row r="458" spans="1:23" ht="11.25" customHeight="1" x14ac:dyDescent="0.25">
      <c r="A458" s="4" t="s">
        <v>28</v>
      </c>
      <c r="B458" s="4" t="s">
        <v>40</v>
      </c>
      <c r="C458" s="4" t="s">
        <v>23</v>
      </c>
      <c r="D458" s="4" t="s">
        <v>41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44470</v>
      </c>
      <c r="J458" s="6">
        <v>0</v>
      </c>
      <c r="K458" s="6">
        <v>0</v>
      </c>
      <c r="L458" s="6">
        <v>83.722999999999999</v>
      </c>
      <c r="M458" s="6">
        <v>83.722999999999999</v>
      </c>
      <c r="N458" s="6">
        <v>83.722999999999999</v>
      </c>
      <c r="O458" s="6">
        <v>83.722999999999999</v>
      </c>
      <c r="P458" s="6">
        <v>843</v>
      </c>
      <c r="Q458" s="4" t="s">
        <v>26</v>
      </c>
      <c r="R458" s="4">
        <v>0</v>
      </c>
      <c r="S458" s="4" t="s">
        <v>201</v>
      </c>
      <c r="T458" s="4" t="s">
        <v>326</v>
      </c>
      <c r="U458" s="4">
        <v>0</v>
      </c>
      <c r="V458" s="4">
        <v>61</v>
      </c>
      <c r="W458" s="4">
        <v>72</v>
      </c>
    </row>
    <row r="459" spans="1:23" ht="11.25" customHeight="1" x14ac:dyDescent="0.25">
      <c r="A459" s="4" t="s">
        <v>21</v>
      </c>
      <c r="B459" s="4" t="s">
        <v>40</v>
      </c>
      <c r="C459" s="4" t="s">
        <v>23</v>
      </c>
      <c r="D459" s="4" t="s">
        <v>41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44501</v>
      </c>
      <c r="J459" s="6">
        <v>0</v>
      </c>
      <c r="K459" s="6">
        <v>0</v>
      </c>
      <c r="L459" s="6">
        <v>3795.2049999999999</v>
      </c>
      <c r="M459" s="6">
        <v>3795.2049999999999</v>
      </c>
      <c r="N459" s="6">
        <v>3795.2049999999999</v>
      </c>
      <c r="O459" s="6">
        <v>3795.2049999999999</v>
      </c>
      <c r="P459" s="6">
        <v>12103</v>
      </c>
      <c r="Q459" s="4" t="s">
        <v>26</v>
      </c>
      <c r="R459" s="4">
        <v>0</v>
      </c>
      <c r="S459" s="4" t="s">
        <v>202</v>
      </c>
      <c r="T459" s="4" t="s">
        <v>327</v>
      </c>
      <c r="U459" s="4">
        <v>0</v>
      </c>
      <c r="V459" s="4">
        <v>61</v>
      </c>
      <c r="W459" s="4">
        <v>72</v>
      </c>
    </row>
    <row r="460" spans="1:23" ht="11.25" customHeight="1" x14ac:dyDescent="0.25">
      <c r="A460" s="4" t="s">
        <v>27</v>
      </c>
      <c r="B460" s="4" t="s">
        <v>40</v>
      </c>
      <c r="C460" s="4" t="s">
        <v>23</v>
      </c>
      <c r="D460" s="4" t="s">
        <v>41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44501</v>
      </c>
      <c r="J460" s="6">
        <v>0</v>
      </c>
      <c r="K460" s="6">
        <v>0</v>
      </c>
      <c r="L460" s="6">
        <v>-8.1120000000000001</v>
      </c>
      <c r="M460" s="6">
        <v>-8.1120000000000001</v>
      </c>
      <c r="N460" s="6">
        <v>-8.1120000000000001</v>
      </c>
      <c r="O460" s="6">
        <v>-8.1120000000000001</v>
      </c>
      <c r="P460" s="6">
        <v>0</v>
      </c>
      <c r="Q460" s="4" t="s">
        <v>26</v>
      </c>
      <c r="R460" s="4">
        <v>0</v>
      </c>
      <c r="S460" s="4" t="s">
        <v>202</v>
      </c>
      <c r="T460" s="4" t="s">
        <v>327</v>
      </c>
      <c r="U460" s="4">
        <v>0</v>
      </c>
      <c r="V460" s="4">
        <v>61</v>
      </c>
      <c r="W460" s="4">
        <v>72</v>
      </c>
    </row>
    <row r="461" spans="1:23" ht="11.25" customHeight="1" x14ac:dyDescent="0.25">
      <c r="A461" s="4" t="s">
        <v>28</v>
      </c>
      <c r="B461" s="4" t="s">
        <v>40</v>
      </c>
      <c r="C461" s="4" t="s">
        <v>23</v>
      </c>
      <c r="D461" s="4" t="s">
        <v>41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44501</v>
      </c>
      <c r="J461" s="6">
        <v>0</v>
      </c>
      <c r="K461" s="6">
        <v>0</v>
      </c>
      <c r="L461" s="6">
        <v>108.008</v>
      </c>
      <c r="M461" s="6">
        <v>108.008</v>
      </c>
      <c r="N461" s="6">
        <v>108.008</v>
      </c>
      <c r="O461" s="6">
        <v>108.008</v>
      </c>
      <c r="P461" s="6">
        <v>878</v>
      </c>
      <c r="Q461" s="4" t="s">
        <v>26</v>
      </c>
      <c r="R461" s="4">
        <v>0</v>
      </c>
      <c r="S461" s="4" t="s">
        <v>202</v>
      </c>
      <c r="T461" s="4" t="s">
        <v>327</v>
      </c>
      <c r="U461" s="4">
        <v>0</v>
      </c>
      <c r="V461" s="4">
        <v>61</v>
      </c>
      <c r="W461" s="4">
        <v>72</v>
      </c>
    </row>
    <row r="462" spans="1:23" ht="11.25" customHeight="1" x14ac:dyDescent="0.25">
      <c r="A462" s="4" t="s">
        <v>21</v>
      </c>
      <c r="B462" s="4" t="s">
        <v>40</v>
      </c>
      <c r="C462" s="4" t="s">
        <v>23</v>
      </c>
      <c r="D462" s="4" t="s">
        <v>41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44531</v>
      </c>
      <c r="J462" s="6">
        <v>0</v>
      </c>
      <c r="K462" s="6">
        <v>0</v>
      </c>
      <c r="L462" s="6">
        <v>4691.0370000000003</v>
      </c>
      <c r="M462" s="6">
        <v>4691.0370000000003</v>
      </c>
      <c r="N462" s="6">
        <v>4691.0370000000003</v>
      </c>
      <c r="O462" s="6">
        <v>4691.0370000000003</v>
      </c>
      <c r="P462" s="6">
        <v>12147</v>
      </c>
      <c r="Q462" s="4" t="s">
        <v>26</v>
      </c>
      <c r="R462" s="4">
        <v>0</v>
      </c>
      <c r="S462" s="4" t="s">
        <v>203</v>
      </c>
      <c r="T462" s="4" t="s">
        <v>328</v>
      </c>
      <c r="U462" s="4">
        <v>0</v>
      </c>
      <c r="V462" s="4">
        <v>61</v>
      </c>
      <c r="W462" s="4">
        <v>72</v>
      </c>
    </row>
    <row r="463" spans="1:23" ht="11.25" customHeight="1" x14ac:dyDescent="0.25">
      <c r="A463" s="4" t="s">
        <v>27</v>
      </c>
      <c r="B463" s="4" t="s">
        <v>40</v>
      </c>
      <c r="C463" s="4" t="s">
        <v>23</v>
      </c>
      <c r="D463" s="4" t="s">
        <v>41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44531</v>
      </c>
      <c r="J463" s="6">
        <v>0</v>
      </c>
      <c r="K463" s="6">
        <v>0</v>
      </c>
      <c r="L463" s="6">
        <v>-2.028</v>
      </c>
      <c r="M463" s="6">
        <v>-2.028</v>
      </c>
      <c r="N463" s="6">
        <v>-2.028</v>
      </c>
      <c r="O463" s="6">
        <v>-2.028</v>
      </c>
      <c r="P463" s="6">
        <v>0</v>
      </c>
      <c r="Q463" s="4" t="s">
        <v>26</v>
      </c>
      <c r="R463" s="4">
        <v>0</v>
      </c>
      <c r="S463" s="4" t="s">
        <v>203</v>
      </c>
      <c r="T463" s="4" t="s">
        <v>328</v>
      </c>
      <c r="U463" s="4">
        <v>0</v>
      </c>
      <c r="V463" s="4">
        <v>61</v>
      </c>
      <c r="W463" s="4">
        <v>72</v>
      </c>
    </row>
    <row r="464" spans="1:23" ht="11.25" customHeight="1" x14ac:dyDescent="0.25">
      <c r="A464" s="4" t="s">
        <v>28</v>
      </c>
      <c r="B464" s="4" t="s">
        <v>40</v>
      </c>
      <c r="C464" s="4" t="s">
        <v>23</v>
      </c>
      <c r="D464" s="4" t="s">
        <v>41</v>
      </c>
      <c r="E464" s="4" t="s">
        <v>25</v>
      </c>
      <c r="F464" s="4" t="s">
        <v>25</v>
      </c>
      <c r="G464" s="4" t="s">
        <v>25</v>
      </c>
      <c r="H464" s="4" t="s">
        <v>25</v>
      </c>
      <c r="I464" s="5">
        <v>44531</v>
      </c>
      <c r="J464" s="6">
        <v>0</v>
      </c>
      <c r="K464" s="6">
        <v>0</v>
      </c>
      <c r="L464" s="6">
        <v>162.435</v>
      </c>
      <c r="M464" s="6">
        <v>162.435</v>
      </c>
      <c r="N464" s="6">
        <v>162.435</v>
      </c>
      <c r="O464" s="6">
        <v>162.435</v>
      </c>
      <c r="P464" s="6">
        <v>895</v>
      </c>
      <c r="Q464" s="4" t="s">
        <v>26</v>
      </c>
      <c r="R464" s="4">
        <v>0</v>
      </c>
      <c r="S464" s="4" t="s">
        <v>203</v>
      </c>
      <c r="T464" s="4" t="s">
        <v>328</v>
      </c>
      <c r="U464" s="4">
        <v>0</v>
      </c>
      <c r="V464" s="4">
        <v>61</v>
      </c>
      <c r="W464" s="4">
        <v>72</v>
      </c>
    </row>
    <row r="465" spans="1:23" ht="11.25" customHeight="1" x14ac:dyDescent="0.25">
      <c r="A465" s="4" t="s">
        <v>21</v>
      </c>
      <c r="B465" s="4" t="s">
        <v>40</v>
      </c>
      <c r="C465" s="4" t="s">
        <v>23</v>
      </c>
      <c r="D465" s="4" t="s">
        <v>41</v>
      </c>
      <c r="E465" s="4" t="s">
        <v>25</v>
      </c>
      <c r="F465" s="4" t="s">
        <v>25</v>
      </c>
      <c r="G465" s="4" t="s">
        <v>25</v>
      </c>
      <c r="H465" s="4" t="s">
        <v>25</v>
      </c>
      <c r="I465" s="5">
        <v>44562</v>
      </c>
      <c r="J465" s="6">
        <v>0</v>
      </c>
      <c r="K465" s="6">
        <v>0</v>
      </c>
      <c r="L465" s="6">
        <v>6116.61</v>
      </c>
      <c r="M465" s="6">
        <v>6116.61</v>
      </c>
      <c r="N465" s="6">
        <v>6116.61</v>
      </c>
      <c r="O465" s="6">
        <v>6116.61</v>
      </c>
      <c r="P465" s="6">
        <v>12138</v>
      </c>
      <c r="Q465" s="4" t="s">
        <v>26</v>
      </c>
      <c r="R465" s="4">
        <v>0</v>
      </c>
      <c r="S465" s="4" t="s">
        <v>204</v>
      </c>
      <c r="T465" s="4" t="s">
        <v>329</v>
      </c>
      <c r="U465" s="4">
        <v>0</v>
      </c>
      <c r="V465" s="4">
        <v>61</v>
      </c>
      <c r="W465" s="4">
        <v>72</v>
      </c>
    </row>
    <row r="466" spans="1:23" ht="11.25" customHeight="1" x14ac:dyDescent="0.25">
      <c r="A466" s="4" t="s">
        <v>27</v>
      </c>
      <c r="B466" s="4" t="s">
        <v>40</v>
      </c>
      <c r="C466" s="4" t="s">
        <v>23</v>
      </c>
      <c r="D466" s="4" t="s">
        <v>41</v>
      </c>
      <c r="E466" s="4" t="s">
        <v>25</v>
      </c>
      <c r="F466" s="4" t="s">
        <v>25</v>
      </c>
      <c r="G466" s="4" t="s">
        <v>25</v>
      </c>
      <c r="H466" s="4" t="s">
        <v>25</v>
      </c>
      <c r="I466" s="5">
        <v>44562</v>
      </c>
      <c r="J466" s="6">
        <v>0</v>
      </c>
      <c r="K466" s="6">
        <v>0</v>
      </c>
      <c r="L466" s="6">
        <v>-0.21199999999999999</v>
      </c>
      <c r="M466" s="6">
        <v>-0.21199999999999999</v>
      </c>
      <c r="N466" s="6">
        <v>-0.21199999999999999</v>
      </c>
      <c r="O466" s="6">
        <v>-0.21199999999999999</v>
      </c>
      <c r="P466" s="6">
        <v>0</v>
      </c>
      <c r="Q466" s="4" t="s">
        <v>26</v>
      </c>
      <c r="R466" s="4">
        <v>0</v>
      </c>
      <c r="S466" s="4" t="s">
        <v>204</v>
      </c>
      <c r="T466" s="4" t="s">
        <v>329</v>
      </c>
      <c r="U466" s="4">
        <v>0</v>
      </c>
      <c r="V466" s="4">
        <v>61</v>
      </c>
      <c r="W466" s="4">
        <v>72</v>
      </c>
    </row>
    <row r="467" spans="1:23" ht="11.25" customHeight="1" x14ac:dyDescent="0.25">
      <c r="A467" s="4" t="s">
        <v>28</v>
      </c>
      <c r="B467" s="4" t="s">
        <v>40</v>
      </c>
      <c r="C467" s="4" t="s">
        <v>23</v>
      </c>
      <c r="D467" s="4" t="s">
        <v>41</v>
      </c>
      <c r="E467" s="4" t="s">
        <v>25</v>
      </c>
      <c r="F467" s="4" t="s">
        <v>25</v>
      </c>
      <c r="G467" s="4" t="s">
        <v>25</v>
      </c>
      <c r="H467" s="4" t="s">
        <v>25</v>
      </c>
      <c r="I467" s="5">
        <v>44562</v>
      </c>
      <c r="J467" s="6">
        <v>0</v>
      </c>
      <c r="K467" s="6">
        <v>0</v>
      </c>
      <c r="L467" s="6">
        <v>227.94</v>
      </c>
      <c r="M467" s="6">
        <v>227.94</v>
      </c>
      <c r="N467" s="6">
        <v>227.94</v>
      </c>
      <c r="O467" s="6">
        <v>227.94</v>
      </c>
      <c r="P467" s="6">
        <v>925</v>
      </c>
      <c r="Q467" s="4" t="s">
        <v>26</v>
      </c>
      <c r="R467" s="4">
        <v>0</v>
      </c>
      <c r="S467" s="4" t="s">
        <v>204</v>
      </c>
      <c r="T467" s="4" t="s">
        <v>329</v>
      </c>
      <c r="U467" s="4">
        <v>0</v>
      </c>
      <c r="V467" s="4">
        <v>61</v>
      </c>
      <c r="W467" s="4">
        <v>72</v>
      </c>
    </row>
    <row r="468" spans="1:23" ht="11.25" customHeight="1" x14ac:dyDescent="0.25">
      <c r="A468" s="4" t="s">
        <v>21</v>
      </c>
      <c r="B468" s="4" t="s">
        <v>40</v>
      </c>
      <c r="C468" s="4" t="s">
        <v>23</v>
      </c>
      <c r="D468" s="4" t="s">
        <v>41</v>
      </c>
      <c r="E468" s="4" t="s">
        <v>25</v>
      </c>
      <c r="F468" s="4" t="s">
        <v>25</v>
      </c>
      <c r="G468" s="4" t="s">
        <v>25</v>
      </c>
      <c r="H468" s="4" t="s">
        <v>25</v>
      </c>
      <c r="I468" s="5">
        <v>44593</v>
      </c>
      <c r="J468" s="6">
        <v>0</v>
      </c>
      <c r="K468" s="6">
        <v>0</v>
      </c>
      <c r="L468" s="6">
        <v>5582.9470000000001</v>
      </c>
      <c r="M468" s="6">
        <v>5582.9470000000001</v>
      </c>
      <c r="N468" s="6">
        <v>5582.9470000000001</v>
      </c>
      <c r="O468" s="6">
        <v>5582.9470000000001</v>
      </c>
      <c r="P468" s="6">
        <v>12170</v>
      </c>
      <c r="Q468" s="4" t="s">
        <v>26</v>
      </c>
      <c r="R468" s="4">
        <v>0</v>
      </c>
      <c r="S468" s="4" t="s">
        <v>205</v>
      </c>
      <c r="T468" s="4" t="s">
        <v>330</v>
      </c>
      <c r="U468" s="4">
        <v>0</v>
      </c>
      <c r="V468" s="4">
        <v>61</v>
      </c>
      <c r="W468" s="4">
        <v>72</v>
      </c>
    </row>
    <row r="469" spans="1:23" ht="11.25" customHeight="1" x14ac:dyDescent="0.25">
      <c r="A469" s="4" t="s">
        <v>28</v>
      </c>
      <c r="B469" s="4" t="s">
        <v>40</v>
      </c>
      <c r="C469" s="4" t="s">
        <v>23</v>
      </c>
      <c r="D469" s="4" t="s">
        <v>41</v>
      </c>
      <c r="E469" s="4" t="s">
        <v>25</v>
      </c>
      <c r="F469" s="4" t="s">
        <v>25</v>
      </c>
      <c r="G469" s="4" t="s">
        <v>25</v>
      </c>
      <c r="H469" s="4" t="s">
        <v>25</v>
      </c>
      <c r="I469" s="5">
        <v>44593</v>
      </c>
      <c r="J469" s="6">
        <v>0</v>
      </c>
      <c r="K469" s="6">
        <v>0</v>
      </c>
      <c r="L469" s="6">
        <v>167.898</v>
      </c>
      <c r="M469" s="6">
        <v>167.898</v>
      </c>
      <c r="N469" s="6">
        <v>167.898</v>
      </c>
      <c r="O469" s="6">
        <v>167.898</v>
      </c>
      <c r="P469" s="6">
        <v>889</v>
      </c>
      <c r="Q469" s="4" t="s">
        <v>26</v>
      </c>
      <c r="R469" s="4">
        <v>0</v>
      </c>
      <c r="S469" s="4" t="s">
        <v>205</v>
      </c>
      <c r="T469" s="4" t="s">
        <v>330</v>
      </c>
      <c r="U469" s="4">
        <v>0</v>
      </c>
      <c r="V469" s="4">
        <v>61</v>
      </c>
      <c r="W469" s="4">
        <v>72</v>
      </c>
    </row>
    <row r="470" spans="1:23" ht="11.25" customHeight="1" x14ac:dyDescent="0.25">
      <c r="A470" s="4" t="s">
        <v>21</v>
      </c>
      <c r="B470" s="4" t="s">
        <v>40</v>
      </c>
      <c r="C470" s="4" t="s">
        <v>23</v>
      </c>
      <c r="D470" s="4" t="s">
        <v>41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44621</v>
      </c>
      <c r="J470" s="6">
        <v>0</v>
      </c>
      <c r="K470" s="6">
        <v>0</v>
      </c>
      <c r="L470" s="6">
        <v>4474.9430000000002</v>
      </c>
      <c r="M470" s="6">
        <v>4474.9430000000002</v>
      </c>
      <c r="N470" s="6">
        <v>4474.9430000000002</v>
      </c>
      <c r="O470" s="6">
        <v>4474.9430000000002</v>
      </c>
      <c r="P470" s="6">
        <v>12092</v>
      </c>
      <c r="Q470" s="4" t="s">
        <v>26</v>
      </c>
      <c r="R470" s="4">
        <v>0</v>
      </c>
      <c r="S470" s="4" t="s">
        <v>206</v>
      </c>
      <c r="T470" s="4" t="s">
        <v>331</v>
      </c>
      <c r="U470" s="4">
        <v>0</v>
      </c>
      <c r="V470" s="4">
        <v>61</v>
      </c>
      <c r="W470" s="4">
        <v>72</v>
      </c>
    </row>
    <row r="471" spans="1:23" ht="11.25" customHeight="1" x14ac:dyDescent="0.25">
      <c r="A471" s="4" t="s">
        <v>27</v>
      </c>
      <c r="B471" s="4" t="s">
        <v>40</v>
      </c>
      <c r="C471" s="4" t="s">
        <v>23</v>
      </c>
      <c r="D471" s="4" t="s">
        <v>41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44621</v>
      </c>
      <c r="J471" s="6">
        <v>0</v>
      </c>
      <c r="K471" s="6">
        <v>0</v>
      </c>
      <c r="L471" s="6">
        <v>15.605</v>
      </c>
      <c r="M471" s="6">
        <v>15.605</v>
      </c>
      <c r="N471" s="6">
        <v>15.605</v>
      </c>
      <c r="O471" s="6">
        <v>15.605</v>
      </c>
      <c r="P471" s="6">
        <v>0</v>
      </c>
      <c r="Q471" s="4" t="s">
        <v>26</v>
      </c>
      <c r="R471" s="4">
        <v>0</v>
      </c>
      <c r="S471" s="4" t="s">
        <v>206</v>
      </c>
      <c r="T471" s="4" t="s">
        <v>331</v>
      </c>
      <c r="U471" s="4">
        <v>0</v>
      </c>
      <c r="V471" s="4">
        <v>61</v>
      </c>
      <c r="W471" s="4">
        <v>72</v>
      </c>
    </row>
    <row r="472" spans="1:23" ht="11.25" customHeight="1" x14ac:dyDescent="0.25">
      <c r="A472" s="4" t="s">
        <v>28</v>
      </c>
      <c r="B472" s="4" t="s">
        <v>40</v>
      </c>
      <c r="C472" s="4" t="s">
        <v>23</v>
      </c>
      <c r="D472" s="4" t="s">
        <v>41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44621</v>
      </c>
      <c r="J472" s="6">
        <v>0</v>
      </c>
      <c r="K472" s="6">
        <v>0</v>
      </c>
      <c r="L472" s="6">
        <v>194.76499999999999</v>
      </c>
      <c r="M472" s="6">
        <v>194.76499999999999</v>
      </c>
      <c r="N472" s="6">
        <v>194.76499999999999</v>
      </c>
      <c r="O472" s="6">
        <v>194.76499999999999</v>
      </c>
      <c r="P472" s="6">
        <v>968</v>
      </c>
      <c r="Q472" s="4" t="s">
        <v>26</v>
      </c>
      <c r="R472" s="4">
        <v>0</v>
      </c>
      <c r="S472" s="4" t="s">
        <v>206</v>
      </c>
      <c r="T472" s="4" t="s">
        <v>331</v>
      </c>
      <c r="U472" s="4">
        <v>0</v>
      </c>
      <c r="V472" s="4">
        <v>61</v>
      </c>
      <c r="W472" s="4">
        <v>72</v>
      </c>
    </row>
    <row r="473" spans="1:23" ht="11.25" customHeight="1" x14ac:dyDescent="0.25">
      <c r="A473" s="4" t="s">
        <v>28</v>
      </c>
      <c r="B473" s="4" t="s">
        <v>40</v>
      </c>
      <c r="C473" s="4" t="s">
        <v>23</v>
      </c>
      <c r="D473" s="4" t="s">
        <v>41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44621</v>
      </c>
      <c r="J473" s="6">
        <v>0</v>
      </c>
      <c r="K473" s="6">
        <v>0</v>
      </c>
      <c r="L473" s="6">
        <v>86.06</v>
      </c>
      <c r="M473" s="6">
        <v>86.06</v>
      </c>
      <c r="N473" s="6">
        <v>86.06</v>
      </c>
      <c r="O473" s="6">
        <v>86.06</v>
      </c>
      <c r="P473" s="6">
        <v>2</v>
      </c>
      <c r="Q473" s="4" t="s">
        <v>26</v>
      </c>
      <c r="R473" s="4">
        <v>0</v>
      </c>
      <c r="S473" s="4" t="s">
        <v>206</v>
      </c>
      <c r="T473" s="4" t="s">
        <v>331</v>
      </c>
      <c r="U473" s="4">
        <v>0</v>
      </c>
      <c r="V473" s="4">
        <v>61</v>
      </c>
      <c r="W473" s="4">
        <v>72</v>
      </c>
    </row>
    <row r="474" spans="1:23" ht="11.25" customHeight="1" x14ac:dyDescent="0.25">
      <c r="A474" s="4" t="s">
        <v>21</v>
      </c>
      <c r="B474" s="4" t="s">
        <v>40</v>
      </c>
      <c r="C474" s="4" t="s">
        <v>23</v>
      </c>
      <c r="D474" s="4" t="s">
        <v>41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44652</v>
      </c>
      <c r="J474" s="6">
        <v>0</v>
      </c>
      <c r="K474" s="6">
        <v>0</v>
      </c>
      <c r="L474" s="6">
        <v>3507.4749999999999</v>
      </c>
      <c r="M474" s="6">
        <v>3507.4749999999999</v>
      </c>
      <c r="N474" s="6">
        <v>3507.4749999999999</v>
      </c>
      <c r="O474" s="6">
        <v>3507.4749999999999</v>
      </c>
      <c r="P474" s="6">
        <v>12048</v>
      </c>
      <c r="Q474" s="4" t="s">
        <v>26</v>
      </c>
      <c r="R474" s="4">
        <v>0</v>
      </c>
      <c r="S474" s="4" t="s">
        <v>207</v>
      </c>
      <c r="T474" s="4" t="s">
        <v>332</v>
      </c>
      <c r="U474" s="4">
        <v>0</v>
      </c>
      <c r="V474" s="4">
        <v>61</v>
      </c>
      <c r="W474" s="4">
        <v>72</v>
      </c>
    </row>
    <row r="475" spans="1:23" ht="11.25" customHeight="1" x14ac:dyDescent="0.25">
      <c r="A475" s="4" t="s">
        <v>27</v>
      </c>
      <c r="B475" s="4" t="s">
        <v>40</v>
      </c>
      <c r="C475" s="4" t="s">
        <v>23</v>
      </c>
      <c r="D475" s="4" t="s">
        <v>41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44652</v>
      </c>
      <c r="J475" s="6">
        <v>0</v>
      </c>
      <c r="K475" s="6">
        <v>0</v>
      </c>
      <c r="L475" s="6">
        <v>-5.1719999999999997</v>
      </c>
      <c r="M475" s="6">
        <v>-5.1719999999999997</v>
      </c>
      <c r="N475" s="6">
        <v>-5.1719999999999997</v>
      </c>
      <c r="O475" s="6">
        <v>-5.1719999999999997</v>
      </c>
      <c r="P475" s="6">
        <v>0</v>
      </c>
      <c r="Q475" s="4" t="s">
        <v>26</v>
      </c>
      <c r="R475" s="4">
        <v>0</v>
      </c>
      <c r="S475" s="4" t="s">
        <v>207</v>
      </c>
      <c r="T475" s="4" t="s">
        <v>332</v>
      </c>
      <c r="U475" s="4">
        <v>0</v>
      </c>
      <c r="V475" s="4">
        <v>61</v>
      </c>
      <c r="W475" s="4">
        <v>72</v>
      </c>
    </row>
    <row r="476" spans="1:23" ht="11.25" customHeight="1" x14ac:dyDescent="0.25">
      <c r="A476" s="4" t="s">
        <v>28</v>
      </c>
      <c r="B476" s="4" t="s">
        <v>40</v>
      </c>
      <c r="C476" s="4" t="s">
        <v>23</v>
      </c>
      <c r="D476" s="4" t="s">
        <v>41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44652</v>
      </c>
      <c r="J476" s="6">
        <v>0</v>
      </c>
      <c r="K476" s="6">
        <v>0</v>
      </c>
      <c r="L476" s="6">
        <v>178.11600000000001</v>
      </c>
      <c r="M476" s="6">
        <v>178.11600000000001</v>
      </c>
      <c r="N476" s="6">
        <v>178.11600000000001</v>
      </c>
      <c r="O476" s="6">
        <v>178.11600000000001</v>
      </c>
      <c r="P476" s="6">
        <v>957</v>
      </c>
      <c r="Q476" s="4" t="s">
        <v>26</v>
      </c>
      <c r="R476" s="4">
        <v>0</v>
      </c>
      <c r="S476" s="4" t="s">
        <v>207</v>
      </c>
      <c r="T476" s="4" t="s">
        <v>332</v>
      </c>
      <c r="U476" s="4">
        <v>0</v>
      </c>
      <c r="V476" s="4">
        <v>61</v>
      </c>
      <c r="W476" s="4">
        <v>72</v>
      </c>
    </row>
    <row r="477" spans="1:23" ht="11.25" customHeight="1" x14ac:dyDescent="0.25">
      <c r="A477" s="4" t="s">
        <v>28</v>
      </c>
      <c r="B477" s="4" t="s">
        <v>40</v>
      </c>
      <c r="C477" s="4" t="s">
        <v>23</v>
      </c>
      <c r="D477" s="4" t="s">
        <v>41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44652</v>
      </c>
      <c r="J477" s="6">
        <v>0</v>
      </c>
      <c r="K477" s="6">
        <v>0</v>
      </c>
      <c r="L477" s="6">
        <v>-0.439</v>
      </c>
      <c r="M477" s="6">
        <v>-0.439</v>
      </c>
      <c r="N477" s="6">
        <v>-0.439</v>
      </c>
      <c r="O477" s="6">
        <v>-0.439</v>
      </c>
      <c r="P477" s="6">
        <v>2</v>
      </c>
      <c r="Q477" s="4" t="s">
        <v>26</v>
      </c>
      <c r="R477" s="4">
        <v>0</v>
      </c>
      <c r="S477" s="4" t="s">
        <v>207</v>
      </c>
      <c r="T477" s="4" t="s">
        <v>332</v>
      </c>
      <c r="U477" s="4">
        <v>0</v>
      </c>
      <c r="V477" s="4">
        <v>61</v>
      </c>
      <c r="W477" s="4">
        <v>72</v>
      </c>
    </row>
    <row r="478" spans="1:23" ht="11.25" customHeight="1" x14ac:dyDescent="0.25">
      <c r="A478" s="4" t="s">
        <v>21</v>
      </c>
      <c r="B478" s="4" t="s">
        <v>40</v>
      </c>
      <c r="C478" s="4" t="s">
        <v>23</v>
      </c>
      <c r="D478" s="4" t="s">
        <v>41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44682</v>
      </c>
      <c r="J478" s="6">
        <v>0</v>
      </c>
      <c r="K478" s="6">
        <v>0</v>
      </c>
      <c r="L478" s="6">
        <v>2998.78</v>
      </c>
      <c r="M478" s="6">
        <v>2998.78</v>
      </c>
      <c r="N478" s="6">
        <v>2998.78</v>
      </c>
      <c r="O478" s="6">
        <v>2998.78</v>
      </c>
      <c r="P478" s="6">
        <v>12028</v>
      </c>
      <c r="Q478" s="4" t="s">
        <v>26</v>
      </c>
      <c r="R478" s="4">
        <v>0</v>
      </c>
      <c r="S478" s="4" t="s">
        <v>208</v>
      </c>
      <c r="T478" s="4" t="s">
        <v>333</v>
      </c>
      <c r="U478" s="4">
        <v>0</v>
      </c>
      <c r="V478" s="4">
        <v>61</v>
      </c>
      <c r="W478" s="4">
        <v>72</v>
      </c>
    </row>
    <row r="479" spans="1:23" ht="11.25" customHeight="1" x14ac:dyDescent="0.25">
      <c r="A479" s="4" t="s">
        <v>27</v>
      </c>
      <c r="B479" s="4" t="s">
        <v>40</v>
      </c>
      <c r="C479" s="4" t="s">
        <v>23</v>
      </c>
      <c r="D479" s="4" t="s">
        <v>41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44682</v>
      </c>
      <c r="J479" s="6">
        <v>0</v>
      </c>
      <c r="K479" s="6">
        <v>0</v>
      </c>
      <c r="L479" s="6">
        <v>-3.1880000000000002</v>
      </c>
      <c r="M479" s="6">
        <v>-3.1880000000000002</v>
      </c>
      <c r="N479" s="6">
        <v>-3.1880000000000002</v>
      </c>
      <c r="O479" s="6">
        <v>-3.1880000000000002</v>
      </c>
      <c r="P479" s="6">
        <v>0</v>
      </c>
      <c r="Q479" s="4" t="s">
        <v>26</v>
      </c>
      <c r="R479" s="4">
        <v>0</v>
      </c>
      <c r="S479" s="4" t="s">
        <v>208</v>
      </c>
      <c r="T479" s="4" t="s">
        <v>333</v>
      </c>
      <c r="U479" s="4">
        <v>0</v>
      </c>
      <c r="V479" s="4">
        <v>61</v>
      </c>
      <c r="W479" s="4">
        <v>72</v>
      </c>
    </row>
    <row r="480" spans="1:23" ht="11.25" customHeight="1" x14ac:dyDescent="0.25">
      <c r="A480" s="4" t="s">
        <v>28</v>
      </c>
      <c r="B480" s="4" t="s">
        <v>40</v>
      </c>
      <c r="C480" s="4" t="s">
        <v>23</v>
      </c>
      <c r="D480" s="4" t="s">
        <v>41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44682</v>
      </c>
      <c r="J480" s="6">
        <v>0</v>
      </c>
      <c r="K480" s="6">
        <v>0</v>
      </c>
      <c r="L480" s="6">
        <v>168.28399999999999</v>
      </c>
      <c r="M480" s="6">
        <v>168.28399999999999</v>
      </c>
      <c r="N480" s="6">
        <v>168.28399999999999</v>
      </c>
      <c r="O480" s="6">
        <v>168.28399999999999</v>
      </c>
      <c r="P480" s="6">
        <v>954</v>
      </c>
      <c r="Q480" s="4" t="s">
        <v>26</v>
      </c>
      <c r="R480" s="4">
        <v>0</v>
      </c>
      <c r="S480" s="4" t="s">
        <v>208</v>
      </c>
      <c r="T480" s="4" t="s">
        <v>333</v>
      </c>
      <c r="U480" s="4">
        <v>0</v>
      </c>
      <c r="V480" s="4">
        <v>61</v>
      </c>
      <c r="W480" s="4">
        <v>72</v>
      </c>
    </row>
    <row r="481" spans="1:23" ht="11.25" customHeight="1" x14ac:dyDescent="0.25">
      <c r="A481" s="4" t="s">
        <v>28</v>
      </c>
      <c r="B481" s="4" t="s">
        <v>40</v>
      </c>
      <c r="C481" s="4" t="s">
        <v>23</v>
      </c>
      <c r="D481" s="4" t="s">
        <v>41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44682</v>
      </c>
      <c r="J481" s="6">
        <v>0</v>
      </c>
      <c r="K481" s="6">
        <v>0</v>
      </c>
      <c r="L481" s="6">
        <v>-0.61499999999999999</v>
      </c>
      <c r="M481" s="6">
        <v>-0.61499999999999999</v>
      </c>
      <c r="N481" s="6">
        <v>-0.61499999999999999</v>
      </c>
      <c r="O481" s="6">
        <v>-0.61499999999999999</v>
      </c>
      <c r="P481" s="6">
        <v>6</v>
      </c>
      <c r="Q481" s="4" t="s">
        <v>26</v>
      </c>
      <c r="R481" s="4">
        <v>0</v>
      </c>
      <c r="S481" s="4" t="s">
        <v>208</v>
      </c>
      <c r="T481" s="4" t="s">
        <v>333</v>
      </c>
      <c r="U481" s="4">
        <v>0</v>
      </c>
      <c r="V481" s="4">
        <v>61</v>
      </c>
      <c r="W481" s="4">
        <v>72</v>
      </c>
    </row>
    <row r="482" spans="1:23" ht="11.25" customHeight="1" x14ac:dyDescent="0.25">
      <c r="A482" s="4" t="s">
        <v>21</v>
      </c>
      <c r="B482" s="4" t="s">
        <v>40</v>
      </c>
      <c r="C482" s="4" t="s">
        <v>23</v>
      </c>
      <c r="D482" s="4" t="s">
        <v>41</v>
      </c>
      <c r="E482" s="4" t="s">
        <v>25</v>
      </c>
      <c r="F482" s="4" t="s">
        <v>25</v>
      </c>
      <c r="G482" s="4" t="s">
        <v>25</v>
      </c>
      <c r="H482" s="4" t="s">
        <v>25</v>
      </c>
      <c r="I482" s="5">
        <v>44713</v>
      </c>
      <c r="J482" s="6">
        <v>0</v>
      </c>
      <c r="K482" s="6">
        <v>0</v>
      </c>
      <c r="L482" s="6">
        <v>2641.9630000000002</v>
      </c>
      <c r="M482" s="6">
        <v>2641.9630000000002</v>
      </c>
      <c r="N482" s="6">
        <v>2641.9630000000002</v>
      </c>
      <c r="O482" s="6">
        <v>2641.9630000000002</v>
      </c>
      <c r="P482" s="6">
        <v>11940</v>
      </c>
      <c r="Q482" s="4" t="s">
        <v>26</v>
      </c>
      <c r="R482" s="4">
        <v>0</v>
      </c>
      <c r="S482" s="4" t="s">
        <v>209</v>
      </c>
      <c r="T482" s="4" t="s">
        <v>334</v>
      </c>
      <c r="U482" s="4">
        <v>0</v>
      </c>
      <c r="V482" s="4">
        <v>61</v>
      </c>
      <c r="W482" s="4">
        <v>72</v>
      </c>
    </row>
    <row r="483" spans="1:23" ht="11.25" customHeight="1" x14ac:dyDescent="0.25">
      <c r="A483" s="4" t="s">
        <v>27</v>
      </c>
      <c r="B483" s="4" t="s">
        <v>40</v>
      </c>
      <c r="C483" s="4" t="s">
        <v>23</v>
      </c>
      <c r="D483" s="4" t="s">
        <v>41</v>
      </c>
      <c r="E483" s="4" t="s">
        <v>25</v>
      </c>
      <c r="F483" s="4" t="s">
        <v>25</v>
      </c>
      <c r="G483" s="4" t="s">
        <v>25</v>
      </c>
      <c r="H483" s="4" t="s">
        <v>25</v>
      </c>
      <c r="I483" s="5">
        <v>44713</v>
      </c>
      <c r="J483" s="6">
        <v>0</v>
      </c>
      <c r="K483" s="6">
        <v>0</v>
      </c>
      <c r="L483" s="6">
        <v>-0.71799999999999997</v>
      </c>
      <c r="M483" s="6">
        <v>-0.71799999999999997</v>
      </c>
      <c r="N483" s="6">
        <v>-0.71799999999999997</v>
      </c>
      <c r="O483" s="6">
        <v>-0.71799999999999997</v>
      </c>
      <c r="P483" s="6">
        <v>0</v>
      </c>
      <c r="Q483" s="4" t="s">
        <v>26</v>
      </c>
      <c r="R483" s="4">
        <v>0</v>
      </c>
      <c r="S483" s="4" t="s">
        <v>209</v>
      </c>
      <c r="T483" s="4" t="s">
        <v>334</v>
      </c>
      <c r="U483" s="4">
        <v>0</v>
      </c>
      <c r="V483" s="4">
        <v>61</v>
      </c>
      <c r="W483" s="4">
        <v>72</v>
      </c>
    </row>
    <row r="484" spans="1:23" ht="11.25" customHeight="1" x14ac:dyDescent="0.25">
      <c r="A484" s="4" t="s">
        <v>28</v>
      </c>
      <c r="B484" s="4" t="s">
        <v>40</v>
      </c>
      <c r="C484" s="4" t="s">
        <v>23</v>
      </c>
      <c r="D484" s="4" t="s">
        <v>41</v>
      </c>
      <c r="E484" s="4" t="s">
        <v>25</v>
      </c>
      <c r="F484" s="4" t="s">
        <v>25</v>
      </c>
      <c r="G484" s="4" t="s">
        <v>25</v>
      </c>
      <c r="H484" s="4" t="s">
        <v>25</v>
      </c>
      <c r="I484" s="5">
        <v>44713</v>
      </c>
      <c r="J484" s="6">
        <v>0</v>
      </c>
      <c r="K484" s="6">
        <v>0</v>
      </c>
      <c r="L484" s="6">
        <v>189.661</v>
      </c>
      <c r="M484" s="6">
        <v>189.661</v>
      </c>
      <c r="N484" s="6">
        <v>189.661</v>
      </c>
      <c r="O484" s="6">
        <v>189.661</v>
      </c>
      <c r="P484" s="6">
        <v>1027</v>
      </c>
      <c r="Q484" s="4" t="s">
        <v>26</v>
      </c>
      <c r="R484" s="4">
        <v>0</v>
      </c>
      <c r="S484" s="4" t="s">
        <v>209</v>
      </c>
      <c r="T484" s="4" t="s">
        <v>334</v>
      </c>
      <c r="U484" s="4">
        <v>0</v>
      </c>
      <c r="V484" s="4">
        <v>61</v>
      </c>
      <c r="W484" s="4">
        <v>72</v>
      </c>
    </row>
    <row r="485" spans="1:23" ht="11.25" customHeight="1" x14ac:dyDescent="0.25">
      <c r="A485" s="4" t="s">
        <v>28</v>
      </c>
      <c r="B485" s="4" t="s">
        <v>40</v>
      </c>
      <c r="C485" s="4" t="s">
        <v>23</v>
      </c>
      <c r="D485" s="4" t="s">
        <v>41</v>
      </c>
      <c r="E485" s="4" t="s">
        <v>25</v>
      </c>
      <c r="F485" s="4" t="s">
        <v>25</v>
      </c>
      <c r="G485" s="4" t="s">
        <v>25</v>
      </c>
      <c r="H485" s="4" t="s">
        <v>25</v>
      </c>
      <c r="I485" s="5">
        <v>44713</v>
      </c>
      <c r="J485" s="6">
        <v>0</v>
      </c>
      <c r="K485" s="6">
        <v>0</v>
      </c>
      <c r="L485" s="6">
        <v>-2.3580000000000001</v>
      </c>
      <c r="M485" s="6">
        <v>-2.3580000000000001</v>
      </c>
      <c r="N485" s="6">
        <v>-2.3580000000000001</v>
      </c>
      <c r="O485" s="6">
        <v>-2.3580000000000001</v>
      </c>
      <c r="P485" s="6">
        <v>7</v>
      </c>
      <c r="Q485" s="4" t="s">
        <v>26</v>
      </c>
      <c r="R485" s="4">
        <v>0</v>
      </c>
      <c r="S485" s="4" t="s">
        <v>209</v>
      </c>
      <c r="T485" s="4" t="s">
        <v>334</v>
      </c>
      <c r="U485" s="4">
        <v>0</v>
      </c>
      <c r="V485" s="4">
        <v>61</v>
      </c>
      <c r="W485" s="4">
        <v>72</v>
      </c>
    </row>
    <row r="486" spans="1:23" ht="11.25" customHeight="1" x14ac:dyDescent="0.25">
      <c r="A486" s="4" t="s">
        <v>21</v>
      </c>
      <c r="B486" s="4" t="s">
        <v>33</v>
      </c>
      <c r="C486" s="4" t="s">
        <v>23</v>
      </c>
      <c r="D486" s="4" t="s">
        <v>39</v>
      </c>
      <c r="E486" s="4" t="s">
        <v>25</v>
      </c>
      <c r="F486" s="4" t="s">
        <v>25</v>
      </c>
      <c r="G486" s="4" t="s">
        <v>25</v>
      </c>
      <c r="H486" s="4" t="s">
        <v>25</v>
      </c>
      <c r="I486" s="5">
        <v>44378</v>
      </c>
      <c r="J486" s="6">
        <v>0</v>
      </c>
      <c r="K486" s="6">
        <v>0</v>
      </c>
      <c r="L486" s="6">
        <v>340.55</v>
      </c>
      <c r="M486" s="6">
        <v>340.55</v>
      </c>
      <c r="N486" s="6">
        <v>340.55</v>
      </c>
      <c r="O486" s="6">
        <v>340.55</v>
      </c>
      <c r="P486" s="6">
        <v>859</v>
      </c>
      <c r="Q486" s="4" t="s">
        <v>26</v>
      </c>
      <c r="R486" s="4">
        <v>0</v>
      </c>
      <c r="S486" s="4" t="s">
        <v>210</v>
      </c>
      <c r="T486" s="4" t="s">
        <v>335</v>
      </c>
      <c r="U486" s="4">
        <v>0</v>
      </c>
      <c r="V486" s="4">
        <v>30</v>
      </c>
      <c r="W486" s="4">
        <v>79</v>
      </c>
    </row>
    <row r="487" spans="1:23" ht="11.25" customHeight="1" x14ac:dyDescent="0.25">
      <c r="A487" s="4" t="s">
        <v>28</v>
      </c>
      <c r="B487" s="4" t="s">
        <v>33</v>
      </c>
      <c r="C487" s="4" t="s">
        <v>23</v>
      </c>
      <c r="D487" s="4" t="s">
        <v>39</v>
      </c>
      <c r="E487" s="4" t="s">
        <v>25</v>
      </c>
      <c r="F487" s="4" t="s">
        <v>25</v>
      </c>
      <c r="G487" s="4" t="s">
        <v>25</v>
      </c>
      <c r="H487" s="4" t="s">
        <v>25</v>
      </c>
      <c r="I487" s="5">
        <v>44378</v>
      </c>
      <c r="J487" s="6">
        <v>0</v>
      </c>
      <c r="K487" s="6">
        <v>0</v>
      </c>
      <c r="L487" s="6">
        <v>62.747</v>
      </c>
      <c r="M487" s="6">
        <v>62.747</v>
      </c>
      <c r="N487" s="6">
        <v>62.747</v>
      </c>
      <c r="O487" s="6">
        <v>62.747</v>
      </c>
      <c r="P487" s="6">
        <v>108</v>
      </c>
      <c r="Q487" s="4" t="s">
        <v>26</v>
      </c>
      <c r="R487" s="4">
        <v>0</v>
      </c>
      <c r="S487" s="4" t="s">
        <v>210</v>
      </c>
      <c r="T487" s="4" t="s">
        <v>335</v>
      </c>
      <c r="U487" s="4">
        <v>0</v>
      </c>
      <c r="V487" s="4">
        <v>30</v>
      </c>
      <c r="W487" s="4">
        <v>79</v>
      </c>
    </row>
    <row r="488" spans="1:23" ht="11.25" customHeight="1" x14ac:dyDescent="0.25">
      <c r="A488" s="4" t="s">
        <v>21</v>
      </c>
      <c r="B488" s="4" t="s">
        <v>33</v>
      </c>
      <c r="C488" s="4" t="s">
        <v>23</v>
      </c>
      <c r="D488" s="4" t="s">
        <v>39</v>
      </c>
      <c r="E488" s="4" t="s">
        <v>25</v>
      </c>
      <c r="F488" s="4" t="s">
        <v>25</v>
      </c>
      <c r="G488" s="4" t="s">
        <v>25</v>
      </c>
      <c r="H488" s="4" t="s">
        <v>25</v>
      </c>
      <c r="I488" s="5">
        <v>44409</v>
      </c>
      <c r="J488" s="6">
        <v>0</v>
      </c>
      <c r="K488" s="6">
        <v>0</v>
      </c>
      <c r="L488" s="6">
        <v>343.75799999999998</v>
      </c>
      <c r="M488" s="6">
        <v>343.75799999999998</v>
      </c>
      <c r="N488" s="6">
        <v>343.75799999999998</v>
      </c>
      <c r="O488" s="6">
        <v>343.75799999999998</v>
      </c>
      <c r="P488" s="6">
        <v>847</v>
      </c>
      <c r="Q488" s="4" t="s">
        <v>26</v>
      </c>
      <c r="R488" s="4">
        <v>0</v>
      </c>
      <c r="S488" s="4" t="s">
        <v>211</v>
      </c>
      <c r="T488" s="4" t="s">
        <v>336</v>
      </c>
      <c r="U488" s="4">
        <v>0</v>
      </c>
      <c r="V488" s="4">
        <v>30</v>
      </c>
      <c r="W488" s="4">
        <v>79</v>
      </c>
    </row>
    <row r="489" spans="1:23" ht="11.25" customHeight="1" x14ac:dyDescent="0.25">
      <c r="A489" s="4" t="s">
        <v>28</v>
      </c>
      <c r="B489" s="4" t="s">
        <v>33</v>
      </c>
      <c r="C489" s="4" t="s">
        <v>23</v>
      </c>
      <c r="D489" s="4" t="s">
        <v>39</v>
      </c>
      <c r="E489" s="4" t="s">
        <v>25</v>
      </c>
      <c r="F489" s="4" t="s">
        <v>25</v>
      </c>
      <c r="G489" s="4" t="s">
        <v>25</v>
      </c>
      <c r="H489" s="4" t="s">
        <v>25</v>
      </c>
      <c r="I489" s="5">
        <v>44409</v>
      </c>
      <c r="J489" s="6">
        <v>0</v>
      </c>
      <c r="K489" s="6">
        <v>0</v>
      </c>
      <c r="L489" s="6">
        <v>51.625</v>
      </c>
      <c r="M489" s="6">
        <v>51.625</v>
      </c>
      <c r="N489" s="6">
        <v>51.625</v>
      </c>
      <c r="O489" s="6">
        <v>51.625</v>
      </c>
      <c r="P489" s="6">
        <v>115</v>
      </c>
      <c r="Q489" s="4" t="s">
        <v>26</v>
      </c>
      <c r="R489" s="4">
        <v>0</v>
      </c>
      <c r="S489" s="4" t="s">
        <v>211</v>
      </c>
      <c r="T489" s="4" t="s">
        <v>336</v>
      </c>
      <c r="U489" s="4">
        <v>0</v>
      </c>
      <c r="V489" s="4">
        <v>30</v>
      </c>
      <c r="W489" s="4">
        <v>79</v>
      </c>
    </row>
    <row r="490" spans="1:23" ht="11.25" customHeight="1" x14ac:dyDescent="0.25">
      <c r="A490" s="4" t="s">
        <v>21</v>
      </c>
      <c r="B490" s="4" t="s">
        <v>33</v>
      </c>
      <c r="C490" s="4" t="s">
        <v>23</v>
      </c>
      <c r="D490" s="4" t="s">
        <v>39</v>
      </c>
      <c r="E490" s="4" t="s">
        <v>25</v>
      </c>
      <c r="F490" s="4" t="s">
        <v>25</v>
      </c>
      <c r="G490" s="4" t="s">
        <v>25</v>
      </c>
      <c r="H490" s="4" t="s">
        <v>25</v>
      </c>
      <c r="I490" s="5">
        <v>44440</v>
      </c>
      <c r="J490" s="6">
        <v>0</v>
      </c>
      <c r="K490" s="6">
        <v>0</v>
      </c>
      <c r="L490" s="6">
        <v>360.21</v>
      </c>
      <c r="M490" s="6">
        <v>360.21</v>
      </c>
      <c r="N490" s="6">
        <v>360.21</v>
      </c>
      <c r="O490" s="6">
        <v>360.21</v>
      </c>
      <c r="P490" s="6">
        <v>841</v>
      </c>
      <c r="Q490" s="4" t="s">
        <v>26</v>
      </c>
      <c r="R490" s="4">
        <v>0</v>
      </c>
      <c r="S490" s="4" t="s">
        <v>212</v>
      </c>
      <c r="T490" s="4" t="s">
        <v>337</v>
      </c>
      <c r="U490" s="4">
        <v>0</v>
      </c>
      <c r="V490" s="4">
        <v>30</v>
      </c>
      <c r="W490" s="4">
        <v>79</v>
      </c>
    </row>
    <row r="491" spans="1:23" ht="11.25" customHeight="1" x14ac:dyDescent="0.25">
      <c r="A491" s="4" t="s">
        <v>28</v>
      </c>
      <c r="B491" s="4" t="s">
        <v>33</v>
      </c>
      <c r="C491" s="4" t="s">
        <v>23</v>
      </c>
      <c r="D491" s="4" t="s">
        <v>39</v>
      </c>
      <c r="E491" s="4" t="s">
        <v>25</v>
      </c>
      <c r="F491" s="4" t="s">
        <v>25</v>
      </c>
      <c r="G491" s="4" t="s">
        <v>25</v>
      </c>
      <c r="H491" s="4" t="s">
        <v>25</v>
      </c>
      <c r="I491" s="5">
        <v>44440</v>
      </c>
      <c r="J491" s="6">
        <v>0</v>
      </c>
      <c r="K491" s="6">
        <v>0</v>
      </c>
      <c r="L491" s="6">
        <v>59.561</v>
      </c>
      <c r="M491" s="6">
        <v>59.561</v>
      </c>
      <c r="N491" s="6">
        <v>59.561</v>
      </c>
      <c r="O491" s="6">
        <v>59.561</v>
      </c>
      <c r="P491" s="6">
        <v>112</v>
      </c>
      <c r="Q491" s="4" t="s">
        <v>26</v>
      </c>
      <c r="R491" s="4">
        <v>0</v>
      </c>
      <c r="S491" s="4" t="s">
        <v>212</v>
      </c>
      <c r="T491" s="4" t="s">
        <v>337</v>
      </c>
      <c r="U491" s="4">
        <v>0</v>
      </c>
      <c r="V491" s="4">
        <v>30</v>
      </c>
      <c r="W491" s="4">
        <v>79</v>
      </c>
    </row>
    <row r="492" spans="1:23" ht="11.25" customHeight="1" x14ac:dyDescent="0.25">
      <c r="A492" s="4" t="s">
        <v>21</v>
      </c>
      <c r="B492" s="4" t="s">
        <v>33</v>
      </c>
      <c r="C492" s="4" t="s">
        <v>23</v>
      </c>
      <c r="D492" s="4" t="s">
        <v>39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44470</v>
      </c>
      <c r="J492" s="6">
        <v>0</v>
      </c>
      <c r="K492" s="6">
        <v>0</v>
      </c>
      <c r="L492" s="6">
        <v>355.59399999999999</v>
      </c>
      <c r="M492" s="6">
        <v>355.59399999999999</v>
      </c>
      <c r="N492" s="6">
        <v>355.59399999999999</v>
      </c>
      <c r="O492" s="6">
        <v>355.59399999999999</v>
      </c>
      <c r="P492" s="6">
        <v>835</v>
      </c>
      <c r="Q492" s="4" t="s">
        <v>26</v>
      </c>
      <c r="R492" s="4">
        <v>0</v>
      </c>
      <c r="S492" s="4" t="s">
        <v>213</v>
      </c>
      <c r="T492" s="4" t="s">
        <v>338</v>
      </c>
      <c r="U492" s="4">
        <v>0</v>
      </c>
      <c r="V492" s="4">
        <v>30</v>
      </c>
      <c r="W492" s="4">
        <v>79</v>
      </c>
    </row>
    <row r="493" spans="1:23" ht="11.25" customHeight="1" x14ac:dyDescent="0.25">
      <c r="A493" s="4" t="s">
        <v>28</v>
      </c>
      <c r="B493" s="4" t="s">
        <v>33</v>
      </c>
      <c r="C493" s="4" t="s">
        <v>23</v>
      </c>
      <c r="D493" s="4" t="s">
        <v>39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44470</v>
      </c>
      <c r="J493" s="6">
        <v>0</v>
      </c>
      <c r="K493" s="6">
        <v>0</v>
      </c>
      <c r="L493" s="6">
        <v>46.7</v>
      </c>
      <c r="M493" s="6">
        <v>46.7</v>
      </c>
      <c r="N493" s="6">
        <v>46.7</v>
      </c>
      <c r="O493" s="6">
        <v>46.7</v>
      </c>
      <c r="P493" s="6">
        <v>117</v>
      </c>
      <c r="Q493" s="4" t="s">
        <v>26</v>
      </c>
      <c r="R493" s="4">
        <v>0</v>
      </c>
      <c r="S493" s="4" t="s">
        <v>213</v>
      </c>
      <c r="T493" s="4" t="s">
        <v>338</v>
      </c>
      <c r="U493" s="4">
        <v>0</v>
      </c>
      <c r="V493" s="4">
        <v>30</v>
      </c>
      <c r="W493" s="4">
        <v>79</v>
      </c>
    </row>
    <row r="494" spans="1:23" ht="11.25" customHeight="1" x14ac:dyDescent="0.25">
      <c r="A494" s="4" t="s">
        <v>21</v>
      </c>
      <c r="B494" s="4" t="s">
        <v>33</v>
      </c>
      <c r="C494" s="4" t="s">
        <v>23</v>
      </c>
      <c r="D494" s="4" t="s">
        <v>39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44501</v>
      </c>
      <c r="J494" s="6">
        <v>0</v>
      </c>
      <c r="K494" s="6">
        <v>0</v>
      </c>
      <c r="L494" s="6">
        <v>398.88</v>
      </c>
      <c r="M494" s="6">
        <v>398.88</v>
      </c>
      <c r="N494" s="6">
        <v>398.88</v>
      </c>
      <c r="O494" s="6">
        <v>398.88</v>
      </c>
      <c r="P494" s="6">
        <v>836</v>
      </c>
      <c r="Q494" s="4" t="s">
        <v>26</v>
      </c>
      <c r="R494" s="4">
        <v>0</v>
      </c>
      <c r="S494" s="4" t="s">
        <v>214</v>
      </c>
      <c r="T494" s="4" t="s">
        <v>339</v>
      </c>
      <c r="U494" s="4">
        <v>0</v>
      </c>
      <c r="V494" s="4">
        <v>30</v>
      </c>
      <c r="W494" s="4">
        <v>79</v>
      </c>
    </row>
    <row r="495" spans="1:23" ht="11.25" customHeight="1" x14ac:dyDescent="0.25">
      <c r="A495" s="4" t="s">
        <v>28</v>
      </c>
      <c r="B495" s="4" t="s">
        <v>33</v>
      </c>
      <c r="C495" s="4" t="s">
        <v>23</v>
      </c>
      <c r="D495" s="4" t="s">
        <v>39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44501</v>
      </c>
      <c r="J495" s="6">
        <v>0</v>
      </c>
      <c r="K495" s="6">
        <v>0</v>
      </c>
      <c r="L495" s="6">
        <v>43.261000000000003</v>
      </c>
      <c r="M495" s="6">
        <v>43.261000000000003</v>
      </c>
      <c r="N495" s="6">
        <v>43.261000000000003</v>
      </c>
      <c r="O495" s="6">
        <v>43.261000000000003</v>
      </c>
      <c r="P495" s="6">
        <v>118</v>
      </c>
      <c r="Q495" s="4" t="s">
        <v>26</v>
      </c>
      <c r="R495" s="4">
        <v>0</v>
      </c>
      <c r="S495" s="4" t="s">
        <v>214</v>
      </c>
      <c r="T495" s="4" t="s">
        <v>339</v>
      </c>
      <c r="U495" s="4">
        <v>0</v>
      </c>
      <c r="V495" s="4">
        <v>30</v>
      </c>
      <c r="W495" s="4">
        <v>79</v>
      </c>
    </row>
    <row r="496" spans="1:23" ht="11.25" customHeight="1" x14ac:dyDescent="0.25">
      <c r="A496" s="4" t="s">
        <v>21</v>
      </c>
      <c r="B496" s="4" t="s">
        <v>33</v>
      </c>
      <c r="C496" s="4" t="s">
        <v>23</v>
      </c>
      <c r="D496" s="4" t="s">
        <v>39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44531</v>
      </c>
      <c r="J496" s="6">
        <v>0</v>
      </c>
      <c r="K496" s="6">
        <v>0</v>
      </c>
      <c r="L496" s="6">
        <v>395.46699999999998</v>
      </c>
      <c r="M496" s="6">
        <v>395.46699999999998</v>
      </c>
      <c r="N496" s="6">
        <v>395.46699999999998</v>
      </c>
      <c r="O496" s="6">
        <v>395.46699999999998</v>
      </c>
      <c r="P496" s="6">
        <v>839</v>
      </c>
      <c r="Q496" s="4" t="s">
        <v>26</v>
      </c>
      <c r="R496" s="4">
        <v>0</v>
      </c>
      <c r="S496" s="4" t="s">
        <v>215</v>
      </c>
      <c r="T496" s="4" t="s">
        <v>340</v>
      </c>
      <c r="U496" s="4">
        <v>0</v>
      </c>
      <c r="V496" s="4">
        <v>30</v>
      </c>
      <c r="W496" s="4">
        <v>79</v>
      </c>
    </row>
    <row r="497" spans="1:23" ht="11.25" customHeight="1" x14ac:dyDescent="0.25">
      <c r="A497" s="4" t="s">
        <v>27</v>
      </c>
      <c r="B497" s="4" t="s">
        <v>33</v>
      </c>
      <c r="C497" s="4" t="s">
        <v>23</v>
      </c>
      <c r="D497" s="4" t="s">
        <v>39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44531</v>
      </c>
      <c r="J497" s="6">
        <v>0</v>
      </c>
      <c r="K497" s="6">
        <v>0</v>
      </c>
      <c r="L497" s="6">
        <v>-0.24299999999999999</v>
      </c>
      <c r="M497" s="6">
        <v>-0.24299999999999999</v>
      </c>
      <c r="N497" s="6">
        <v>-0.24299999999999999</v>
      </c>
      <c r="O497" s="6">
        <v>-0.24299999999999999</v>
      </c>
      <c r="P497" s="6">
        <v>0</v>
      </c>
      <c r="Q497" s="4" t="s">
        <v>26</v>
      </c>
      <c r="R497" s="4">
        <v>0</v>
      </c>
      <c r="S497" s="4" t="s">
        <v>215</v>
      </c>
      <c r="T497" s="4" t="s">
        <v>340</v>
      </c>
      <c r="U497" s="4">
        <v>0</v>
      </c>
      <c r="V497" s="4">
        <v>30</v>
      </c>
      <c r="W497" s="4">
        <v>79</v>
      </c>
    </row>
    <row r="498" spans="1:23" ht="11.25" customHeight="1" x14ac:dyDescent="0.25">
      <c r="A498" s="4" t="s">
        <v>28</v>
      </c>
      <c r="B498" s="4" t="s">
        <v>33</v>
      </c>
      <c r="C498" s="4" t="s">
        <v>23</v>
      </c>
      <c r="D498" s="4" t="s">
        <v>39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44531</v>
      </c>
      <c r="J498" s="6">
        <v>0</v>
      </c>
      <c r="K498" s="6">
        <v>0</v>
      </c>
      <c r="L498" s="6">
        <v>47.655000000000001</v>
      </c>
      <c r="M498" s="6">
        <v>47.655000000000001</v>
      </c>
      <c r="N498" s="6">
        <v>47.655000000000001</v>
      </c>
      <c r="O498" s="6">
        <v>47.655000000000001</v>
      </c>
      <c r="P498" s="6">
        <v>119</v>
      </c>
      <c r="Q498" s="4" t="s">
        <v>26</v>
      </c>
      <c r="R498" s="4">
        <v>0</v>
      </c>
      <c r="S498" s="4" t="s">
        <v>215</v>
      </c>
      <c r="T498" s="4" t="s">
        <v>340</v>
      </c>
      <c r="U498" s="4">
        <v>0</v>
      </c>
      <c r="V498" s="4">
        <v>30</v>
      </c>
      <c r="W498" s="4">
        <v>79</v>
      </c>
    </row>
    <row r="499" spans="1:23" ht="11.25" customHeight="1" x14ac:dyDescent="0.25">
      <c r="A499" s="4" t="s">
        <v>21</v>
      </c>
      <c r="B499" s="4" t="s">
        <v>33</v>
      </c>
      <c r="C499" s="4" t="s">
        <v>23</v>
      </c>
      <c r="D499" s="4" t="s">
        <v>39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44562</v>
      </c>
      <c r="J499" s="6">
        <v>0</v>
      </c>
      <c r="K499" s="6">
        <v>0</v>
      </c>
      <c r="L499" s="6">
        <v>456.79899999999998</v>
      </c>
      <c r="M499" s="6">
        <v>456.79899999999998</v>
      </c>
      <c r="N499" s="6">
        <v>456.79899999999998</v>
      </c>
      <c r="O499" s="6">
        <v>456.79899999999998</v>
      </c>
      <c r="P499" s="6">
        <v>837</v>
      </c>
      <c r="Q499" s="4" t="s">
        <v>26</v>
      </c>
      <c r="R499" s="4">
        <v>0</v>
      </c>
      <c r="S499" s="4" t="s">
        <v>216</v>
      </c>
      <c r="T499" s="4" t="s">
        <v>341</v>
      </c>
      <c r="U499" s="4">
        <v>0</v>
      </c>
      <c r="V499" s="4">
        <v>30</v>
      </c>
      <c r="W499" s="4">
        <v>79</v>
      </c>
    </row>
    <row r="500" spans="1:23" ht="11.25" customHeight="1" x14ac:dyDescent="0.25">
      <c r="A500" s="4" t="s">
        <v>27</v>
      </c>
      <c r="B500" s="4" t="s">
        <v>33</v>
      </c>
      <c r="C500" s="4" t="s">
        <v>23</v>
      </c>
      <c r="D500" s="4" t="s">
        <v>39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44562</v>
      </c>
      <c r="J500" s="6">
        <v>0</v>
      </c>
      <c r="K500" s="6">
        <v>0</v>
      </c>
      <c r="L500" s="6">
        <v>4.3899999999999997</v>
      </c>
      <c r="M500" s="6">
        <v>4.3899999999999997</v>
      </c>
      <c r="N500" s="6">
        <v>4.3899999999999997</v>
      </c>
      <c r="O500" s="6">
        <v>4.3899999999999997</v>
      </c>
      <c r="P500" s="6">
        <v>0</v>
      </c>
      <c r="Q500" s="4" t="s">
        <v>26</v>
      </c>
      <c r="R500" s="4">
        <v>0</v>
      </c>
      <c r="S500" s="4" t="s">
        <v>216</v>
      </c>
      <c r="T500" s="4" t="s">
        <v>341</v>
      </c>
      <c r="U500" s="4">
        <v>0</v>
      </c>
      <c r="V500" s="4">
        <v>30</v>
      </c>
      <c r="W500" s="4">
        <v>79</v>
      </c>
    </row>
    <row r="501" spans="1:23" ht="11.25" customHeight="1" x14ac:dyDescent="0.25">
      <c r="A501" s="4" t="s">
        <v>28</v>
      </c>
      <c r="B501" s="4" t="s">
        <v>33</v>
      </c>
      <c r="C501" s="4" t="s">
        <v>23</v>
      </c>
      <c r="D501" s="4" t="s">
        <v>39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44562</v>
      </c>
      <c r="J501" s="6">
        <v>0</v>
      </c>
      <c r="K501" s="6">
        <v>0</v>
      </c>
      <c r="L501" s="6">
        <v>58.091999999999999</v>
      </c>
      <c r="M501" s="6">
        <v>58.091999999999999</v>
      </c>
      <c r="N501" s="6">
        <v>58.091999999999999</v>
      </c>
      <c r="O501" s="6">
        <v>58.091999999999999</v>
      </c>
      <c r="P501" s="6">
        <v>123</v>
      </c>
      <c r="Q501" s="4" t="s">
        <v>26</v>
      </c>
      <c r="R501" s="4">
        <v>0</v>
      </c>
      <c r="S501" s="4" t="s">
        <v>216</v>
      </c>
      <c r="T501" s="4" t="s">
        <v>341</v>
      </c>
      <c r="U501" s="4">
        <v>0</v>
      </c>
      <c r="V501" s="4">
        <v>30</v>
      </c>
      <c r="W501" s="4">
        <v>79</v>
      </c>
    </row>
    <row r="502" spans="1:23" ht="11.25" customHeight="1" x14ac:dyDescent="0.25">
      <c r="A502" s="4" t="s">
        <v>21</v>
      </c>
      <c r="B502" s="4" t="s">
        <v>33</v>
      </c>
      <c r="C502" s="4" t="s">
        <v>23</v>
      </c>
      <c r="D502" s="4" t="s">
        <v>39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44593</v>
      </c>
      <c r="J502" s="6">
        <v>0</v>
      </c>
      <c r="K502" s="6">
        <v>0</v>
      </c>
      <c r="L502" s="6">
        <v>452.63900000000001</v>
      </c>
      <c r="M502" s="6">
        <v>452.63900000000001</v>
      </c>
      <c r="N502" s="6">
        <v>452.63900000000001</v>
      </c>
      <c r="O502" s="6">
        <v>452.63900000000001</v>
      </c>
      <c r="P502" s="6">
        <v>845</v>
      </c>
      <c r="Q502" s="4" t="s">
        <v>26</v>
      </c>
      <c r="R502" s="4">
        <v>0</v>
      </c>
      <c r="S502" s="4" t="s">
        <v>217</v>
      </c>
      <c r="T502" s="4" t="s">
        <v>342</v>
      </c>
      <c r="U502" s="4">
        <v>0</v>
      </c>
      <c r="V502" s="4">
        <v>30</v>
      </c>
      <c r="W502" s="4">
        <v>79</v>
      </c>
    </row>
    <row r="503" spans="1:23" ht="11.25" customHeight="1" x14ac:dyDescent="0.25">
      <c r="A503" s="4" t="s">
        <v>28</v>
      </c>
      <c r="B503" s="4" t="s">
        <v>33</v>
      </c>
      <c r="C503" s="4" t="s">
        <v>23</v>
      </c>
      <c r="D503" s="4" t="s">
        <v>39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44593</v>
      </c>
      <c r="J503" s="6">
        <v>0</v>
      </c>
      <c r="K503" s="6">
        <v>0</v>
      </c>
      <c r="L503" s="6">
        <v>71.272999999999996</v>
      </c>
      <c r="M503" s="6">
        <v>71.272999999999996</v>
      </c>
      <c r="N503" s="6">
        <v>71.272999999999996</v>
      </c>
      <c r="O503" s="6">
        <v>71.272999999999996</v>
      </c>
      <c r="P503" s="6">
        <v>118</v>
      </c>
      <c r="Q503" s="4" t="s">
        <v>26</v>
      </c>
      <c r="R503" s="4">
        <v>0</v>
      </c>
      <c r="S503" s="4" t="s">
        <v>217</v>
      </c>
      <c r="T503" s="4" t="s">
        <v>342</v>
      </c>
      <c r="U503" s="4">
        <v>0</v>
      </c>
      <c r="V503" s="4">
        <v>30</v>
      </c>
      <c r="W503" s="4">
        <v>79</v>
      </c>
    </row>
    <row r="504" spans="1:23" ht="11.25" customHeight="1" x14ac:dyDescent="0.25">
      <c r="A504" s="4" t="s">
        <v>21</v>
      </c>
      <c r="B504" s="4" t="s">
        <v>33</v>
      </c>
      <c r="C504" s="4" t="s">
        <v>23</v>
      </c>
      <c r="D504" s="4" t="s">
        <v>39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44621</v>
      </c>
      <c r="J504" s="6">
        <v>0</v>
      </c>
      <c r="K504" s="6">
        <v>0</v>
      </c>
      <c r="L504" s="6">
        <v>430.28300000000002</v>
      </c>
      <c r="M504" s="6">
        <v>430.28300000000002</v>
      </c>
      <c r="N504" s="6">
        <v>430.28300000000002</v>
      </c>
      <c r="O504" s="6">
        <v>430.28300000000002</v>
      </c>
      <c r="P504" s="6">
        <v>838</v>
      </c>
      <c r="Q504" s="4" t="s">
        <v>26</v>
      </c>
      <c r="R504" s="4">
        <v>0</v>
      </c>
      <c r="S504" s="4" t="s">
        <v>218</v>
      </c>
      <c r="T504" s="4" t="s">
        <v>343</v>
      </c>
      <c r="U504" s="4">
        <v>0</v>
      </c>
      <c r="V504" s="4">
        <v>30</v>
      </c>
      <c r="W504" s="4">
        <v>79</v>
      </c>
    </row>
    <row r="505" spans="1:23" ht="11.25" customHeight="1" x14ac:dyDescent="0.25">
      <c r="A505" s="4" t="s">
        <v>28</v>
      </c>
      <c r="B505" s="4" t="s">
        <v>33</v>
      </c>
      <c r="C505" s="4" t="s">
        <v>23</v>
      </c>
      <c r="D505" s="4" t="s">
        <v>39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44621</v>
      </c>
      <c r="J505" s="6">
        <v>0</v>
      </c>
      <c r="K505" s="6">
        <v>0</v>
      </c>
      <c r="L505" s="6">
        <v>78.478999999999999</v>
      </c>
      <c r="M505" s="6">
        <v>78.478999999999999</v>
      </c>
      <c r="N505" s="6">
        <v>78.478999999999999</v>
      </c>
      <c r="O505" s="6">
        <v>78.478999999999999</v>
      </c>
      <c r="P505" s="6">
        <v>120</v>
      </c>
      <c r="Q505" s="4" t="s">
        <v>26</v>
      </c>
      <c r="R505" s="4">
        <v>0</v>
      </c>
      <c r="S505" s="4" t="s">
        <v>218</v>
      </c>
      <c r="T505" s="4" t="s">
        <v>343</v>
      </c>
      <c r="U505" s="4">
        <v>0</v>
      </c>
      <c r="V505" s="4">
        <v>30</v>
      </c>
      <c r="W505" s="4">
        <v>79</v>
      </c>
    </row>
    <row r="506" spans="1:23" ht="11.25" customHeight="1" x14ac:dyDescent="0.25">
      <c r="A506" s="4" t="s">
        <v>21</v>
      </c>
      <c r="B506" s="4" t="s">
        <v>33</v>
      </c>
      <c r="C506" s="4" t="s">
        <v>23</v>
      </c>
      <c r="D506" s="4" t="s">
        <v>39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44652</v>
      </c>
      <c r="J506" s="6">
        <v>0</v>
      </c>
      <c r="K506" s="6">
        <v>0</v>
      </c>
      <c r="L506" s="6">
        <v>378.89600000000002</v>
      </c>
      <c r="M506" s="6">
        <v>378.89600000000002</v>
      </c>
      <c r="N506" s="6">
        <v>378.89600000000002</v>
      </c>
      <c r="O506" s="6">
        <v>378.89600000000002</v>
      </c>
      <c r="P506" s="6">
        <v>834</v>
      </c>
      <c r="Q506" s="4" t="s">
        <v>26</v>
      </c>
      <c r="R506" s="4">
        <v>0</v>
      </c>
      <c r="S506" s="4" t="s">
        <v>219</v>
      </c>
      <c r="T506" s="4" t="s">
        <v>344</v>
      </c>
      <c r="U506" s="4">
        <v>0</v>
      </c>
      <c r="V506" s="4">
        <v>30</v>
      </c>
      <c r="W506" s="4">
        <v>79</v>
      </c>
    </row>
    <row r="507" spans="1:23" ht="11.25" customHeight="1" x14ac:dyDescent="0.25">
      <c r="A507" s="4" t="s">
        <v>27</v>
      </c>
      <c r="B507" s="4" t="s">
        <v>33</v>
      </c>
      <c r="C507" s="4" t="s">
        <v>23</v>
      </c>
      <c r="D507" s="4" t="s">
        <v>39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44652</v>
      </c>
      <c r="J507" s="6">
        <v>0</v>
      </c>
      <c r="K507" s="6">
        <v>0</v>
      </c>
      <c r="L507" s="6">
        <v>-0.93700000000000006</v>
      </c>
      <c r="M507" s="6">
        <v>-0.93700000000000006</v>
      </c>
      <c r="N507" s="6">
        <v>-0.93700000000000006</v>
      </c>
      <c r="O507" s="6">
        <v>-0.93700000000000006</v>
      </c>
      <c r="P507" s="6">
        <v>0</v>
      </c>
      <c r="Q507" s="4" t="s">
        <v>26</v>
      </c>
      <c r="R507" s="4">
        <v>0</v>
      </c>
      <c r="S507" s="4" t="s">
        <v>219</v>
      </c>
      <c r="T507" s="4" t="s">
        <v>344</v>
      </c>
      <c r="U507" s="4">
        <v>0</v>
      </c>
      <c r="V507" s="4">
        <v>30</v>
      </c>
      <c r="W507" s="4">
        <v>79</v>
      </c>
    </row>
    <row r="508" spans="1:23" ht="11.25" customHeight="1" x14ac:dyDescent="0.25">
      <c r="A508" s="4" t="s">
        <v>28</v>
      </c>
      <c r="B508" s="4" t="s">
        <v>33</v>
      </c>
      <c r="C508" s="4" t="s">
        <v>23</v>
      </c>
      <c r="D508" s="4" t="s">
        <v>39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44652</v>
      </c>
      <c r="J508" s="6">
        <v>0</v>
      </c>
      <c r="K508" s="6">
        <v>0</v>
      </c>
      <c r="L508" s="6">
        <v>73.408000000000001</v>
      </c>
      <c r="M508" s="6">
        <v>73.408000000000001</v>
      </c>
      <c r="N508" s="6">
        <v>73.408000000000001</v>
      </c>
      <c r="O508" s="6">
        <v>73.408000000000001</v>
      </c>
      <c r="P508" s="6">
        <v>125</v>
      </c>
      <c r="Q508" s="4" t="s">
        <v>26</v>
      </c>
      <c r="R508" s="4">
        <v>0</v>
      </c>
      <c r="S508" s="4" t="s">
        <v>219</v>
      </c>
      <c r="T508" s="4" t="s">
        <v>344</v>
      </c>
      <c r="U508" s="4">
        <v>0</v>
      </c>
      <c r="V508" s="4">
        <v>30</v>
      </c>
      <c r="W508" s="4">
        <v>79</v>
      </c>
    </row>
    <row r="509" spans="1:23" ht="11.25" customHeight="1" x14ac:dyDescent="0.25">
      <c r="A509" s="4" t="s">
        <v>28</v>
      </c>
      <c r="B509" s="4" t="s">
        <v>33</v>
      </c>
      <c r="C509" s="4" t="s">
        <v>23</v>
      </c>
      <c r="D509" s="4" t="s">
        <v>39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44652</v>
      </c>
      <c r="J509" s="6">
        <v>0</v>
      </c>
      <c r="K509" s="6">
        <v>0</v>
      </c>
      <c r="L509" s="6">
        <v>-2.1680000000000001</v>
      </c>
      <c r="M509" s="6">
        <v>-2.1680000000000001</v>
      </c>
      <c r="N509" s="6">
        <v>-2.1680000000000001</v>
      </c>
      <c r="O509" s="6">
        <v>-2.1680000000000001</v>
      </c>
      <c r="P509" s="6">
        <v>2</v>
      </c>
      <c r="Q509" s="4" t="s">
        <v>26</v>
      </c>
      <c r="R509" s="4">
        <v>0</v>
      </c>
      <c r="S509" s="4" t="s">
        <v>219</v>
      </c>
      <c r="T509" s="4" t="s">
        <v>344</v>
      </c>
      <c r="U509" s="4">
        <v>0</v>
      </c>
      <c r="V509" s="4">
        <v>30</v>
      </c>
      <c r="W509" s="4">
        <v>79</v>
      </c>
    </row>
    <row r="510" spans="1:23" ht="11.25" customHeight="1" x14ac:dyDescent="0.25">
      <c r="A510" s="4" t="s">
        <v>21</v>
      </c>
      <c r="B510" s="4" t="s">
        <v>33</v>
      </c>
      <c r="C510" s="4" t="s">
        <v>23</v>
      </c>
      <c r="D510" s="4" t="s">
        <v>39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44682</v>
      </c>
      <c r="J510" s="6">
        <v>0</v>
      </c>
      <c r="K510" s="6">
        <v>0</v>
      </c>
      <c r="L510" s="6">
        <v>400.81599999999997</v>
      </c>
      <c r="M510" s="6">
        <v>400.81599999999997</v>
      </c>
      <c r="N510" s="6">
        <v>400.81599999999997</v>
      </c>
      <c r="O510" s="6">
        <v>400.81599999999997</v>
      </c>
      <c r="P510" s="6">
        <v>843</v>
      </c>
      <c r="Q510" s="4" t="s">
        <v>26</v>
      </c>
      <c r="R510" s="4">
        <v>0</v>
      </c>
      <c r="S510" s="4" t="s">
        <v>220</v>
      </c>
      <c r="T510" s="4" t="s">
        <v>345</v>
      </c>
      <c r="U510" s="4">
        <v>0</v>
      </c>
      <c r="V510" s="4">
        <v>30</v>
      </c>
      <c r="W510" s="4">
        <v>79</v>
      </c>
    </row>
    <row r="511" spans="1:23" ht="11.25" customHeight="1" x14ac:dyDescent="0.25">
      <c r="A511" s="4" t="s">
        <v>28</v>
      </c>
      <c r="B511" s="4" t="s">
        <v>33</v>
      </c>
      <c r="C511" s="4" t="s">
        <v>23</v>
      </c>
      <c r="D511" s="4" t="s">
        <v>39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44682</v>
      </c>
      <c r="J511" s="6">
        <v>0</v>
      </c>
      <c r="K511" s="6">
        <v>0</v>
      </c>
      <c r="L511" s="6">
        <v>85.409000000000006</v>
      </c>
      <c r="M511" s="6">
        <v>85.409000000000006</v>
      </c>
      <c r="N511" s="6">
        <v>85.409000000000006</v>
      </c>
      <c r="O511" s="6">
        <v>85.409000000000006</v>
      </c>
      <c r="P511" s="6">
        <v>122</v>
      </c>
      <c r="Q511" s="4" t="s">
        <v>26</v>
      </c>
      <c r="R511" s="4">
        <v>0</v>
      </c>
      <c r="S511" s="4" t="s">
        <v>220</v>
      </c>
      <c r="T511" s="4" t="s">
        <v>345</v>
      </c>
      <c r="U511" s="4">
        <v>0</v>
      </c>
      <c r="V511" s="4">
        <v>30</v>
      </c>
      <c r="W511" s="4">
        <v>79</v>
      </c>
    </row>
    <row r="512" spans="1:23" ht="11.25" customHeight="1" x14ac:dyDescent="0.25">
      <c r="A512" s="4" t="s">
        <v>21</v>
      </c>
      <c r="B512" s="4" t="s">
        <v>33</v>
      </c>
      <c r="C512" s="4" t="s">
        <v>23</v>
      </c>
      <c r="D512" s="4" t="s">
        <v>39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44713</v>
      </c>
      <c r="J512" s="6">
        <v>0</v>
      </c>
      <c r="K512" s="6">
        <v>0</v>
      </c>
      <c r="L512" s="6">
        <v>336.827</v>
      </c>
      <c r="M512" s="6">
        <v>336.827</v>
      </c>
      <c r="N512" s="6">
        <v>336.827</v>
      </c>
      <c r="O512" s="6">
        <v>336.827</v>
      </c>
      <c r="P512" s="6">
        <v>839</v>
      </c>
      <c r="Q512" s="4" t="s">
        <v>26</v>
      </c>
      <c r="R512" s="4">
        <v>0</v>
      </c>
      <c r="S512" s="4" t="s">
        <v>221</v>
      </c>
      <c r="T512" s="4" t="s">
        <v>346</v>
      </c>
      <c r="U512" s="4">
        <v>0</v>
      </c>
      <c r="V512" s="4">
        <v>30</v>
      </c>
      <c r="W512" s="4">
        <v>79</v>
      </c>
    </row>
    <row r="513" spans="1:23" ht="11.25" customHeight="1" x14ac:dyDescent="0.25">
      <c r="A513" s="4" t="s">
        <v>27</v>
      </c>
      <c r="B513" s="4" t="s">
        <v>33</v>
      </c>
      <c r="C513" s="4" t="s">
        <v>23</v>
      </c>
      <c r="D513" s="4" t="s">
        <v>39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44713</v>
      </c>
      <c r="J513" s="6">
        <v>0</v>
      </c>
      <c r="K513" s="6">
        <v>0</v>
      </c>
      <c r="L513" s="6">
        <v>-0.29099999999999998</v>
      </c>
      <c r="M513" s="6">
        <v>-0.29099999999999998</v>
      </c>
      <c r="N513" s="6">
        <v>-0.29099999999999998</v>
      </c>
      <c r="O513" s="6">
        <v>-0.29099999999999998</v>
      </c>
      <c r="P513" s="6">
        <v>0</v>
      </c>
      <c r="Q513" s="4" t="s">
        <v>26</v>
      </c>
      <c r="R513" s="4">
        <v>0</v>
      </c>
      <c r="S513" s="4" t="s">
        <v>221</v>
      </c>
      <c r="T513" s="4" t="s">
        <v>346</v>
      </c>
      <c r="U513" s="4">
        <v>0</v>
      </c>
      <c r="V513" s="4">
        <v>30</v>
      </c>
      <c r="W513" s="4">
        <v>79</v>
      </c>
    </row>
    <row r="514" spans="1:23" ht="11.25" customHeight="1" x14ac:dyDescent="0.25">
      <c r="A514" s="4" t="s">
        <v>28</v>
      </c>
      <c r="B514" s="4" t="s">
        <v>33</v>
      </c>
      <c r="C514" s="4" t="s">
        <v>23</v>
      </c>
      <c r="D514" s="4" t="s">
        <v>39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44713</v>
      </c>
      <c r="J514" s="6">
        <v>0</v>
      </c>
      <c r="K514" s="6">
        <v>0</v>
      </c>
      <c r="L514" s="6">
        <v>103.16200000000001</v>
      </c>
      <c r="M514" s="6">
        <v>103.16200000000001</v>
      </c>
      <c r="N514" s="6">
        <v>103.16200000000001</v>
      </c>
      <c r="O514" s="6">
        <v>103.16200000000001</v>
      </c>
      <c r="P514" s="6">
        <v>123</v>
      </c>
      <c r="Q514" s="4" t="s">
        <v>26</v>
      </c>
      <c r="R514" s="4">
        <v>0</v>
      </c>
      <c r="S514" s="4" t="s">
        <v>221</v>
      </c>
      <c r="T514" s="4" t="s">
        <v>346</v>
      </c>
      <c r="U514" s="4">
        <v>0</v>
      </c>
      <c r="V514" s="4">
        <v>30</v>
      </c>
      <c r="W514" s="4">
        <v>79</v>
      </c>
    </row>
    <row r="515" spans="1:23" ht="11.25" customHeight="1" x14ac:dyDescent="0.25">
      <c r="A515" s="4" t="s">
        <v>21</v>
      </c>
      <c r="B515" s="4" t="s">
        <v>33</v>
      </c>
      <c r="C515" s="4" t="s">
        <v>23</v>
      </c>
      <c r="D515" s="4" t="s">
        <v>48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44378</v>
      </c>
      <c r="J515" s="6">
        <v>0</v>
      </c>
      <c r="K515" s="6">
        <v>0</v>
      </c>
      <c r="L515" s="6">
        <v>7.5949999999999998</v>
      </c>
      <c r="M515" s="6">
        <v>7.5949999999999998</v>
      </c>
      <c r="N515" s="6">
        <v>7.5949999999999998</v>
      </c>
      <c r="O515" s="6">
        <v>7.5949999999999998</v>
      </c>
      <c r="P515" s="6">
        <v>11</v>
      </c>
      <c r="Q515" s="4" t="s">
        <v>26</v>
      </c>
      <c r="R515" s="4">
        <v>0</v>
      </c>
      <c r="S515" s="4" t="s">
        <v>210</v>
      </c>
      <c r="T515" s="4" t="s">
        <v>335</v>
      </c>
      <c r="U515" s="4">
        <v>0</v>
      </c>
      <c r="V515" s="4">
        <v>30</v>
      </c>
      <c r="W515" s="4">
        <v>79</v>
      </c>
    </row>
    <row r="516" spans="1:23" ht="11.25" customHeight="1" x14ac:dyDescent="0.25">
      <c r="A516" s="4" t="s">
        <v>21</v>
      </c>
      <c r="B516" s="4" t="s">
        <v>33</v>
      </c>
      <c r="C516" s="4" t="s">
        <v>23</v>
      </c>
      <c r="D516" s="4" t="s">
        <v>48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44409</v>
      </c>
      <c r="J516" s="6">
        <v>0</v>
      </c>
      <c r="K516" s="6">
        <v>0</v>
      </c>
      <c r="L516" s="6">
        <v>7.2480000000000002</v>
      </c>
      <c r="M516" s="6">
        <v>7.2480000000000002</v>
      </c>
      <c r="N516" s="6">
        <v>7.2480000000000002</v>
      </c>
      <c r="O516" s="6">
        <v>7.2480000000000002</v>
      </c>
      <c r="P516" s="6">
        <v>11</v>
      </c>
      <c r="Q516" s="4" t="s">
        <v>26</v>
      </c>
      <c r="R516" s="4">
        <v>0</v>
      </c>
      <c r="S516" s="4" t="s">
        <v>211</v>
      </c>
      <c r="T516" s="4" t="s">
        <v>336</v>
      </c>
      <c r="U516" s="4">
        <v>0</v>
      </c>
      <c r="V516" s="4">
        <v>30</v>
      </c>
      <c r="W516" s="4">
        <v>79</v>
      </c>
    </row>
    <row r="517" spans="1:23" ht="11.25" customHeight="1" x14ac:dyDescent="0.25">
      <c r="A517" s="4" t="s">
        <v>21</v>
      </c>
      <c r="B517" s="4" t="s">
        <v>33</v>
      </c>
      <c r="C517" s="4" t="s">
        <v>23</v>
      </c>
      <c r="D517" s="4" t="s">
        <v>48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44440</v>
      </c>
      <c r="J517" s="6">
        <v>0</v>
      </c>
      <c r="K517" s="6">
        <v>0</v>
      </c>
      <c r="L517" s="6">
        <v>6.0609999999999999</v>
      </c>
      <c r="M517" s="6">
        <v>6.0609999999999999</v>
      </c>
      <c r="N517" s="6">
        <v>6.0609999999999999</v>
      </c>
      <c r="O517" s="6">
        <v>6.0609999999999999</v>
      </c>
      <c r="P517" s="6">
        <v>11</v>
      </c>
      <c r="Q517" s="4" t="s">
        <v>26</v>
      </c>
      <c r="R517" s="4">
        <v>0</v>
      </c>
      <c r="S517" s="4" t="s">
        <v>212</v>
      </c>
      <c r="T517" s="4" t="s">
        <v>337</v>
      </c>
      <c r="U517" s="4">
        <v>0</v>
      </c>
      <c r="V517" s="4">
        <v>30</v>
      </c>
      <c r="W517" s="4">
        <v>79</v>
      </c>
    </row>
    <row r="518" spans="1:23" ht="11.25" customHeight="1" x14ac:dyDescent="0.25">
      <c r="A518" s="4" t="s">
        <v>21</v>
      </c>
      <c r="B518" s="4" t="s">
        <v>33</v>
      </c>
      <c r="C518" s="4" t="s">
        <v>23</v>
      </c>
      <c r="D518" s="4" t="s">
        <v>48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44470</v>
      </c>
      <c r="J518" s="6">
        <v>0</v>
      </c>
      <c r="K518" s="6">
        <v>0</v>
      </c>
      <c r="L518" s="6">
        <v>5.7320000000000002</v>
      </c>
      <c r="M518" s="6">
        <v>5.7320000000000002</v>
      </c>
      <c r="N518" s="6">
        <v>5.7320000000000002</v>
      </c>
      <c r="O518" s="6">
        <v>5.7320000000000002</v>
      </c>
      <c r="P518" s="6">
        <v>11</v>
      </c>
      <c r="Q518" s="4" t="s">
        <v>26</v>
      </c>
      <c r="R518" s="4">
        <v>0</v>
      </c>
      <c r="S518" s="4" t="s">
        <v>213</v>
      </c>
      <c r="T518" s="4" t="s">
        <v>338</v>
      </c>
      <c r="U518" s="4">
        <v>0</v>
      </c>
      <c r="V518" s="4">
        <v>30</v>
      </c>
      <c r="W518" s="4">
        <v>79</v>
      </c>
    </row>
    <row r="519" spans="1:23" ht="11.25" customHeight="1" x14ac:dyDescent="0.25">
      <c r="A519" s="4" t="s">
        <v>21</v>
      </c>
      <c r="B519" s="4" t="s">
        <v>33</v>
      </c>
      <c r="C519" s="4" t="s">
        <v>23</v>
      </c>
      <c r="D519" s="4" t="s">
        <v>48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44501</v>
      </c>
      <c r="J519" s="6">
        <v>0</v>
      </c>
      <c r="K519" s="6">
        <v>0</v>
      </c>
      <c r="L519" s="6">
        <v>7.1449999999999996</v>
      </c>
      <c r="M519" s="6">
        <v>7.1449999999999996</v>
      </c>
      <c r="N519" s="6">
        <v>7.1449999999999996</v>
      </c>
      <c r="O519" s="6">
        <v>7.1449999999999996</v>
      </c>
      <c r="P519" s="6">
        <v>11</v>
      </c>
      <c r="Q519" s="4" t="s">
        <v>26</v>
      </c>
      <c r="R519" s="4">
        <v>0</v>
      </c>
      <c r="S519" s="4" t="s">
        <v>214</v>
      </c>
      <c r="T519" s="4" t="s">
        <v>339</v>
      </c>
      <c r="U519" s="4">
        <v>0</v>
      </c>
      <c r="V519" s="4">
        <v>30</v>
      </c>
      <c r="W519" s="4">
        <v>79</v>
      </c>
    </row>
    <row r="520" spans="1:23" ht="11.25" customHeight="1" x14ac:dyDescent="0.25">
      <c r="A520" s="4" t="s">
        <v>21</v>
      </c>
      <c r="B520" s="4" t="s">
        <v>33</v>
      </c>
      <c r="C520" s="4" t="s">
        <v>23</v>
      </c>
      <c r="D520" s="4" t="s">
        <v>48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44531</v>
      </c>
      <c r="J520" s="6">
        <v>0</v>
      </c>
      <c r="K520" s="6">
        <v>0</v>
      </c>
      <c r="L520" s="6">
        <v>7.46</v>
      </c>
      <c r="M520" s="6">
        <v>7.46</v>
      </c>
      <c r="N520" s="6">
        <v>7.46</v>
      </c>
      <c r="O520" s="6">
        <v>7.46</v>
      </c>
      <c r="P520" s="6">
        <v>11</v>
      </c>
      <c r="Q520" s="4" t="s">
        <v>26</v>
      </c>
      <c r="R520" s="4">
        <v>0</v>
      </c>
      <c r="S520" s="4" t="s">
        <v>215</v>
      </c>
      <c r="T520" s="4" t="s">
        <v>340</v>
      </c>
      <c r="U520" s="4">
        <v>0</v>
      </c>
      <c r="V520" s="4">
        <v>30</v>
      </c>
      <c r="W520" s="4">
        <v>79</v>
      </c>
    </row>
    <row r="521" spans="1:23" ht="11.25" customHeight="1" x14ac:dyDescent="0.25">
      <c r="A521" s="4" t="s">
        <v>21</v>
      </c>
      <c r="B521" s="4" t="s">
        <v>33</v>
      </c>
      <c r="C521" s="4" t="s">
        <v>23</v>
      </c>
      <c r="D521" s="4" t="s">
        <v>48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44562</v>
      </c>
      <c r="J521" s="6">
        <v>0</v>
      </c>
      <c r="K521" s="6">
        <v>0</v>
      </c>
      <c r="L521" s="6">
        <v>10.823</v>
      </c>
      <c r="M521" s="6">
        <v>10.823</v>
      </c>
      <c r="N521" s="6">
        <v>10.823</v>
      </c>
      <c r="O521" s="6">
        <v>10.823</v>
      </c>
      <c r="P521" s="6">
        <v>11</v>
      </c>
      <c r="Q521" s="4" t="s">
        <v>26</v>
      </c>
      <c r="R521" s="4">
        <v>0</v>
      </c>
      <c r="S521" s="4" t="s">
        <v>216</v>
      </c>
      <c r="T521" s="4" t="s">
        <v>341</v>
      </c>
      <c r="U521" s="4">
        <v>0</v>
      </c>
      <c r="V521" s="4">
        <v>30</v>
      </c>
      <c r="W521" s="4">
        <v>79</v>
      </c>
    </row>
    <row r="522" spans="1:23" ht="11.25" customHeight="1" x14ac:dyDescent="0.25">
      <c r="A522" s="4" t="s">
        <v>21</v>
      </c>
      <c r="B522" s="4" t="s">
        <v>33</v>
      </c>
      <c r="C522" s="4" t="s">
        <v>23</v>
      </c>
      <c r="D522" s="4" t="s">
        <v>48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44593</v>
      </c>
      <c r="J522" s="6">
        <v>0</v>
      </c>
      <c r="K522" s="6">
        <v>0</v>
      </c>
      <c r="L522" s="6">
        <v>9.9870000000000001</v>
      </c>
      <c r="M522" s="6">
        <v>9.9870000000000001</v>
      </c>
      <c r="N522" s="6">
        <v>9.9870000000000001</v>
      </c>
      <c r="O522" s="6">
        <v>9.9870000000000001</v>
      </c>
      <c r="P522" s="6">
        <v>11</v>
      </c>
      <c r="Q522" s="4" t="s">
        <v>26</v>
      </c>
      <c r="R522" s="4">
        <v>0</v>
      </c>
      <c r="S522" s="4" t="s">
        <v>217</v>
      </c>
      <c r="T522" s="4" t="s">
        <v>342</v>
      </c>
      <c r="U522" s="4">
        <v>0</v>
      </c>
      <c r="V522" s="4">
        <v>30</v>
      </c>
      <c r="W522" s="4">
        <v>79</v>
      </c>
    </row>
    <row r="523" spans="1:23" ht="11.25" customHeight="1" x14ac:dyDescent="0.25">
      <c r="A523" s="4" t="s">
        <v>21</v>
      </c>
      <c r="B523" s="4" t="s">
        <v>33</v>
      </c>
      <c r="C523" s="4" t="s">
        <v>23</v>
      </c>
      <c r="D523" s="4" t="s">
        <v>48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44621</v>
      </c>
      <c r="J523" s="6">
        <v>0</v>
      </c>
      <c r="K523" s="6">
        <v>0</v>
      </c>
      <c r="L523" s="6">
        <v>9.032</v>
      </c>
      <c r="M523" s="6">
        <v>9.032</v>
      </c>
      <c r="N523" s="6">
        <v>9.032</v>
      </c>
      <c r="O523" s="6">
        <v>9.032</v>
      </c>
      <c r="P523" s="6">
        <v>11</v>
      </c>
      <c r="Q523" s="4" t="s">
        <v>26</v>
      </c>
      <c r="R523" s="4">
        <v>0</v>
      </c>
      <c r="S523" s="4" t="s">
        <v>218</v>
      </c>
      <c r="T523" s="4" t="s">
        <v>343</v>
      </c>
      <c r="U523" s="4">
        <v>0</v>
      </c>
      <c r="V523" s="4">
        <v>30</v>
      </c>
      <c r="W523" s="4">
        <v>79</v>
      </c>
    </row>
    <row r="524" spans="1:23" ht="11.25" customHeight="1" x14ac:dyDescent="0.25">
      <c r="A524" s="4" t="s">
        <v>21</v>
      </c>
      <c r="B524" s="4" t="s">
        <v>33</v>
      </c>
      <c r="C524" s="4" t="s">
        <v>23</v>
      </c>
      <c r="D524" s="4" t="s">
        <v>48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44652</v>
      </c>
      <c r="J524" s="6">
        <v>0</v>
      </c>
      <c r="K524" s="6">
        <v>0</v>
      </c>
      <c r="L524" s="6">
        <v>6.6120000000000001</v>
      </c>
      <c r="M524" s="6">
        <v>6.6120000000000001</v>
      </c>
      <c r="N524" s="6">
        <v>6.6120000000000001</v>
      </c>
      <c r="O524" s="6">
        <v>6.6120000000000001</v>
      </c>
      <c r="P524" s="6">
        <v>11</v>
      </c>
      <c r="Q524" s="4" t="s">
        <v>26</v>
      </c>
      <c r="R524" s="4">
        <v>0</v>
      </c>
      <c r="S524" s="4" t="s">
        <v>219</v>
      </c>
      <c r="T524" s="4" t="s">
        <v>344</v>
      </c>
      <c r="U524" s="4">
        <v>0</v>
      </c>
      <c r="V524" s="4">
        <v>30</v>
      </c>
      <c r="W524" s="4">
        <v>79</v>
      </c>
    </row>
    <row r="525" spans="1:23" ht="11.25" customHeight="1" x14ac:dyDescent="0.25">
      <c r="A525" s="4" t="s">
        <v>21</v>
      </c>
      <c r="B525" s="4" t="s">
        <v>33</v>
      </c>
      <c r="C525" s="4" t="s">
        <v>23</v>
      </c>
      <c r="D525" s="4" t="s">
        <v>48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44682</v>
      </c>
      <c r="J525" s="6">
        <v>0</v>
      </c>
      <c r="K525" s="6">
        <v>0</v>
      </c>
      <c r="L525" s="6">
        <v>6.6580000000000004</v>
      </c>
      <c r="M525" s="6">
        <v>6.6580000000000004</v>
      </c>
      <c r="N525" s="6">
        <v>6.6580000000000004</v>
      </c>
      <c r="O525" s="6">
        <v>6.6580000000000004</v>
      </c>
      <c r="P525" s="6">
        <v>11</v>
      </c>
      <c r="Q525" s="4" t="s">
        <v>26</v>
      </c>
      <c r="R525" s="4">
        <v>0</v>
      </c>
      <c r="S525" s="4" t="s">
        <v>220</v>
      </c>
      <c r="T525" s="4" t="s">
        <v>345</v>
      </c>
      <c r="U525" s="4">
        <v>0</v>
      </c>
      <c r="V525" s="4">
        <v>30</v>
      </c>
      <c r="W525" s="4">
        <v>79</v>
      </c>
    </row>
    <row r="526" spans="1:23" ht="11.25" customHeight="1" x14ac:dyDescent="0.25">
      <c r="A526" s="4" t="s">
        <v>21</v>
      </c>
      <c r="B526" s="4" t="s">
        <v>33</v>
      </c>
      <c r="C526" s="4" t="s">
        <v>23</v>
      </c>
      <c r="D526" s="4" t="s">
        <v>48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44713</v>
      </c>
      <c r="J526" s="6">
        <v>0</v>
      </c>
      <c r="K526" s="6">
        <v>0</v>
      </c>
      <c r="L526" s="6">
        <v>7.7320000000000002</v>
      </c>
      <c r="M526" s="6">
        <v>7.7320000000000002</v>
      </c>
      <c r="N526" s="6">
        <v>7.7320000000000002</v>
      </c>
      <c r="O526" s="6">
        <v>7.7320000000000002</v>
      </c>
      <c r="P526" s="6">
        <v>11</v>
      </c>
      <c r="Q526" s="4" t="s">
        <v>26</v>
      </c>
      <c r="R526" s="4">
        <v>0</v>
      </c>
      <c r="S526" s="4" t="s">
        <v>221</v>
      </c>
      <c r="T526" s="4" t="s">
        <v>346</v>
      </c>
      <c r="U526" s="4">
        <v>0</v>
      </c>
      <c r="V526" s="4">
        <v>30</v>
      </c>
      <c r="W526" s="4">
        <v>79</v>
      </c>
    </row>
    <row r="527" spans="1:23" ht="11.25" customHeight="1" x14ac:dyDescent="0.25">
      <c r="A527" s="4" t="s">
        <v>21</v>
      </c>
      <c r="B527" s="4" t="s">
        <v>33</v>
      </c>
      <c r="C527" s="4" t="s">
        <v>23</v>
      </c>
      <c r="D527" s="4" t="s">
        <v>34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44378</v>
      </c>
      <c r="J527" s="6">
        <v>0</v>
      </c>
      <c r="K527" s="6">
        <v>0</v>
      </c>
      <c r="L527" s="6">
        <v>32.374000000000002</v>
      </c>
      <c r="M527" s="6">
        <v>32.374000000000002</v>
      </c>
      <c r="N527" s="6">
        <v>32.374000000000002</v>
      </c>
      <c r="O527" s="6">
        <v>32.374000000000002</v>
      </c>
      <c r="P527" s="6">
        <v>16</v>
      </c>
      <c r="Q527" s="4" t="s">
        <v>26</v>
      </c>
      <c r="R527" s="4">
        <v>0</v>
      </c>
      <c r="S527" s="4" t="s">
        <v>210</v>
      </c>
      <c r="T527" s="4" t="s">
        <v>335</v>
      </c>
      <c r="U527" s="4">
        <v>0</v>
      </c>
      <c r="V527" s="4">
        <v>30</v>
      </c>
      <c r="W527" s="4">
        <v>79</v>
      </c>
    </row>
    <row r="528" spans="1:23" ht="11.25" customHeight="1" x14ac:dyDescent="0.25">
      <c r="A528" s="4" t="s">
        <v>28</v>
      </c>
      <c r="B528" s="4" t="s">
        <v>33</v>
      </c>
      <c r="C528" s="4" t="s">
        <v>23</v>
      </c>
      <c r="D528" s="4" t="s">
        <v>34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44378</v>
      </c>
      <c r="J528" s="6">
        <v>0</v>
      </c>
      <c r="K528" s="6">
        <v>0</v>
      </c>
      <c r="L528" s="6">
        <v>6.8</v>
      </c>
      <c r="M528" s="6">
        <v>6.8</v>
      </c>
      <c r="N528" s="6">
        <v>6.8</v>
      </c>
      <c r="O528" s="6">
        <v>6.8</v>
      </c>
      <c r="P528" s="6">
        <v>12</v>
      </c>
      <c r="Q528" s="4" t="s">
        <v>26</v>
      </c>
      <c r="R528" s="4">
        <v>0</v>
      </c>
      <c r="S528" s="4" t="s">
        <v>210</v>
      </c>
      <c r="T528" s="4" t="s">
        <v>335</v>
      </c>
      <c r="U528" s="4">
        <v>0</v>
      </c>
      <c r="V528" s="4">
        <v>30</v>
      </c>
      <c r="W528" s="4">
        <v>79</v>
      </c>
    </row>
    <row r="529" spans="1:23" ht="11.25" customHeight="1" x14ac:dyDescent="0.25">
      <c r="A529" s="4" t="s">
        <v>21</v>
      </c>
      <c r="B529" s="4" t="s">
        <v>33</v>
      </c>
      <c r="C529" s="4" t="s">
        <v>23</v>
      </c>
      <c r="D529" s="4" t="s">
        <v>34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44409</v>
      </c>
      <c r="J529" s="6">
        <v>0</v>
      </c>
      <c r="K529" s="6">
        <v>0</v>
      </c>
      <c r="L529" s="6">
        <v>44.094999999999999</v>
      </c>
      <c r="M529" s="6">
        <v>44.094999999999999</v>
      </c>
      <c r="N529" s="6">
        <v>44.094999999999999</v>
      </c>
      <c r="O529" s="6">
        <v>44.094999999999999</v>
      </c>
      <c r="P529" s="6">
        <v>17</v>
      </c>
      <c r="Q529" s="4" t="s">
        <v>26</v>
      </c>
      <c r="R529" s="4">
        <v>0</v>
      </c>
      <c r="S529" s="4" t="s">
        <v>211</v>
      </c>
      <c r="T529" s="4" t="s">
        <v>336</v>
      </c>
      <c r="U529" s="4">
        <v>0</v>
      </c>
      <c r="V529" s="4">
        <v>30</v>
      </c>
      <c r="W529" s="4">
        <v>79</v>
      </c>
    </row>
    <row r="530" spans="1:23" ht="11.25" customHeight="1" x14ac:dyDescent="0.25">
      <c r="A530" s="4" t="s">
        <v>28</v>
      </c>
      <c r="B530" s="4" t="s">
        <v>33</v>
      </c>
      <c r="C530" s="4" t="s">
        <v>23</v>
      </c>
      <c r="D530" s="4" t="s">
        <v>34</v>
      </c>
      <c r="E530" s="4" t="s">
        <v>25</v>
      </c>
      <c r="F530" s="4" t="s">
        <v>25</v>
      </c>
      <c r="G530" s="4" t="s">
        <v>25</v>
      </c>
      <c r="H530" s="4" t="s">
        <v>25</v>
      </c>
      <c r="I530" s="5">
        <v>44409</v>
      </c>
      <c r="J530" s="6">
        <v>0</v>
      </c>
      <c r="K530" s="6">
        <v>0</v>
      </c>
      <c r="L530" s="6">
        <v>9.2780000000000005</v>
      </c>
      <c r="M530" s="6">
        <v>9.2780000000000005</v>
      </c>
      <c r="N530" s="6">
        <v>9.2780000000000005</v>
      </c>
      <c r="O530" s="6">
        <v>9.2780000000000005</v>
      </c>
      <c r="P530" s="6">
        <v>11</v>
      </c>
      <c r="Q530" s="4" t="s">
        <v>26</v>
      </c>
      <c r="R530" s="4">
        <v>0</v>
      </c>
      <c r="S530" s="4" t="s">
        <v>211</v>
      </c>
      <c r="T530" s="4" t="s">
        <v>336</v>
      </c>
      <c r="U530" s="4">
        <v>0</v>
      </c>
      <c r="V530" s="4">
        <v>30</v>
      </c>
      <c r="W530" s="4">
        <v>79</v>
      </c>
    </row>
    <row r="531" spans="1:23" ht="11.25" customHeight="1" x14ac:dyDescent="0.25">
      <c r="A531" s="4" t="s">
        <v>21</v>
      </c>
      <c r="B531" s="4" t="s">
        <v>33</v>
      </c>
      <c r="C531" s="4" t="s">
        <v>23</v>
      </c>
      <c r="D531" s="4" t="s">
        <v>34</v>
      </c>
      <c r="E531" s="4" t="s">
        <v>25</v>
      </c>
      <c r="F531" s="4" t="s">
        <v>25</v>
      </c>
      <c r="G531" s="4" t="s">
        <v>25</v>
      </c>
      <c r="H531" s="4" t="s">
        <v>25</v>
      </c>
      <c r="I531" s="5">
        <v>44440</v>
      </c>
      <c r="J531" s="6">
        <v>0</v>
      </c>
      <c r="K531" s="6">
        <v>0</v>
      </c>
      <c r="L531" s="6">
        <v>53.484000000000002</v>
      </c>
      <c r="M531" s="6">
        <v>53.484000000000002</v>
      </c>
      <c r="N531" s="6">
        <v>53.484000000000002</v>
      </c>
      <c r="O531" s="6">
        <v>53.484000000000002</v>
      </c>
      <c r="P531" s="6">
        <v>17</v>
      </c>
      <c r="Q531" s="4" t="s">
        <v>26</v>
      </c>
      <c r="R531" s="4">
        <v>0</v>
      </c>
      <c r="S531" s="4" t="s">
        <v>212</v>
      </c>
      <c r="T531" s="4" t="s">
        <v>337</v>
      </c>
      <c r="U531" s="4">
        <v>0</v>
      </c>
      <c r="V531" s="4">
        <v>30</v>
      </c>
      <c r="W531" s="4">
        <v>79</v>
      </c>
    </row>
    <row r="532" spans="1:23" ht="11.25" customHeight="1" x14ac:dyDescent="0.25">
      <c r="A532" s="4" t="s">
        <v>28</v>
      </c>
      <c r="B532" s="4" t="s">
        <v>33</v>
      </c>
      <c r="C532" s="4" t="s">
        <v>23</v>
      </c>
      <c r="D532" s="4" t="s">
        <v>34</v>
      </c>
      <c r="E532" s="4" t="s">
        <v>25</v>
      </c>
      <c r="F532" s="4" t="s">
        <v>25</v>
      </c>
      <c r="G532" s="4" t="s">
        <v>25</v>
      </c>
      <c r="H532" s="4" t="s">
        <v>25</v>
      </c>
      <c r="I532" s="5">
        <v>44440</v>
      </c>
      <c r="J532" s="6">
        <v>0</v>
      </c>
      <c r="K532" s="6">
        <v>0</v>
      </c>
      <c r="L532" s="6">
        <v>15.333</v>
      </c>
      <c r="M532" s="6">
        <v>15.333</v>
      </c>
      <c r="N532" s="6">
        <v>15.333</v>
      </c>
      <c r="O532" s="6">
        <v>15.333</v>
      </c>
      <c r="P532" s="6">
        <v>11</v>
      </c>
      <c r="Q532" s="4" t="s">
        <v>26</v>
      </c>
      <c r="R532" s="4">
        <v>0</v>
      </c>
      <c r="S532" s="4" t="s">
        <v>212</v>
      </c>
      <c r="T532" s="4" t="s">
        <v>337</v>
      </c>
      <c r="U532" s="4">
        <v>0</v>
      </c>
      <c r="V532" s="4">
        <v>30</v>
      </c>
      <c r="W532" s="4">
        <v>79</v>
      </c>
    </row>
    <row r="533" spans="1:23" ht="11.25" customHeight="1" x14ac:dyDescent="0.25">
      <c r="A533" s="4" t="s">
        <v>21</v>
      </c>
      <c r="B533" s="4" t="s">
        <v>33</v>
      </c>
      <c r="C533" s="4" t="s">
        <v>23</v>
      </c>
      <c r="D533" s="4" t="s">
        <v>34</v>
      </c>
      <c r="E533" s="4" t="s">
        <v>25</v>
      </c>
      <c r="F533" s="4" t="s">
        <v>25</v>
      </c>
      <c r="G533" s="4" t="s">
        <v>25</v>
      </c>
      <c r="H533" s="4" t="s">
        <v>25</v>
      </c>
      <c r="I533" s="5">
        <v>44470</v>
      </c>
      <c r="J533" s="6">
        <v>0</v>
      </c>
      <c r="K533" s="6">
        <v>0</v>
      </c>
      <c r="L533" s="6">
        <v>56.197000000000003</v>
      </c>
      <c r="M533" s="6">
        <v>56.197000000000003</v>
      </c>
      <c r="N533" s="6">
        <v>56.197000000000003</v>
      </c>
      <c r="O533" s="6">
        <v>56.197000000000003</v>
      </c>
      <c r="P533" s="6">
        <v>17</v>
      </c>
      <c r="Q533" s="4" t="s">
        <v>26</v>
      </c>
      <c r="R533" s="4">
        <v>0</v>
      </c>
      <c r="S533" s="4" t="s">
        <v>213</v>
      </c>
      <c r="T533" s="4" t="s">
        <v>338</v>
      </c>
      <c r="U533" s="4">
        <v>0</v>
      </c>
      <c r="V533" s="4">
        <v>30</v>
      </c>
      <c r="W533" s="4">
        <v>79</v>
      </c>
    </row>
    <row r="534" spans="1:23" ht="11.25" customHeight="1" x14ac:dyDescent="0.25">
      <c r="A534" s="4" t="s">
        <v>28</v>
      </c>
      <c r="B534" s="4" t="s">
        <v>33</v>
      </c>
      <c r="C534" s="4" t="s">
        <v>23</v>
      </c>
      <c r="D534" s="4" t="s">
        <v>34</v>
      </c>
      <c r="E534" s="4" t="s">
        <v>25</v>
      </c>
      <c r="F534" s="4" t="s">
        <v>25</v>
      </c>
      <c r="G534" s="4" t="s">
        <v>25</v>
      </c>
      <c r="H534" s="4" t="s">
        <v>25</v>
      </c>
      <c r="I534" s="5">
        <v>44470</v>
      </c>
      <c r="J534" s="6">
        <v>0</v>
      </c>
      <c r="K534" s="6">
        <v>0</v>
      </c>
      <c r="L534" s="6">
        <v>10.62</v>
      </c>
      <c r="M534" s="6">
        <v>10.62</v>
      </c>
      <c r="N534" s="6">
        <v>10.62</v>
      </c>
      <c r="O534" s="6">
        <v>10.62</v>
      </c>
      <c r="P534" s="6">
        <v>11</v>
      </c>
      <c r="Q534" s="4" t="s">
        <v>26</v>
      </c>
      <c r="R534" s="4">
        <v>0</v>
      </c>
      <c r="S534" s="4" t="s">
        <v>213</v>
      </c>
      <c r="T534" s="4" t="s">
        <v>338</v>
      </c>
      <c r="U534" s="4">
        <v>0</v>
      </c>
      <c r="V534" s="4">
        <v>30</v>
      </c>
      <c r="W534" s="4">
        <v>79</v>
      </c>
    </row>
    <row r="535" spans="1:23" ht="11.25" customHeight="1" x14ac:dyDescent="0.25">
      <c r="A535" s="4" t="s">
        <v>21</v>
      </c>
      <c r="B535" s="4" t="s">
        <v>33</v>
      </c>
      <c r="C535" s="4" t="s">
        <v>23</v>
      </c>
      <c r="D535" s="4" t="s">
        <v>34</v>
      </c>
      <c r="E535" s="4" t="s">
        <v>25</v>
      </c>
      <c r="F535" s="4" t="s">
        <v>25</v>
      </c>
      <c r="G535" s="4" t="s">
        <v>25</v>
      </c>
      <c r="H535" s="4" t="s">
        <v>25</v>
      </c>
      <c r="I535" s="5">
        <v>44501</v>
      </c>
      <c r="J535" s="6">
        <v>0</v>
      </c>
      <c r="K535" s="6">
        <v>0</v>
      </c>
      <c r="L535" s="6">
        <v>53.191000000000003</v>
      </c>
      <c r="M535" s="6">
        <v>53.191000000000003</v>
      </c>
      <c r="N535" s="6">
        <v>53.191000000000003</v>
      </c>
      <c r="O535" s="6">
        <v>53.191000000000003</v>
      </c>
      <c r="P535" s="6">
        <v>16</v>
      </c>
      <c r="Q535" s="4" t="s">
        <v>26</v>
      </c>
      <c r="R535" s="4">
        <v>0</v>
      </c>
      <c r="S535" s="4" t="s">
        <v>214</v>
      </c>
      <c r="T535" s="4" t="s">
        <v>339</v>
      </c>
      <c r="U535" s="4">
        <v>0</v>
      </c>
      <c r="V535" s="4">
        <v>30</v>
      </c>
      <c r="W535" s="4">
        <v>79</v>
      </c>
    </row>
    <row r="536" spans="1:23" ht="11.25" customHeight="1" x14ac:dyDescent="0.25">
      <c r="A536" s="4" t="s">
        <v>28</v>
      </c>
      <c r="B536" s="4" t="s">
        <v>33</v>
      </c>
      <c r="C536" s="4" t="s">
        <v>23</v>
      </c>
      <c r="D536" s="4" t="s">
        <v>34</v>
      </c>
      <c r="E536" s="4" t="s">
        <v>25</v>
      </c>
      <c r="F536" s="4" t="s">
        <v>25</v>
      </c>
      <c r="G536" s="4" t="s">
        <v>25</v>
      </c>
      <c r="H536" s="4" t="s">
        <v>25</v>
      </c>
      <c r="I536" s="5">
        <v>44501</v>
      </c>
      <c r="J536" s="6">
        <v>0</v>
      </c>
      <c r="K536" s="6">
        <v>0</v>
      </c>
      <c r="L536" s="6">
        <v>15.13</v>
      </c>
      <c r="M536" s="6">
        <v>15.13</v>
      </c>
      <c r="N536" s="6">
        <v>15.13</v>
      </c>
      <c r="O536" s="6">
        <v>15.13</v>
      </c>
      <c r="P536" s="6">
        <v>12</v>
      </c>
      <c r="Q536" s="4" t="s">
        <v>26</v>
      </c>
      <c r="R536" s="4">
        <v>0</v>
      </c>
      <c r="S536" s="4" t="s">
        <v>214</v>
      </c>
      <c r="T536" s="4" t="s">
        <v>339</v>
      </c>
      <c r="U536" s="4">
        <v>0</v>
      </c>
      <c r="V536" s="4">
        <v>30</v>
      </c>
      <c r="W536" s="4">
        <v>79</v>
      </c>
    </row>
    <row r="537" spans="1:23" ht="11.25" customHeight="1" x14ac:dyDescent="0.25">
      <c r="A537" s="4" t="s">
        <v>21</v>
      </c>
      <c r="B537" s="4" t="s">
        <v>33</v>
      </c>
      <c r="C537" s="4" t="s">
        <v>23</v>
      </c>
      <c r="D537" s="4" t="s">
        <v>34</v>
      </c>
      <c r="E537" s="4" t="s">
        <v>25</v>
      </c>
      <c r="F537" s="4" t="s">
        <v>25</v>
      </c>
      <c r="G537" s="4" t="s">
        <v>25</v>
      </c>
      <c r="H537" s="4" t="s">
        <v>25</v>
      </c>
      <c r="I537" s="5">
        <v>44531</v>
      </c>
      <c r="J537" s="6">
        <v>0</v>
      </c>
      <c r="K537" s="6">
        <v>0</v>
      </c>
      <c r="L537" s="6">
        <v>54.026000000000003</v>
      </c>
      <c r="M537" s="6">
        <v>54.026000000000003</v>
      </c>
      <c r="N537" s="6">
        <v>54.026000000000003</v>
      </c>
      <c r="O537" s="6">
        <v>54.026000000000003</v>
      </c>
      <c r="P537" s="6">
        <v>18</v>
      </c>
      <c r="Q537" s="4" t="s">
        <v>26</v>
      </c>
      <c r="R537" s="4">
        <v>0</v>
      </c>
      <c r="S537" s="4" t="s">
        <v>215</v>
      </c>
      <c r="T537" s="4" t="s">
        <v>340</v>
      </c>
      <c r="U537" s="4">
        <v>0</v>
      </c>
      <c r="V537" s="4">
        <v>30</v>
      </c>
      <c r="W537" s="4">
        <v>79</v>
      </c>
    </row>
    <row r="538" spans="1:23" ht="11.25" customHeight="1" x14ac:dyDescent="0.25">
      <c r="A538" s="4" t="s">
        <v>28</v>
      </c>
      <c r="B538" s="4" t="s">
        <v>33</v>
      </c>
      <c r="C538" s="4" t="s">
        <v>23</v>
      </c>
      <c r="D538" s="4" t="s">
        <v>34</v>
      </c>
      <c r="E538" s="4" t="s">
        <v>25</v>
      </c>
      <c r="F538" s="4" t="s">
        <v>25</v>
      </c>
      <c r="G538" s="4" t="s">
        <v>25</v>
      </c>
      <c r="H538" s="4" t="s">
        <v>25</v>
      </c>
      <c r="I538" s="5">
        <v>44531</v>
      </c>
      <c r="J538" s="6">
        <v>0</v>
      </c>
      <c r="K538" s="6">
        <v>0</v>
      </c>
      <c r="L538" s="6">
        <v>11.590999999999999</v>
      </c>
      <c r="M538" s="6">
        <v>11.590999999999999</v>
      </c>
      <c r="N538" s="6">
        <v>11.590999999999999</v>
      </c>
      <c r="O538" s="6">
        <v>11.590999999999999</v>
      </c>
      <c r="P538" s="6">
        <v>12</v>
      </c>
      <c r="Q538" s="4" t="s">
        <v>26</v>
      </c>
      <c r="R538" s="4">
        <v>0</v>
      </c>
      <c r="S538" s="4" t="s">
        <v>215</v>
      </c>
      <c r="T538" s="4" t="s">
        <v>340</v>
      </c>
      <c r="U538" s="4">
        <v>0</v>
      </c>
      <c r="V538" s="4">
        <v>30</v>
      </c>
      <c r="W538" s="4">
        <v>79</v>
      </c>
    </row>
    <row r="539" spans="1:23" ht="11.25" customHeight="1" x14ac:dyDescent="0.25">
      <c r="A539" s="4" t="s">
        <v>21</v>
      </c>
      <c r="B539" s="4" t="s">
        <v>33</v>
      </c>
      <c r="C539" s="4" t="s">
        <v>23</v>
      </c>
      <c r="D539" s="4" t="s">
        <v>34</v>
      </c>
      <c r="E539" s="4" t="s">
        <v>25</v>
      </c>
      <c r="F539" s="4" t="s">
        <v>25</v>
      </c>
      <c r="G539" s="4" t="s">
        <v>25</v>
      </c>
      <c r="H539" s="4" t="s">
        <v>25</v>
      </c>
      <c r="I539" s="5">
        <v>44562</v>
      </c>
      <c r="J539" s="6">
        <v>0</v>
      </c>
      <c r="K539" s="6">
        <v>0</v>
      </c>
      <c r="L539" s="6">
        <v>51.26</v>
      </c>
      <c r="M539" s="6">
        <v>51.26</v>
      </c>
      <c r="N539" s="6">
        <v>51.26</v>
      </c>
      <c r="O539" s="6">
        <v>51.26</v>
      </c>
      <c r="P539" s="6">
        <v>18</v>
      </c>
      <c r="Q539" s="4" t="s">
        <v>26</v>
      </c>
      <c r="R539" s="4">
        <v>0</v>
      </c>
      <c r="S539" s="4" t="s">
        <v>216</v>
      </c>
      <c r="T539" s="4" t="s">
        <v>341</v>
      </c>
      <c r="U539" s="4">
        <v>0</v>
      </c>
      <c r="V539" s="4">
        <v>30</v>
      </c>
      <c r="W539" s="4">
        <v>79</v>
      </c>
    </row>
    <row r="540" spans="1:23" ht="11.25" customHeight="1" x14ac:dyDescent="0.25">
      <c r="A540" s="4" t="s">
        <v>28</v>
      </c>
      <c r="B540" s="4" t="s">
        <v>33</v>
      </c>
      <c r="C540" s="4" t="s">
        <v>23</v>
      </c>
      <c r="D540" s="4" t="s">
        <v>34</v>
      </c>
      <c r="E540" s="4" t="s">
        <v>25</v>
      </c>
      <c r="F540" s="4" t="s">
        <v>25</v>
      </c>
      <c r="G540" s="4" t="s">
        <v>25</v>
      </c>
      <c r="H540" s="4" t="s">
        <v>25</v>
      </c>
      <c r="I540" s="5">
        <v>44562</v>
      </c>
      <c r="J540" s="6">
        <v>0</v>
      </c>
      <c r="K540" s="6">
        <v>0</v>
      </c>
      <c r="L540" s="6">
        <v>11.93</v>
      </c>
      <c r="M540" s="6">
        <v>11.93</v>
      </c>
      <c r="N540" s="6">
        <v>11.93</v>
      </c>
      <c r="O540" s="6">
        <v>11.93</v>
      </c>
      <c r="P540" s="6">
        <v>12</v>
      </c>
      <c r="Q540" s="4" t="s">
        <v>26</v>
      </c>
      <c r="R540" s="4">
        <v>0</v>
      </c>
      <c r="S540" s="4" t="s">
        <v>216</v>
      </c>
      <c r="T540" s="4" t="s">
        <v>341</v>
      </c>
      <c r="U540" s="4">
        <v>0</v>
      </c>
      <c r="V540" s="4">
        <v>30</v>
      </c>
      <c r="W540" s="4">
        <v>79</v>
      </c>
    </row>
    <row r="541" spans="1:23" ht="11.25" customHeight="1" x14ac:dyDescent="0.25">
      <c r="A541" s="4" t="s">
        <v>21</v>
      </c>
      <c r="B541" s="4" t="s">
        <v>33</v>
      </c>
      <c r="C541" s="4" t="s">
        <v>23</v>
      </c>
      <c r="D541" s="4" t="s">
        <v>34</v>
      </c>
      <c r="E541" s="4" t="s">
        <v>25</v>
      </c>
      <c r="F541" s="4" t="s">
        <v>25</v>
      </c>
      <c r="G541" s="4" t="s">
        <v>25</v>
      </c>
      <c r="H541" s="4" t="s">
        <v>25</v>
      </c>
      <c r="I541" s="5">
        <v>44593</v>
      </c>
      <c r="J541" s="6">
        <v>0</v>
      </c>
      <c r="K541" s="6">
        <v>0</v>
      </c>
      <c r="L541" s="6">
        <v>55.802999999999997</v>
      </c>
      <c r="M541" s="6">
        <v>55.802999999999997</v>
      </c>
      <c r="N541" s="6">
        <v>55.802999999999997</v>
      </c>
      <c r="O541" s="6">
        <v>55.802999999999997</v>
      </c>
      <c r="P541" s="6">
        <v>17</v>
      </c>
      <c r="Q541" s="4" t="s">
        <v>26</v>
      </c>
      <c r="R541" s="4">
        <v>0</v>
      </c>
      <c r="S541" s="4" t="s">
        <v>217</v>
      </c>
      <c r="T541" s="4" t="s">
        <v>342</v>
      </c>
      <c r="U541" s="4">
        <v>0</v>
      </c>
      <c r="V541" s="4">
        <v>30</v>
      </c>
      <c r="W541" s="4">
        <v>79</v>
      </c>
    </row>
    <row r="542" spans="1:23" ht="11.25" customHeight="1" x14ac:dyDescent="0.25">
      <c r="A542" s="4" t="s">
        <v>28</v>
      </c>
      <c r="B542" s="4" t="s">
        <v>33</v>
      </c>
      <c r="C542" s="4" t="s">
        <v>23</v>
      </c>
      <c r="D542" s="4" t="s">
        <v>34</v>
      </c>
      <c r="E542" s="4" t="s">
        <v>25</v>
      </c>
      <c r="F542" s="4" t="s">
        <v>25</v>
      </c>
      <c r="G542" s="4" t="s">
        <v>25</v>
      </c>
      <c r="H542" s="4" t="s">
        <v>25</v>
      </c>
      <c r="I542" s="5">
        <v>44593</v>
      </c>
      <c r="J542" s="6">
        <v>0</v>
      </c>
      <c r="K542" s="6">
        <v>0</v>
      </c>
      <c r="L542" s="6">
        <v>14.053000000000001</v>
      </c>
      <c r="M542" s="6">
        <v>14.053000000000001</v>
      </c>
      <c r="N542" s="6">
        <v>14.053000000000001</v>
      </c>
      <c r="O542" s="6">
        <v>14.053000000000001</v>
      </c>
      <c r="P542" s="6">
        <v>13</v>
      </c>
      <c r="Q542" s="4" t="s">
        <v>26</v>
      </c>
      <c r="R542" s="4">
        <v>0</v>
      </c>
      <c r="S542" s="4" t="s">
        <v>217</v>
      </c>
      <c r="T542" s="4" t="s">
        <v>342</v>
      </c>
      <c r="U542" s="4">
        <v>0</v>
      </c>
      <c r="V542" s="4">
        <v>30</v>
      </c>
      <c r="W542" s="4">
        <v>79</v>
      </c>
    </row>
    <row r="543" spans="1:23" ht="11.25" customHeight="1" x14ac:dyDescent="0.25">
      <c r="A543" s="4" t="s">
        <v>21</v>
      </c>
      <c r="B543" s="4" t="s">
        <v>33</v>
      </c>
      <c r="C543" s="4" t="s">
        <v>23</v>
      </c>
      <c r="D543" s="4" t="s">
        <v>34</v>
      </c>
      <c r="E543" s="4" t="s">
        <v>25</v>
      </c>
      <c r="F543" s="4" t="s">
        <v>25</v>
      </c>
      <c r="G543" s="4" t="s">
        <v>25</v>
      </c>
      <c r="H543" s="4" t="s">
        <v>25</v>
      </c>
      <c r="I543" s="5">
        <v>44621</v>
      </c>
      <c r="J543" s="6">
        <v>0</v>
      </c>
      <c r="K543" s="6">
        <v>0</v>
      </c>
      <c r="L543" s="6">
        <v>41.457999999999998</v>
      </c>
      <c r="M543" s="6">
        <v>41.457999999999998</v>
      </c>
      <c r="N543" s="6">
        <v>41.457999999999998</v>
      </c>
      <c r="O543" s="6">
        <v>41.457999999999998</v>
      </c>
      <c r="P543" s="6">
        <v>16</v>
      </c>
      <c r="Q543" s="4" t="s">
        <v>26</v>
      </c>
      <c r="R543" s="4">
        <v>0</v>
      </c>
      <c r="S543" s="4" t="s">
        <v>218</v>
      </c>
      <c r="T543" s="4" t="s">
        <v>343</v>
      </c>
      <c r="U543" s="4">
        <v>0</v>
      </c>
      <c r="V543" s="4">
        <v>30</v>
      </c>
      <c r="W543" s="4">
        <v>79</v>
      </c>
    </row>
    <row r="544" spans="1:23" ht="11.25" customHeight="1" x14ac:dyDescent="0.25">
      <c r="A544" s="4" t="s">
        <v>28</v>
      </c>
      <c r="B544" s="4" t="s">
        <v>33</v>
      </c>
      <c r="C544" s="4" t="s">
        <v>23</v>
      </c>
      <c r="D544" s="4" t="s">
        <v>34</v>
      </c>
      <c r="E544" s="4" t="s">
        <v>25</v>
      </c>
      <c r="F544" s="4" t="s">
        <v>25</v>
      </c>
      <c r="G544" s="4" t="s">
        <v>25</v>
      </c>
      <c r="H544" s="4" t="s">
        <v>25</v>
      </c>
      <c r="I544" s="5">
        <v>44621</v>
      </c>
      <c r="J544" s="6">
        <v>0</v>
      </c>
      <c r="K544" s="6">
        <v>0</v>
      </c>
      <c r="L544" s="6">
        <v>11.82</v>
      </c>
      <c r="M544" s="6">
        <v>11.82</v>
      </c>
      <c r="N544" s="6">
        <v>11.82</v>
      </c>
      <c r="O544" s="6">
        <v>11.82</v>
      </c>
      <c r="P544" s="6">
        <v>13</v>
      </c>
      <c r="Q544" s="4" t="s">
        <v>26</v>
      </c>
      <c r="R544" s="4">
        <v>0</v>
      </c>
      <c r="S544" s="4" t="s">
        <v>218</v>
      </c>
      <c r="T544" s="4" t="s">
        <v>343</v>
      </c>
      <c r="U544" s="4">
        <v>0</v>
      </c>
      <c r="V544" s="4">
        <v>30</v>
      </c>
      <c r="W544" s="4">
        <v>79</v>
      </c>
    </row>
    <row r="545" spans="1:23" ht="11.25" customHeight="1" x14ac:dyDescent="0.25">
      <c r="A545" s="4" t="s">
        <v>21</v>
      </c>
      <c r="B545" s="4" t="s">
        <v>33</v>
      </c>
      <c r="C545" s="4" t="s">
        <v>23</v>
      </c>
      <c r="D545" s="4" t="s">
        <v>34</v>
      </c>
      <c r="E545" s="4" t="s">
        <v>25</v>
      </c>
      <c r="F545" s="4" t="s">
        <v>25</v>
      </c>
      <c r="G545" s="4" t="s">
        <v>25</v>
      </c>
      <c r="H545" s="4" t="s">
        <v>25</v>
      </c>
      <c r="I545" s="5">
        <v>44652</v>
      </c>
      <c r="J545" s="6">
        <v>0</v>
      </c>
      <c r="K545" s="6">
        <v>0</v>
      </c>
      <c r="L545" s="6">
        <v>26.477</v>
      </c>
      <c r="M545" s="6">
        <v>26.477</v>
      </c>
      <c r="N545" s="6">
        <v>26.477</v>
      </c>
      <c r="O545" s="6">
        <v>26.477</v>
      </c>
      <c r="P545" s="6">
        <v>15</v>
      </c>
      <c r="Q545" s="4" t="s">
        <v>26</v>
      </c>
      <c r="R545" s="4">
        <v>0</v>
      </c>
      <c r="S545" s="4" t="s">
        <v>219</v>
      </c>
      <c r="T545" s="4" t="s">
        <v>344</v>
      </c>
      <c r="U545" s="4">
        <v>0</v>
      </c>
      <c r="V545" s="4">
        <v>30</v>
      </c>
      <c r="W545" s="4">
        <v>79</v>
      </c>
    </row>
    <row r="546" spans="1:23" ht="11.25" customHeight="1" x14ac:dyDescent="0.25">
      <c r="A546" s="4" t="s">
        <v>28</v>
      </c>
      <c r="B546" s="4" t="s">
        <v>33</v>
      </c>
      <c r="C546" s="4" t="s">
        <v>23</v>
      </c>
      <c r="D546" s="4" t="s">
        <v>34</v>
      </c>
      <c r="E546" s="4" t="s">
        <v>25</v>
      </c>
      <c r="F546" s="4" t="s">
        <v>25</v>
      </c>
      <c r="G546" s="4" t="s">
        <v>25</v>
      </c>
      <c r="H546" s="4" t="s">
        <v>25</v>
      </c>
      <c r="I546" s="5">
        <v>44652</v>
      </c>
      <c r="J546" s="6">
        <v>0</v>
      </c>
      <c r="K546" s="6">
        <v>0</v>
      </c>
      <c r="L546" s="6">
        <v>3.87</v>
      </c>
      <c r="M546" s="6">
        <v>3.87</v>
      </c>
      <c r="N546" s="6">
        <v>3.87</v>
      </c>
      <c r="O546" s="6">
        <v>3.87</v>
      </c>
      <c r="P546" s="6">
        <v>12</v>
      </c>
      <c r="Q546" s="4" t="s">
        <v>26</v>
      </c>
      <c r="R546" s="4">
        <v>0</v>
      </c>
      <c r="S546" s="4" t="s">
        <v>219</v>
      </c>
      <c r="T546" s="4" t="s">
        <v>344</v>
      </c>
      <c r="U546" s="4">
        <v>0</v>
      </c>
      <c r="V546" s="4">
        <v>30</v>
      </c>
      <c r="W546" s="4">
        <v>79</v>
      </c>
    </row>
    <row r="547" spans="1:23" ht="11.25" customHeight="1" x14ac:dyDescent="0.25">
      <c r="A547" s="4" t="s">
        <v>21</v>
      </c>
      <c r="B547" s="4" t="s">
        <v>33</v>
      </c>
      <c r="C547" s="4" t="s">
        <v>23</v>
      </c>
      <c r="D547" s="4" t="s">
        <v>34</v>
      </c>
      <c r="E547" s="4" t="s">
        <v>25</v>
      </c>
      <c r="F547" s="4" t="s">
        <v>25</v>
      </c>
      <c r="G547" s="4" t="s">
        <v>25</v>
      </c>
      <c r="H547" s="4" t="s">
        <v>25</v>
      </c>
      <c r="I547" s="5">
        <v>44682</v>
      </c>
      <c r="J547" s="6">
        <v>0</v>
      </c>
      <c r="K547" s="6">
        <v>0</v>
      </c>
      <c r="L547" s="6">
        <v>21.818999999999999</v>
      </c>
      <c r="M547" s="6">
        <v>21.818999999999999</v>
      </c>
      <c r="N547" s="6">
        <v>21.818999999999999</v>
      </c>
      <c r="O547" s="6">
        <v>21.818999999999999</v>
      </c>
      <c r="P547" s="6">
        <v>14</v>
      </c>
      <c r="Q547" s="4" t="s">
        <v>26</v>
      </c>
      <c r="R547" s="4">
        <v>0</v>
      </c>
      <c r="S547" s="4" t="s">
        <v>220</v>
      </c>
      <c r="T547" s="4" t="s">
        <v>345</v>
      </c>
      <c r="U547" s="4">
        <v>0</v>
      </c>
      <c r="V547" s="4">
        <v>30</v>
      </c>
      <c r="W547" s="4">
        <v>79</v>
      </c>
    </row>
    <row r="548" spans="1:23" ht="11.25" customHeight="1" x14ac:dyDescent="0.25">
      <c r="A548" s="4" t="s">
        <v>27</v>
      </c>
      <c r="B548" s="4" t="s">
        <v>33</v>
      </c>
      <c r="C548" s="4" t="s">
        <v>23</v>
      </c>
      <c r="D548" s="4" t="s">
        <v>34</v>
      </c>
      <c r="E548" s="4" t="s">
        <v>25</v>
      </c>
      <c r="F548" s="4" t="s">
        <v>25</v>
      </c>
      <c r="G548" s="4" t="s">
        <v>25</v>
      </c>
      <c r="H548" s="4" t="s">
        <v>25</v>
      </c>
      <c r="I548" s="5">
        <v>44682</v>
      </c>
      <c r="J548" s="6">
        <v>0</v>
      </c>
      <c r="K548" s="6">
        <v>0</v>
      </c>
      <c r="L548" s="6">
        <v>-3.6619999999999999</v>
      </c>
      <c r="M548" s="6">
        <v>-3.6619999999999999</v>
      </c>
      <c r="N548" s="6">
        <v>-3.6619999999999999</v>
      </c>
      <c r="O548" s="6">
        <v>-3.6619999999999999</v>
      </c>
      <c r="P548" s="6">
        <v>0</v>
      </c>
      <c r="Q548" s="4" t="s">
        <v>26</v>
      </c>
      <c r="R548" s="4">
        <v>0</v>
      </c>
      <c r="S548" s="4" t="s">
        <v>220</v>
      </c>
      <c r="T548" s="4" t="s">
        <v>345</v>
      </c>
      <c r="U548" s="4">
        <v>0</v>
      </c>
      <c r="V548" s="4">
        <v>30</v>
      </c>
      <c r="W548" s="4">
        <v>79</v>
      </c>
    </row>
    <row r="549" spans="1:23" ht="11.25" customHeight="1" x14ac:dyDescent="0.25">
      <c r="A549" s="4" t="s">
        <v>28</v>
      </c>
      <c r="B549" s="4" t="s">
        <v>33</v>
      </c>
      <c r="C549" s="4" t="s">
        <v>23</v>
      </c>
      <c r="D549" s="4" t="s">
        <v>34</v>
      </c>
      <c r="E549" s="4" t="s">
        <v>25</v>
      </c>
      <c r="F549" s="4" t="s">
        <v>25</v>
      </c>
      <c r="G549" s="4" t="s">
        <v>25</v>
      </c>
      <c r="H549" s="4" t="s">
        <v>25</v>
      </c>
      <c r="I549" s="5">
        <v>44682</v>
      </c>
      <c r="J549" s="6">
        <v>0</v>
      </c>
      <c r="K549" s="6">
        <v>0</v>
      </c>
      <c r="L549" s="6">
        <v>5.0339999999999998</v>
      </c>
      <c r="M549" s="6">
        <v>5.0339999999999998</v>
      </c>
      <c r="N549" s="6">
        <v>5.0339999999999998</v>
      </c>
      <c r="O549" s="6">
        <v>5.0339999999999998</v>
      </c>
      <c r="P549" s="6">
        <v>11</v>
      </c>
      <c r="Q549" s="4" t="s">
        <v>26</v>
      </c>
      <c r="R549" s="4">
        <v>0</v>
      </c>
      <c r="S549" s="4" t="s">
        <v>220</v>
      </c>
      <c r="T549" s="4" t="s">
        <v>345</v>
      </c>
      <c r="U549" s="4">
        <v>0</v>
      </c>
      <c r="V549" s="4">
        <v>30</v>
      </c>
      <c r="W549" s="4">
        <v>79</v>
      </c>
    </row>
    <row r="550" spans="1:23" ht="11.25" customHeight="1" x14ac:dyDescent="0.25">
      <c r="A550" s="4" t="s">
        <v>21</v>
      </c>
      <c r="B550" s="4" t="s">
        <v>33</v>
      </c>
      <c r="C550" s="4" t="s">
        <v>23</v>
      </c>
      <c r="D550" s="4" t="s">
        <v>34</v>
      </c>
      <c r="E550" s="4" t="s">
        <v>25</v>
      </c>
      <c r="F550" s="4" t="s">
        <v>25</v>
      </c>
      <c r="G550" s="4" t="s">
        <v>25</v>
      </c>
      <c r="H550" s="4" t="s">
        <v>25</v>
      </c>
      <c r="I550" s="5">
        <v>44713</v>
      </c>
      <c r="J550" s="6">
        <v>0</v>
      </c>
      <c r="K550" s="6">
        <v>0</v>
      </c>
      <c r="L550" s="6">
        <v>19.295000000000002</v>
      </c>
      <c r="M550" s="6">
        <v>19.295000000000002</v>
      </c>
      <c r="N550" s="6">
        <v>19.295000000000002</v>
      </c>
      <c r="O550" s="6">
        <v>19.295000000000002</v>
      </c>
      <c r="P550" s="6">
        <v>14</v>
      </c>
      <c r="Q550" s="4" t="s">
        <v>26</v>
      </c>
      <c r="R550" s="4">
        <v>0</v>
      </c>
      <c r="S550" s="4" t="s">
        <v>221</v>
      </c>
      <c r="T550" s="4" t="s">
        <v>346</v>
      </c>
      <c r="U550" s="4">
        <v>0</v>
      </c>
      <c r="V550" s="4">
        <v>30</v>
      </c>
      <c r="W550" s="4">
        <v>79</v>
      </c>
    </row>
    <row r="551" spans="1:23" ht="11.25" customHeight="1" x14ac:dyDescent="0.25">
      <c r="A551" s="4" t="s">
        <v>28</v>
      </c>
      <c r="B551" s="4" t="s">
        <v>33</v>
      </c>
      <c r="C551" s="4" t="s">
        <v>23</v>
      </c>
      <c r="D551" s="4" t="s">
        <v>34</v>
      </c>
      <c r="E551" s="4" t="s">
        <v>25</v>
      </c>
      <c r="F551" s="4" t="s">
        <v>25</v>
      </c>
      <c r="G551" s="4" t="s">
        <v>25</v>
      </c>
      <c r="H551" s="4" t="s">
        <v>25</v>
      </c>
      <c r="I551" s="5">
        <v>44713</v>
      </c>
      <c r="J551" s="6">
        <v>0</v>
      </c>
      <c r="K551" s="6">
        <v>0</v>
      </c>
      <c r="L551" s="6">
        <v>7.5369999999999999</v>
      </c>
      <c r="M551" s="6">
        <v>7.5369999999999999</v>
      </c>
      <c r="N551" s="6">
        <v>7.5369999999999999</v>
      </c>
      <c r="O551" s="6">
        <v>7.5369999999999999</v>
      </c>
      <c r="P551" s="6">
        <v>11</v>
      </c>
      <c r="Q551" s="4" t="s">
        <v>26</v>
      </c>
      <c r="R551" s="4">
        <v>0</v>
      </c>
      <c r="S551" s="4" t="s">
        <v>221</v>
      </c>
      <c r="T551" s="4" t="s">
        <v>346</v>
      </c>
      <c r="U551" s="4">
        <v>0</v>
      </c>
      <c r="V551" s="4">
        <v>30</v>
      </c>
      <c r="W551" s="4">
        <v>79</v>
      </c>
    </row>
    <row r="552" spans="1:23" ht="11.25" customHeight="1" x14ac:dyDescent="0.25">
      <c r="A552" s="4" t="s">
        <v>21</v>
      </c>
      <c r="B552" s="4" t="s">
        <v>33</v>
      </c>
      <c r="C552" s="4" t="s">
        <v>23</v>
      </c>
      <c r="D552" s="4" t="s">
        <v>42</v>
      </c>
      <c r="E552" s="4" t="s">
        <v>25</v>
      </c>
      <c r="F552" s="4" t="s">
        <v>25</v>
      </c>
      <c r="G552" s="4" t="s">
        <v>25</v>
      </c>
      <c r="H552" s="4" t="s">
        <v>25</v>
      </c>
      <c r="I552" s="5">
        <v>44378</v>
      </c>
      <c r="J552" s="6">
        <v>0</v>
      </c>
      <c r="K552" s="6">
        <v>0</v>
      </c>
      <c r="L552" s="6">
        <v>195.035</v>
      </c>
      <c r="M552" s="6">
        <v>195.035</v>
      </c>
      <c r="N552" s="6">
        <v>195.035</v>
      </c>
      <c r="O552" s="6">
        <v>195.035</v>
      </c>
      <c r="P552" s="6">
        <v>366</v>
      </c>
      <c r="Q552" s="4" t="s">
        <v>26</v>
      </c>
      <c r="R552" s="4">
        <v>0</v>
      </c>
      <c r="S552" s="4" t="s">
        <v>210</v>
      </c>
      <c r="T552" s="4" t="s">
        <v>335</v>
      </c>
      <c r="U552" s="4">
        <v>0</v>
      </c>
      <c r="V552" s="4">
        <v>30</v>
      </c>
      <c r="W552" s="4">
        <v>79</v>
      </c>
    </row>
    <row r="553" spans="1:23" ht="11.25" customHeight="1" x14ac:dyDescent="0.25">
      <c r="A553" s="4" t="s">
        <v>28</v>
      </c>
      <c r="B553" s="4" t="s">
        <v>33</v>
      </c>
      <c r="C553" s="4" t="s">
        <v>23</v>
      </c>
      <c r="D553" s="4" t="s">
        <v>42</v>
      </c>
      <c r="E553" s="4" t="s">
        <v>25</v>
      </c>
      <c r="F553" s="4" t="s">
        <v>25</v>
      </c>
      <c r="G553" s="4" t="s">
        <v>25</v>
      </c>
      <c r="H553" s="4" t="s">
        <v>25</v>
      </c>
      <c r="I553" s="5">
        <v>44378</v>
      </c>
      <c r="J553" s="6">
        <v>0</v>
      </c>
      <c r="K553" s="6">
        <v>0</v>
      </c>
      <c r="L553" s="6">
        <v>2.0110000000000001</v>
      </c>
      <c r="M553" s="6">
        <v>2.0110000000000001</v>
      </c>
      <c r="N553" s="6">
        <v>2.0110000000000001</v>
      </c>
      <c r="O553" s="6">
        <v>2.0110000000000001</v>
      </c>
      <c r="P553" s="6">
        <v>2</v>
      </c>
      <c r="Q553" s="4" t="s">
        <v>26</v>
      </c>
      <c r="R553" s="4">
        <v>0</v>
      </c>
      <c r="S553" s="4" t="s">
        <v>210</v>
      </c>
      <c r="T553" s="4" t="s">
        <v>335</v>
      </c>
      <c r="U553" s="4">
        <v>0</v>
      </c>
      <c r="V553" s="4">
        <v>30</v>
      </c>
      <c r="W553" s="4">
        <v>79</v>
      </c>
    </row>
    <row r="554" spans="1:23" ht="11.25" customHeight="1" x14ac:dyDescent="0.25">
      <c r="A554" s="4" t="s">
        <v>21</v>
      </c>
      <c r="B554" s="4" t="s">
        <v>33</v>
      </c>
      <c r="C554" s="4" t="s">
        <v>23</v>
      </c>
      <c r="D554" s="4" t="s">
        <v>42</v>
      </c>
      <c r="E554" s="4" t="s">
        <v>25</v>
      </c>
      <c r="F554" s="4" t="s">
        <v>25</v>
      </c>
      <c r="G554" s="4" t="s">
        <v>25</v>
      </c>
      <c r="H554" s="4" t="s">
        <v>25</v>
      </c>
      <c r="I554" s="5">
        <v>44409</v>
      </c>
      <c r="J554" s="6">
        <v>0</v>
      </c>
      <c r="K554" s="6">
        <v>0</v>
      </c>
      <c r="L554" s="6">
        <v>187.249</v>
      </c>
      <c r="M554" s="6">
        <v>187.249</v>
      </c>
      <c r="N554" s="6">
        <v>187.249</v>
      </c>
      <c r="O554" s="6">
        <v>187.249</v>
      </c>
      <c r="P554" s="6">
        <v>366</v>
      </c>
      <c r="Q554" s="4" t="s">
        <v>26</v>
      </c>
      <c r="R554" s="4">
        <v>0</v>
      </c>
      <c r="S554" s="4" t="s">
        <v>211</v>
      </c>
      <c r="T554" s="4" t="s">
        <v>336</v>
      </c>
      <c r="U554" s="4">
        <v>0</v>
      </c>
      <c r="V554" s="4">
        <v>30</v>
      </c>
      <c r="W554" s="4">
        <v>79</v>
      </c>
    </row>
    <row r="555" spans="1:23" ht="11.25" customHeight="1" x14ac:dyDescent="0.25">
      <c r="A555" s="4" t="s">
        <v>28</v>
      </c>
      <c r="B555" s="4" t="s">
        <v>33</v>
      </c>
      <c r="C555" s="4" t="s">
        <v>23</v>
      </c>
      <c r="D555" s="4" t="s">
        <v>42</v>
      </c>
      <c r="E555" s="4" t="s">
        <v>25</v>
      </c>
      <c r="F555" s="4" t="s">
        <v>25</v>
      </c>
      <c r="G555" s="4" t="s">
        <v>25</v>
      </c>
      <c r="H555" s="4" t="s">
        <v>25</v>
      </c>
      <c r="I555" s="5">
        <v>44409</v>
      </c>
      <c r="J555" s="6">
        <v>0</v>
      </c>
      <c r="K555" s="6">
        <v>0</v>
      </c>
      <c r="L555" s="6">
        <v>0.872</v>
      </c>
      <c r="M555" s="6">
        <v>0.872</v>
      </c>
      <c r="N555" s="6">
        <v>0.872</v>
      </c>
      <c r="O555" s="6">
        <v>0.872</v>
      </c>
      <c r="P555" s="6">
        <v>2</v>
      </c>
      <c r="Q555" s="4" t="s">
        <v>26</v>
      </c>
      <c r="R555" s="4">
        <v>0</v>
      </c>
      <c r="S555" s="4" t="s">
        <v>211</v>
      </c>
      <c r="T555" s="4" t="s">
        <v>336</v>
      </c>
      <c r="U555" s="4">
        <v>0</v>
      </c>
      <c r="V555" s="4">
        <v>30</v>
      </c>
      <c r="W555" s="4">
        <v>79</v>
      </c>
    </row>
    <row r="556" spans="1:23" ht="11.25" customHeight="1" x14ac:dyDescent="0.25">
      <c r="A556" s="4" t="s">
        <v>21</v>
      </c>
      <c r="B556" s="4" t="s">
        <v>33</v>
      </c>
      <c r="C556" s="4" t="s">
        <v>23</v>
      </c>
      <c r="D556" s="4" t="s">
        <v>42</v>
      </c>
      <c r="E556" s="4" t="s">
        <v>25</v>
      </c>
      <c r="F556" s="4" t="s">
        <v>25</v>
      </c>
      <c r="G556" s="4" t="s">
        <v>25</v>
      </c>
      <c r="H556" s="4" t="s">
        <v>25</v>
      </c>
      <c r="I556" s="5">
        <v>44440</v>
      </c>
      <c r="J556" s="6">
        <v>0</v>
      </c>
      <c r="K556" s="6">
        <v>0</v>
      </c>
      <c r="L556" s="6">
        <v>169.28</v>
      </c>
      <c r="M556" s="6">
        <v>169.28</v>
      </c>
      <c r="N556" s="6">
        <v>169.28</v>
      </c>
      <c r="O556" s="6">
        <v>169.28</v>
      </c>
      <c r="P556" s="6">
        <v>366</v>
      </c>
      <c r="Q556" s="4" t="s">
        <v>26</v>
      </c>
      <c r="R556" s="4">
        <v>0</v>
      </c>
      <c r="S556" s="4" t="s">
        <v>212</v>
      </c>
      <c r="T556" s="4" t="s">
        <v>337</v>
      </c>
      <c r="U556" s="4">
        <v>0</v>
      </c>
      <c r="V556" s="4">
        <v>30</v>
      </c>
      <c r="W556" s="4">
        <v>79</v>
      </c>
    </row>
    <row r="557" spans="1:23" ht="11.25" customHeight="1" x14ac:dyDescent="0.25">
      <c r="A557" s="4" t="s">
        <v>28</v>
      </c>
      <c r="B557" s="4" t="s">
        <v>33</v>
      </c>
      <c r="C557" s="4" t="s">
        <v>23</v>
      </c>
      <c r="D557" s="4" t="s">
        <v>42</v>
      </c>
      <c r="E557" s="4" t="s">
        <v>25</v>
      </c>
      <c r="F557" s="4" t="s">
        <v>25</v>
      </c>
      <c r="G557" s="4" t="s">
        <v>25</v>
      </c>
      <c r="H557" s="4" t="s">
        <v>25</v>
      </c>
      <c r="I557" s="5">
        <v>44440</v>
      </c>
      <c r="J557" s="6">
        <v>0</v>
      </c>
      <c r="K557" s="6">
        <v>0</v>
      </c>
      <c r="L557" s="6">
        <v>0.41899999999999998</v>
      </c>
      <c r="M557" s="6">
        <v>0.41899999999999998</v>
      </c>
      <c r="N557" s="6">
        <v>0.41899999999999998</v>
      </c>
      <c r="O557" s="6">
        <v>0.41899999999999998</v>
      </c>
      <c r="P557" s="6">
        <v>2</v>
      </c>
      <c r="Q557" s="4" t="s">
        <v>26</v>
      </c>
      <c r="R557" s="4">
        <v>0</v>
      </c>
      <c r="S557" s="4" t="s">
        <v>212</v>
      </c>
      <c r="T557" s="4" t="s">
        <v>337</v>
      </c>
      <c r="U557" s="4">
        <v>0</v>
      </c>
      <c r="V557" s="4">
        <v>30</v>
      </c>
      <c r="W557" s="4">
        <v>79</v>
      </c>
    </row>
    <row r="558" spans="1:23" ht="11.25" customHeight="1" x14ac:dyDescent="0.25">
      <c r="A558" s="4" t="s">
        <v>21</v>
      </c>
      <c r="B558" s="4" t="s">
        <v>33</v>
      </c>
      <c r="C558" s="4" t="s">
        <v>23</v>
      </c>
      <c r="D558" s="4" t="s">
        <v>42</v>
      </c>
      <c r="E558" s="4" t="s">
        <v>25</v>
      </c>
      <c r="F558" s="4" t="s">
        <v>25</v>
      </c>
      <c r="G558" s="4" t="s">
        <v>25</v>
      </c>
      <c r="H558" s="4" t="s">
        <v>25</v>
      </c>
      <c r="I558" s="5">
        <v>44470</v>
      </c>
      <c r="J558" s="6">
        <v>0</v>
      </c>
      <c r="K558" s="6">
        <v>0</v>
      </c>
      <c r="L558" s="6">
        <v>156.93600000000001</v>
      </c>
      <c r="M558" s="6">
        <v>156.93600000000001</v>
      </c>
      <c r="N558" s="6">
        <v>156.93600000000001</v>
      </c>
      <c r="O558" s="6">
        <v>156.93600000000001</v>
      </c>
      <c r="P558" s="6">
        <v>365</v>
      </c>
      <c r="Q558" s="4" t="s">
        <v>26</v>
      </c>
      <c r="R558" s="4">
        <v>0</v>
      </c>
      <c r="S558" s="4" t="s">
        <v>213</v>
      </c>
      <c r="T558" s="4" t="s">
        <v>338</v>
      </c>
      <c r="U558" s="4">
        <v>0</v>
      </c>
      <c r="V558" s="4">
        <v>30</v>
      </c>
      <c r="W558" s="4">
        <v>79</v>
      </c>
    </row>
    <row r="559" spans="1:23" ht="11.25" customHeight="1" x14ac:dyDescent="0.25">
      <c r="A559" s="4" t="s">
        <v>28</v>
      </c>
      <c r="B559" s="4" t="s">
        <v>33</v>
      </c>
      <c r="C559" s="4" t="s">
        <v>23</v>
      </c>
      <c r="D559" s="4" t="s">
        <v>42</v>
      </c>
      <c r="E559" s="4" t="s">
        <v>25</v>
      </c>
      <c r="F559" s="4" t="s">
        <v>25</v>
      </c>
      <c r="G559" s="4" t="s">
        <v>25</v>
      </c>
      <c r="H559" s="4" t="s">
        <v>25</v>
      </c>
      <c r="I559" s="5">
        <v>44470</v>
      </c>
      <c r="J559" s="6">
        <v>0</v>
      </c>
      <c r="K559" s="6">
        <v>0</v>
      </c>
      <c r="L559" s="6">
        <v>0.39100000000000001</v>
      </c>
      <c r="M559" s="6">
        <v>0.39100000000000001</v>
      </c>
      <c r="N559" s="6">
        <v>0.39100000000000001</v>
      </c>
      <c r="O559" s="6">
        <v>0.39100000000000001</v>
      </c>
      <c r="P559" s="6">
        <v>2</v>
      </c>
      <c r="Q559" s="4" t="s">
        <v>26</v>
      </c>
      <c r="R559" s="4">
        <v>0</v>
      </c>
      <c r="S559" s="4" t="s">
        <v>213</v>
      </c>
      <c r="T559" s="4" t="s">
        <v>338</v>
      </c>
      <c r="U559" s="4">
        <v>0</v>
      </c>
      <c r="V559" s="4">
        <v>30</v>
      </c>
      <c r="W559" s="4">
        <v>79</v>
      </c>
    </row>
    <row r="560" spans="1:23" ht="11.25" customHeight="1" x14ac:dyDescent="0.25">
      <c r="A560" s="4" t="s">
        <v>21</v>
      </c>
      <c r="B560" s="4" t="s">
        <v>33</v>
      </c>
      <c r="C560" s="4" t="s">
        <v>23</v>
      </c>
      <c r="D560" s="4" t="s">
        <v>42</v>
      </c>
      <c r="E560" s="4" t="s">
        <v>25</v>
      </c>
      <c r="F560" s="4" t="s">
        <v>25</v>
      </c>
      <c r="G560" s="4" t="s">
        <v>25</v>
      </c>
      <c r="H560" s="4" t="s">
        <v>25</v>
      </c>
      <c r="I560" s="5">
        <v>44501</v>
      </c>
      <c r="J560" s="6">
        <v>0</v>
      </c>
      <c r="K560" s="6">
        <v>0</v>
      </c>
      <c r="L560" s="6">
        <v>182.09200000000001</v>
      </c>
      <c r="M560" s="6">
        <v>182.09200000000001</v>
      </c>
      <c r="N560" s="6">
        <v>182.09200000000001</v>
      </c>
      <c r="O560" s="6">
        <v>182.09200000000001</v>
      </c>
      <c r="P560" s="6">
        <v>368</v>
      </c>
      <c r="Q560" s="4" t="s">
        <v>26</v>
      </c>
      <c r="R560" s="4">
        <v>0</v>
      </c>
      <c r="S560" s="4" t="s">
        <v>214</v>
      </c>
      <c r="T560" s="4" t="s">
        <v>339</v>
      </c>
      <c r="U560" s="4">
        <v>0</v>
      </c>
      <c r="V560" s="4">
        <v>30</v>
      </c>
      <c r="W560" s="4">
        <v>79</v>
      </c>
    </row>
    <row r="561" spans="1:23" ht="11.25" customHeight="1" x14ac:dyDescent="0.25">
      <c r="A561" s="4" t="s">
        <v>28</v>
      </c>
      <c r="B561" s="4" t="s">
        <v>33</v>
      </c>
      <c r="C561" s="4" t="s">
        <v>23</v>
      </c>
      <c r="D561" s="4" t="s">
        <v>42</v>
      </c>
      <c r="E561" s="4" t="s">
        <v>25</v>
      </c>
      <c r="F561" s="4" t="s">
        <v>25</v>
      </c>
      <c r="G561" s="4" t="s">
        <v>25</v>
      </c>
      <c r="H561" s="4" t="s">
        <v>25</v>
      </c>
      <c r="I561" s="5">
        <v>44501</v>
      </c>
      <c r="J561" s="6">
        <v>0</v>
      </c>
      <c r="K561" s="6">
        <v>0</v>
      </c>
      <c r="L561" s="6">
        <v>0.45200000000000001</v>
      </c>
      <c r="M561" s="6">
        <v>0.45200000000000001</v>
      </c>
      <c r="N561" s="6">
        <v>0.45200000000000001</v>
      </c>
      <c r="O561" s="6">
        <v>0.45200000000000001</v>
      </c>
      <c r="P561" s="6">
        <v>2</v>
      </c>
      <c r="Q561" s="4" t="s">
        <v>26</v>
      </c>
      <c r="R561" s="4">
        <v>0</v>
      </c>
      <c r="S561" s="4" t="s">
        <v>214</v>
      </c>
      <c r="T561" s="4" t="s">
        <v>339</v>
      </c>
      <c r="U561" s="4">
        <v>0</v>
      </c>
      <c r="V561" s="4">
        <v>30</v>
      </c>
      <c r="W561" s="4">
        <v>79</v>
      </c>
    </row>
    <row r="562" spans="1:23" ht="11.25" customHeight="1" x14ac:dyDescent="0.25">
      <c r="A562" s="4" t="s">
        <v>21</v>
      </c>
      <c r="B562" s="4" t="s">
        <v>33</v>
      </c>
      <c r="C562" s="4" t="s">
        <v>23</v>
      </c>
      <c r="D562" s="4" t="s">
        <v>42</v>
      </c>
      <c r="E562" s="4" t="s">
        <v>25</v>
      </c>
      <c r="F562" s="4" t="s">
        <v>25</v>
      </c>
      <c r="G562" s="4" t="s">
        <v>25</v>
      </c>
      <c r="H562" s="4" t="s">
        <v>25</v>
      </c>
      <c r="I562" s="5">
        <v>44531</v>
      </c>
      <c r="J562" s="6">
        <v>0</v>
      </c>
      <c r="K562" s="6">
        <v>0</v>
      </c>
      <c r="L562" s="6">
        <v>196.46600000000001</v>
      </c>
      <c r="M562" s="6">
        <v>196.46600000000001</v>
      </c>
      <c r="N562" s="6">
        <v>196.46600000000001</v>
      </c>
      <c r="O562" s="6">
        <v>196.46600000000001</v>
      </c>
      <c r="P562" s="6">
        <v>366</v>
      </c>
      <c r="Q562" s="4" t="s">
        <v>26</v>
      </c>
      <c r="R562" s="4">
        <v>0</v>
      </c>
      <c r="S562" s="4" t="s">
        <v>215</v>
      </c>
      <c r="T562" s="4" t="s">
        <v>340</v>
      </c>
      <c r="U562" s="4">
        <v>0</v>
      </c>
      <c r="V562" s="4">
        <v>30</v>
      </c>
      <c r="W562" s="4">
        <v>79</v>
      </c>
    </row>
    <row r="563" spans="1:23" ht="11.25" customHeight="1" x14ac:dyDescent="0.25">
      <c r="A563" s="4" t="s">
        <v>28</v>
      </c>
      <c r="B563" s="4" t="s">
        <v>33</v>
      </c>
      <c r="C563" s="4" t="s">
        <v>23</v>
      </c>
      <c r="D563" s="4" t="s">
        <v>42</v>
      </c>
      <c r="E563" s="4" t="s">
        <v>25</v>
      </c>
      <c r="F563" s="4" t="s">
        <v>25</v>
      </c>
      <c r="G563" s="4" t="s">
        <v>25</v>
      </c>
      <c r="H563" s="4" t="s">
        <v>25</v>
      </c>
      <c r="I563" s="5">
        <v>44531</v>
      </c>
      <c r="J563" s="6">
        <v>0</v>
      </c>
      <c r="K563" s="6">
        <v>0</v>
      </c>
      <c r="L563" s="6">
        <v>0.56000000000000005</v>
      </c>
      <c r="M563" s="6">
        <v>0.56000000000000005</v>
      </c>
      <c r="N563" s="6">
        <v>0.56000000000000005</v>
      </c>
      <c r="O563" s="6">
        <v>0.56000000000000005</v>
      </c>
      <c r="P563" s="6">
        <v>2</v>
      </c>
      <c r="Q563" s="4" t="s">
        <v>26</v>
      </c>
      <c r="R563" s="4">
        <v>0</v>
      </c>
      <c r="S563" s="4" t="s">
        <v>215</v>
      </c>
      <c r="T563" s="4" t="s">
        <v>340</v>
      </c>
      <c r="U563" s="4">
        <v>0</v>
      </c>
      <c r="V563" s="4">
        <v>30</v>
      </c>
      <c r="W563" s="4">
        <v>79</v>
      </c>
    </row>
    <row r="564" spans="1:23" ht="11.25" customHeight="1" x14ac:dyDescent="0.25">
      <c r="A564" s="4" t="s">
        <v>21</v>
      </c>
      <c r="B564" s="4" t="s">
        <v>33</v>
      </c>
      <c r="C564" s="4" t="s">
        <v>23</v>
      </c>
      <c r="D564" s="4" t="s">
        <v>42</v>
      </c>
      <c r="E564" s="4" t="s">
        <v>25</v>
      </c>
      <c r="F564" s="4" t="s">
        <v>25</v>
      </c>
      <c r="G564" s="4" t="s">
        <v>25</v>
      </c>
      <c r="H564" s="4" t="s">
        <v>25</v>
      </c>
      <c r="I564" s="5">
        <v>44562</v>
      </c>
      <c r="J564" s="6">
        <v>0</v>
      </c>
      <c r="K564" s="6">
        <v>0</v>
      </c>
      <c r="L564" s="6">
        <v>208.83699999999999</v>
      </c>
      <c r="M564" s="6">
        <v>208.83699999999999</v>
      </c>
      <c r="N564" s="6">
        <v>208.83699999999999</v>
      </c>
      <c r="O564" s="6">
        <v>208.83699999999999</v>
      </c>
      <c r="P564" s="6">
        <v>370</v>
      </c>
      <c r="Q564" s="4" t="s">
        <v>26</v>
      </c>
      <c r="R564" s="4">
        <v>0</v>
      </c>
      <c r="S564" s="4" t="s">
        <v>216</v>
      </c>
      <c r="T564" s="4" t="s">
        <v>341</v>
      </c>
      <c r="U564" s="4">
        <v>0</v>
      </c>
      <c r="V564" s="4">
        <v>30</v>
      </c>
      <c r="W564" s="4">
        <v>79</v>
      </c>
    </row>
    <row r="565" spans="1:23" ht="11.25" customHeight="1" x14ac:dyDescent="0.25">
      <c r="A565" s="4" t="s">
        <v>28</v>
      </c>
      <c r="B565" s="4" t="s">
        <v>33</v>
      </c>
      <c r="C565" s="4" t="s">
        <v>23</v>
      </c>
      <c r="D565" s="4" t="s">
        <v>42</v>
      </c>
      <c r="E565" s="4" t="s">
        <v>25</v>
      </c>
      <c r="F565" s="4" t="s">
        <v>25</v>
      </c>
      <c r="G565" s="4" t="s">
        <v>25</v>
      </c>
      <c r="H565" s="4" t="s">
        <v>25</v>
      </c>
      <c r="I565" s="5">
        <v>44562</v>
      </c>
      <c r="J565" s="6">
        <v>0</v>
      </c>
      <c r="K565" s="6">
        <v>0</v>
      </c>
      <c r="L565" s="6">
        <v>0.38700000000000001</v>
      </c>
      <c r="M565" s="6">
        <v>0.38700000000000001</v>
      </c>
      <c r="N565" s="6">
        <v>0.38700000000000001</v>
      </c>
      <c r="O565" s="6">
        <v>0.38700000000000001</v>
      </c>
      <c r="P565" s="6">
        <v>2</v>
      </c>
      <c r="Q565" s="4" t="s">
        <v>26</v>
      </c>
      <c r="R565" s="4">
        <v>0</v>
      </c>
      <c r="S565" s="4" t="s">
        <v>216</v>
      </c>
      <c r="T565" s="4" t="s">
        <v>341</v>
      </c>
      <c r="U565" s="4">
        <v>0</v>
      </c>
      <c r="V565" s="4">
        <v>30</v>
      </c>
      <c r="W565" s="4">
        <v>79</v>
      </c>
    </row>
    <row r="566" spans="1:23" ht="11.25" customHeight="1" x14ac:dyDescent="0.25">
      <c r="A566" s="4" t="s">
        <v>21</v>
      </c>
      <c r="B566" s="4" t="s">
        <v>33</v>
      </c>
      <c r="C566" s="4" t="s">
        <v>23</v>
      </c>
      <c r="D566" s="4" t="s">
        <v>42</v>
      </c>
      <c r="E566" s="4" t="s">
        <v>25</v>
      </c>
      <c r="F566" s="4" t="s">
        <v>25</v>
      </c>
      <c r="G566" s="4" t="s">
        <v>25</v>
      </c>
      <c r="H566" s="4" t="s">
        <v>25</v>
      </c>
      <c r="I566" s="5">
        <v>44593</v>
      </c>
      <c r="J566" s="6">
        <v>0</v>
      </c>
      <c r="K566" s="6">
        <v>0</v>
      </c>
      <c r="L566" s="6">
        <v>225.506</v>
      </c>
      <c r="M566" s="6">
        <v>225.506</v>
      </c>
      <c r="N566" s="6">
        <v>225.506</v>
      </c>
      <c r="O566" s="6">
        <v>225.506</v>
      </c>
      <c r="P566" s="6">
        <v>372</v>
      </c>
      <c r="Q566" s="4" t="s">
        <v>26</v>
      </c>
      <c r="R566" s="4">
        <v>0</v>
      </c>
      <c r="S566" s="4" t="s">
        <v>217</v>
      </c>
      <c r="T566" s="4" t="s">
        <v>342</v>
      </c>
      <c r="U566" s="4">
        <v>0</v>
      </c>
      <c r="V566" s="4">
        <v>30</v>
      </c>
      <c r="W566" s="4">
        <v>79</v>
      </c>
    </row>
    <row r="567" spans="1:23" ht="11.25" customHeight="1" x14ac:dyDescent="0.25">
      <c r="A567" s="4" t="s">
        <v>28</v>
      </c>
      <c r="B567" s="4" t="s">
        <v>33</v>
      </c>
      <c r="C567" s="4" t="s">
        <v>23</v>
      </c>
      <c r="D567" s="4" t="s">
        <v>42</v>
      </c>
      <c r="E567" s="4" t="s">
        <v>25</v>
      </c>
      <c r="F567" s="4" t="s">
        <v>25</v>
      </c>
      <c r="G567" s="4" t="s">
        <v>25</v>
      </c>
      <c r="H567" s="4" t="s">
        <v>25</v>
      </c>
      <c r="I567" s="5">
        <v>44593</v>
      </c>
      <c r="J567" s="6">
        <v>0</v>
      </c>
      <c r="K567" s="6">
        <v>0</v>
      </c>
      <c r="L567" s="6">
        <v>0.247</v>
      </c>
      <c r="M567" s="6">
        <v>0.247</v>
      </c>
      <c r="N567" s="6">
        <v>0.247</v>
      </c>
      <c r="O567" s="6">
        <v>0.247</v>
      </c>
      <c r="P567" s="6">
        <v>2</v>
      </c>
      <c r="Q567" s="4" t="s">
        <v>26</v>
      </c>
      <c r="R567" s="4">
        <v>0</v>
      </c>
      <c r="S567" s="4" t="s">
        <v>217</v>
      </c>
      <c r="T567" s="4" t="s">
        <v>342</v>
      </c>
      <c r="U567" s="4">
        <v>0</v>
      </c>
      <c r="V567" s="4">
        <v>30</v>
      </c>
      <c r="W567" s="4">
        <v>79</v>
      </c>
    </row>
    <row r="568" spans="1:23" ht="11.25" customHeight="1" x14ac:dyDescent="0.25">
      <c r="A568" s="4" t="s">
        <v>21</v>
      </c>
      <c r="B568" s="4" t="s">
        <v>33</v>
      </c>
      <c r="C568" s="4" t="s">
        <v>23</v>
      </c>
      <c r="D568" s="4" t="s">
        <v>42</v>
      </c>
      <c r="E568" s="4" t="s">
        <v>25</v>
      </c>
      <c r="F568" s="4" t="s">
        <v>25</v>
      </c>
      <c r="G568" s="4" t="s">
        <v>25</v>
      </c>
      <c r="H568" s="4" t="s">
        <v>25</v>
      </c>
      <c r="I568" s="5">
        <v>44621</v>
      </c>
      <c r="J568" s="6">
        <v>0</v>
      </c>
      <c r="K568" s="6">
        <v>0</v>
      </c>
      <c r="L568" s="6">
        <v>237.785</v>
      </c>
      <c r="M568" s="6">
        <v>237.785</v>
      </c>
      <c r="N568" s="6">
        <v>237.785</v>
      </c>
      <c r="O568" s="6">
        <v>237.785</v>
      </c>
      <c r="P568" s="6">
        <v>379</v>
      </c>
      <c r="Q568" s="4" t="s">
        <v>26</v>
      </c>
      <c r="R568" s="4">
        <v>0</v>
      </c>
      <c r="S568" s="4" t="s">
        <v>218</v>
      </c>
      <c r="T568" s="4" t="s">
        <v>343</v>
      </c>
      <c r="U568" s="4">
        <v>0</v>
      </c>
      <c r="V568" s="4">
        <v>30</v>
      </c>
      <c r="W568" s="4">
        <v>79</v>
      </c>
    </row>
    <row r="569" spans="1:23" ht="11.25" customHeight="1" x14ac:dyDescent="0.25">
      <c r="A569" s="4" t="s">
        <v>28</v>
      </c>
      <c r="B569" s="4" t="s">
        <v>33</v>
      </c>
      <c r="C569" s="4" t="s">
        <v>23</v>
      </c>
      <c r="D569" s="4" t="s">
        <v>42</v>
      </c>
      <c r="E569" s="4" t="s">
        <v>25</v>
      </c>
      <c r="F569" s="4" t="s">
        <v>25</v>
      </c>
      <c r="G569" s="4" t="s">
        <v>25</v>
      </c>
      <c r="H569" s="4" t="s">
        <v>25</v>
      </c>
      <c r="I569" s="5">
        <v>44621</v>
      </c>
      <c r="J569" s="6">
        <v>0</v>
      </c>
      <c r="K569" s="6">
        <v>0</v>
      </c>
      <c r="L569" s="6">
        <v>3.319</v>
      </c>
      <c r="M569" s="6">
        <v>3.319</v>
      </c>
      <c r="N569" s="6">
        <v>3.319</v>
      </c>
      <c r="O569" s="6">
        <v>3.319</v>
      </c>
      <c r="P569" s="6">
        <v>3</v>
      </c>
      <c r="Q569" s="4" t="s">
        <v>26</v>
      </c>
      <c r="R569" s="4">
        <v>0</v>
      </c>
      <c r="S569" s="4" t="s">
        <v>218</v>
      </c>
      <c r="T569" s="4" t="s">
        <v>343</v>
      </c>
      <c r="U569" s="4">
        <v>0</v>
      </c>
      <c r="V569" s="4">
        <v>30</v>
      </c>
      <c r="W569" s="4">
        <v>79</v>
      </c>
    </row>
    <row r="570" spans="1:23" ht="11.25" customHeight="1" x14ac:dyDescent="0.25">
      <c r="A570" s="4" t="s">
        <v>21</v>
      </c>
      <c r="B570" s="4" t="s">
        <v>33</v>
      </c>
      <c r="C570" s="4" t="s">
        <v>23</v>
      </c>
      <c r="D570" s="4" t="s">
        <v>42</v>
      </c>
      <c r="E570" s="4" t="s">
        <v>25</v>
      </c>
      <c r="F570" s="4" t="s">
        <v>25</v>
      </c>
      <c r="G570" s="4" t="s">
        <v>25</v>
      </c>
      <c r="H570" s="4" t="s">
        <v>25</v>
      </c>
      <c r="I570" s="5">
        <v>44652</v>
      </c>
      <c r="J570" s="6">
        <v>0</v>
      </c>
      <c r="K570" s="6">
        <v>0</v>
      </c>
      <c r="L570" s="6">
        <v>196.91</v>
      </c>
      <c r="M570" s="6">
        <v>196.91</v>
      </c>
      <c r="N570" s="6">
        <v>196.91</v>
      </c>
      <c r="O570" s="6">
        <v>196.91</v>
      </c>
      <c r="P570" s="6">
        <v>379</v>
      </c>
      <c r="Q570" s="4" t="s">
        <v>26</v>
      </c>
      <c r="R570" s="4">
        <v>0</v>
      </c>
      <c r="S570" s="4" t="s">
        <v>219</v>
      </c>
      <c r="T570" s="4" t="s">
        <v>344</v>
      </c>
      <c r="U570" s="4">
        <v>0</v>
      </c>
      <c r="V570" s="4">
        <v>30</v>
      </c>
      <c r="W570" s="4">
        <v>79</v>
      </c>
    </row>
    <row r="571" spans="1:23" ht="11.25" customHeight="1" x14ac:dyDescent="0.25">
      <c r="A571" s="4" t="s">
        <v>27</v>
      </c>
      <c r="B571" s="4" t="s">
        <v>33</v>
      </c>
      <c r="C571" s="4" t="s">
        <v>23</v>
      </c>
      <c r="D571" s="4" t="s">
        <v>42</v>
      </c>
      <c r="E571" s="4" t="s">
        <v>25</v>
      </c>
      <c r="F571" s="4" t="s">
        <v>25</v>
      </c>
      <c r="G571" s="4" t="s">
        <v>25</v>
      </c>
      <c r="H571" s="4" t="s">
        <v>25</v>
      </c>
      <c r="I571" s="5">
        <v>44652</v>
      </c>
      <c r="J571" s="6">
        <v>0</v>
      </c>
      <c r="K571" s="6">
        <v>0</v>
      </c>
      <c r="L571" s="6">
        <v>-0.03</v>
      </c>
      <c r="M571" s="6">
        <v>-0.03</v>
      </c>
      <c r="N571" s="6">
        <v>-0.03</v>
      </c>
      <c r="O571" s="6">
        <v>-0.03</v>
      </c>
      <c r="P571" s="6">
        <v>0</v>
      </c>
      <c r="Q571" s="4" t="s">
        <v>26</v>
      </c>
      <c r="R571" s="4">
        <v>0</v>
      </c>
      <c r="S571" s="4" t="s">
        <v>219</v>
      </c>
      <c r="T571" s="4" t="s">
        <v>344</v>
      </c>
      <c r="U571" s="4">
        <v>0</v>
      </c>
      <c r="V571" s="4">
        <v>30</v>
      </c>
      <c r="W571" s="4">
        <v>79</v>
      </c>
    </row>
    <row r="572" spans="1:23" ht="11.25" customHeight="1" x14ac:dyDescent="0.25">
      <c r="A572" s="4" t="s">
        <v>28</v>
      </c>
      <c r="B572" s="4" t="s">
        <v>33</v>
      </c>
      <c r="C572" s="4" t="s">
        <v>23</v>
      </c>
      <c r="D572" s="4" t="s">
        <v>42</v>
      </c>
      <c r="E572" s="4" t="s">
        <v>25</v>
      </c>
      <c r="F572" s="4" t="s">
        <v>25</v>
      </c>
      <c r="G572" s="4" t="s">
        <v>25</v>
      </c>
      <c r="H572" s="4" t="s">
        <v>25</v>
      </c>
      <c r="I572" s="5">
        <v>44652</v>
      </c>
      <c r="J572" s="6">
        <v>0</v>
      </c>
      <c r="K572" s="6">
        <v>0</v>
      </c>
      <c r="L572" s="6">
        <v>2.5739999999999998</v>
      </c>
      <c r="M572" s="6">
        <v>2.5739999999999998</v>
      </c>
      <c r="N572" s="6">
        <v>2.5739999999999998</v>
      </c>
      <c r="O572" s="6">
        <v>2.5739999999999998</v>
      </c>
      <c r="P572" s="6">
        <v>3</v>
      </c>
      <c r="Q572" s="4" t="s">
        <v>26</v>
      </c>
      <c r="R572" s="4">
        <v>0</v>
      </c>
      <c r="S572" s="4" t="s">
        <v>219</v>
      </c>
      <c r="T572" s="4" t="s">
        <v>344</v>
      </c>
      <c r="U572" s="4">
        <v>0</v>
      </c>
      <c r="V572" s="4">
        <v>30</v>
      </c>
      <c r="W572" s="4">
        <v>79</v>
      </c>
    </row>
    <row r="573" spans="1:23" ht="11.25" customHeight="1" x14ac:dyDescent="0.25">
      <c r="A573" s="4" t="s">
        <v>21</v>
      </c>
      <c r="B573" s="4" t="s">
        <v>33</v>
      </c>
      <c r="C573" s="4" t="s">
        <v>23</v>
      </c>
      <c r="D573" s="4" t="s">
        <v>42</v>
      </c>
      <c r="E573" s="4" t="s">
        <v>25</v>
      </c>
      <c r="F573" s="4" t="s">
        <v>25</v>
      </c>
      <c r="G573" s="4" t="s">
        <v>25</v>
      </c>
      <c r="H573" s="4" t="s">
        <v>25</v>
      </c>
      <c r="I573" s="5">
        <v>44682</v>
      </c>
      <c r="J573" s="6">
        <v>0</v>
      </c>
      <c r="K573" s="6">
        <v>0</v>
      </c>
      <c r="L573" s="6">
        <v>200.042</v>
      </c>
      <c r="M573" s="6">
        <v>200.042</v>
      </c>
      <c r="N573" s="6">
        <v>200.042</v>
      </c>
      <c r="O573" s="6">
        <v>200.042</v>
      </c>
      <c r="P573" s="6">
        <v>376</v>
      </c>
      <c r="Q573" s="4" t="s">
        <v>26</v>
      </c>
      <c r="R573" s="4">
        <v>0</v>
      </c>
      <c r="S573" s="4" t="s">
        <v>220</v>
      </c>
      <c r="T573" s="4" t="s">
        <v>345</v>
      </c>
      <c r="U573" s="4">
        <v>0</v>
      </c>
      <c r="V573" s="4">
        <v>30</v>
      </c>
      <c r="W573" s="4">
        <v>79</v>
      </c>
    </row>
    <row r="574" spans="1:23" ht="11.25" customHeight="1" x14ac:dyDescent="0.25">
      <c r="A574" s="4" t="s">
        <v>28</v>
      </c>
      <c r="B574" s="4" t="s">
        <v>33</v>
      </c>
      <c r="C574" s="4" t="s">
        <v>23</v>
      </c>
      <c r="D574" s="4" t="s">
        <v>42</v>
      </c>
      <c r="E574" s="4" t="s">
        <v>25</v>
      </c>
      <c r="F574" s="4" t="s">
        <v>25</v>
      </c>
      <c r="G574" s="4" t="s">
        <v>25</v>
      </c>
      <c r="H574" s="4" t="s">
        <v>25</v>
      </c>
      <c r="I574" s="5">
        <v>44682</v>
      </c>
      <c r="J574" s="6">
        <v>0</v>
      </c>
      <c r="K574" s="6">
        <v>0</v>
      </c>
      <c r="L574" s="6">
        <v>2.14</v>
      </c>
      <c r="M574" s="6">
        <v>2.14</v>
      </c>
      <c r="N574" s="6">
        <v>2.14</v>
      </c>
      <c r="O574" s="6">
        <v>2.14</v>
      </c>
      <c r="P574" s="6">
        <v>5</v>
      </c>
      <c r="Q574" s="4" t="s">
        <v>26</v>
      </c>
      <c r="R574" s="4">
        <v>0</v>
      </c>
      <c r="S574" s="4" t="s">
        <v>220</v>
      </c>
      <c r="T574" s="4" t="s">
        <v>345</v>
      </c>
      <c r="U574" s="4">
        <v>0</v>
      </c>
      <c r="V574" s="4">
        <v>30</v>
      </c>
      <c r="W574" s="4">
        <v>79</v>
      </c>
    </row>
    <row r="575" spans="1:23" ht="11.25" customHeight="1" x14ac:dyDescent="0.25">
      <c r="A575" s="4" t="s">
        <v>21</v>
      </c>
      <c r="B575" s="4" t="s">
        <v>33</v>
      </c>
      <c r="C575" s="4" t="s">
        <v>23</v>
      </c>
      <c r="D575" s="4" t="s">
        <v>42</v>
      </c>
      <c r="E575" s="4" t="s">
        <v>25</v>
      </c>
      <c r="F575" s="4" t="s">
        <v>25</v>
      </c>
      <c r="G575" s="4" t="s">
        <v>25</v>
      </c>
      <c r="H575" s="4" t="s">
        <v>25</v>
      </c>
      <c r="I575" s="5">
        <v>44713</v>
      </c>
      <c r="J575" s="6">
        <v>0</v>
      </c>
      <c r="K575" s="6">
        <v>0</v>
      </c>
      <c r="L575" s="6">
        <v>212.386</v>
      </c>
      <c r="M575" s="6">
        <v>212.386</v>
      </c>
      <c r="N575" s="6">
        <v>212.386</v>
      </c>
      <c r="O575" s="6">
        <v>212.386</v>
      </c>
      <c r="P575" s="6">
        <v>379</v>
      </c>
      <c r="Q575" s="4" t="s">
        <v>26</v>
      </c>
      <c r="R575" s="4">
        <v>0</v>
      </c>
      <c r="S575" s="4" t="s">
        <v>221</v>
      </c>
      <c r="T575" s="4" t="s">
        <v>346</v>
      </c>
      <c r="U575" s="4">
        <v>0</v>
      </c>
      <c r="V575" s="4">
        <v>30</v>
      </c>
      <c r="W575" s="4">
        <v>79</v>
      </c>
    </row>
    <row r="576" spans="1:23" ht="11.25" customHeight="1" x14ac:dyDescent="0.25">
      <c r="A576" s="4" t="s">
        <v>28</v>
      </c>
      <c r="B576" s="4" t="s">
        <v>33</v>
      </c>
      <c r="C576" s="4" t="s">
        <v>23</v>
      </c>
      <c r="D576" s="4" t="s">
        <v>42</v>
      </c>
      <c r="E576" s="4" t="s">
        <v>25</v>
      </c>
      <c r="F576" s="4" t="s">
        <v>25</v>
      </c>
      <c r="G576" s="4" t="s">
        <v>25</v>
      </c>
      <c r="H576" s="4" t="s">
        <v>25</v>
      </c>
      <c r="I576" s="5">
        <v>44713</v>
      </c>
      <c r="J576" s="6">
        <v>0</v>
      </c>
      <c r="K576" s="6">
        <v>0</v>
      </c>
      <c r="L576" s="6">
        <v>3.419</v>
      </c>
      <c r="M576" s="6">
        <v>3.419</v>
      </c>
      <c r="N576" s="6">
        <v>3.419</v>
      </c>
      <c r="O576" s="6">
        <v>3.419</v>
      </c>
      <c r="P576" s="6">
        <v>5</v>
      </c>
      <c r="Q576" s="4" t="s">
        <v>26</v>
      </c>
      <c r="R576" s="4">
        <v>0</v>
      </c>
      <c r="S576" s="4" t="s">
        <v>221</v>
      </c>
      <c r="T576" s="4" t="s">
        <v>346</v>
      </c>
      <c r="U576" s="4">
        <v>0</v>
      </c>
      <c r="V576" s="4">
        <v>30</v>
      </c>
      <c r="W576" s="4">
        <v>79</v>
      </c>
    </row>
    <row r="577" spans="1:23" ht="11.25" customHeight="1" x14ac:dyDescent="0.25">
      <c r="A577" s="4" t="s">
        <v>21</v>
      </c>
      <c r="B577" s="4" t="s">
        <v>33</v>
      </c>
      <c r="C577" s="4" t="s">
        <v>23</v>
      </c>
      <c r="D577" s="4" t="s">
        <v>46</v>
      </c>
      <c r="E577" s="4" t="s">
        <v>47</v>
      </c>
      <c r="F577" s="4" t="s">
        <v>25</v>
      </c>
      <c r="G577" s="4" t="s">
        <v>25</v>
      </c>
      <c r="H577" s="4" t="s">
        <v>25</v>
      </c>
      <c r="I577" s="5">
        <v>44378</v>
      </c>
      <c r="J577" s="6">
        <v>0</v>
      </c>
      <c r="K577" s="6">
        <v>0</v>
      </c>
      <c r="L577" s="6">
        <v>79.802999999999997</v>
      </c>
      <c r="M577" s="6">
        <v>75.01482</v>
      </c>
      <c r="N577" s="6">
        <v>79.802999999999997</v>
      </c>
      <c r="O577" s="6">
        <v>75.01482</v>
      </c>
      <c r="P577" s="6">
        <v>28</v>
      </c>
      <c r="Q577" s="4" t="s">
        <v>26</v>
      </c>
      <c r="R577" s="4">
        <v>0</v>
      </c>
      <c r="S577" s="4" t="s">
        <v>210</v>
      </c>
      <c r="T577" s="4" t="s">
        <v>335</v>
      </c>
      <c r="U577" s="4">
        <v>0</v>
      </c>
      <c r="V577" s="4">
        <v>30</v>
      </c>
      <c r="W577" s="4">
        <v>79</v>
      </c>
    </row>
    <row r="578" spans="1:23" ht="11.25" customHeight="1" x14ac:dyDescent="0.25">
      <c r="A578" s="4" t="s">
        <v>21</v>
      </c>
      <c r="B578" s="4" t="s">
        <v>33</v>
      </c>
      <c r="C578" s="4" t="s">
        <v>23</v>
      </c>
      <c r="D578" s="4" t="s">
        <v>46</v>
      </c>
      <c r="E578" s="4" t="s">
        <v>47</v>
      </c>
      <c r="F578" s="4" t="s">
        <v>25</v>
      </c>
      <c r="G578" s="4" t="s">
        <v>25</v>
      </c>
      <c r="H578" s="4" t="s">
        <v>25</v>
      </c>
      <c r="I578" s="5">
        <v>44409</v>
      </c>
      <c r="J578" s="6">
        <v>0</v>
      </c>
      <c r="K578" s="6">
        <v>0</v>
      </c>
      <c r="L578" s="6">
        <v>78.555999999999997</v>
      </c>
      <c r="M578" s="6">
        <v>73.842639999999989</v>
      </c>
      <c r="N578" s="6">
        <v>78.555999999999997</v>
      </c>
      <c r="O578" s="6">
        <v>73.842639999999989</v>
      </c>
      <c r="P578" s="6">
        <v>28</v>
      </c>
      <c r="Q578" s="4" t="s">
        <v>26</v>
      </c>
      <c r="R578" s="4">
        <v>0</v>
      </c>
      <c r="S578" s="4" t="s">
        <v>211</v>
      </c>
      <c r="T578" s="4" t="s">
        <v>336</v>
      </c>
      <c r="U578" s="4">
        <v>0</v>
      </c>
      <c r="V578" s="4">
        <v>30</v>
      </c>
      <c r="W578" s="4">
        <v>79</v>
      </c>
    </row>
    <row r="579" spans="1:23" ht="11.25" customHeight="1" x14ac:dyDescent="0.25">
      <c r="A579" s="4" t="s">
        <v>21</v>
      </c>
      <c r="B579" s="4" t="s">
        <v>33</v>
      </c>
      <c r="C579" s="4" t="s">
        <v>23</v>
      </c>
      <c r="D579" s="4" t="s">
        <v>46</v>
      </c>
      <c r="E579" s="4" t="s">
        <v>47</v>
      </c>
      <c r="F579" s="4" t="s">
        <v>25</v>
      </c>
      <c r="G579" s="4" t="s">
        <v>25</v>
      </c>
      <c r="H579" s="4" t="s">
        <v>25</v>
      </c>
      <c r="I579" s="5">
        <v>44440</v>
      </c>
      <c r="J579" s="6">
        <v>0</v>
      </c>
      <c r="K579" s="6">
        <v>0</v>
      </c>
      <c r="L579" s="6">
        <v>79.253</v>
      </c>
      <c r="M579" s="6">
        <v>74.497820000000004</v>
      </c>
      <c r="N579" s="6">
        <v>79.253</v>
      </c>
      <c r="O579" s="6">
        <v>74.497820000000004</v>
      </c>
      <c r="P579" s="6">
        <v>28</v>
      </c>
      <c r="Q579" s="4" t="s">
        <v>26</v>
      </c>
      <c r="R579" s="4">
        <v>0</v>
      </c>
      <c r="S579" s="4" t="s">
        <v>212</v>
      </c>
      <c r="T579" s="4" t="s">
        <v>337</v>
      </c>
      <c r="U579" s="4">
        <v>0</v>
      </c>
      <c r="V579" s="4">
        <v>30</v>
      </c>
      <c r="W579" s="4">
        <v>79</v>
      </c>
    </row>
    <row r="580" spans="1:23" ht="11.25" customHeight="1" x14ac:dyDescent="0.25">
      <c r="A580" s="4" t="s">
        <v>21</v>
      </c>
      <c r="B580" s="4" t="s">
        <v>33</v>
      </c>
      <c r="C580" s="4" t="s">
        <v>23</v>
      </c>
      <c r="D580" s="4" t="s">
        <v>46</v>
      </c>
      <c r="E580" s="4" t="s">
        <v>47</v>
      </c>
      <c r="F580" s="4" t="s">
        <v>25</v>
      </c>
      <c r="G580" s="4" t="s">
        <v>25</v>
      </c>
      <c r="H580" s="4" t="s">
        <v>25</v>
      </c>
      <c r="I580" s="5">
        <v>44470</v>
      </c>
      <c r="J580" s="6">
        <v>0</v>
      </c>
      <c r="K580" s="6">
        <v>0</v>
      </c>
      <c r="L580" s="6">
        <v>77.802999999999997</v>
      </c>
      <c r="M580" s="6">
        <v>73.134820000000005</v>
      </c>
      <c r="N580" s="6">
        <v>77.802999999999997</v>
      </c>
      <c r="O580" s="6">
        <v>73.134820000000005</v>
      </c>
      <c r="P580" s="6">
        <v>28</v>
      </c>
      <c r="Q580" s="4" t="s">
        <v>26</v>
      </c>
      <c r="R580" s="4">
        <v>0</v>
      </c>
      <c r="S580" s="4" t="s">
        <v>213</v>
      </c>
      <c r="T580" s="4" t="s">
        <v>338</v>
      </c>
      <c r="U580" s="4">
        <v>0</v>
      </c>
      <c r="V580" s="4">
        <v>30</v>
      </c>
      <c r="W580" s="4">
        <v>79</v>
      </c>
    </row>
    <row r="581" spans="1:23" ht="11.25" customHeight="1" x14ac:dyDescent="0.25">
      <c r="A581" s="4" t="s">
        <v>21</v>
      </c>
      <c r="B581" s="4" t="s">
        <v>33</v>
      </c>
      <c r="C581" s="4" t="s">
        <v>23</v>
      </c>
      <c r="D581" s="4" t="s">
        <v>46</v>
      </c>
      <c r="E581" s="4" t="s">
        <v>47</v>
      </c>
      <c r="F581" s="4" t="s">
        <v>25</v>
      </c>
      <c r="G581" s="4" t="s">
        <v>25</v>
      </c>
      <c r="H581" s="4" t="s">
        <v>25</v>
      </c>
      <c r="I581" s="5">
        <v>44501</v>
      </c>
      <c r="J581" s="6">
        <v>0</v>
      </c>
      <c r="K581" s="6">
        <v>0</v>
      </c>
      <c r="L581" s="6">
        <v>81.462000000000003</v>
      </c>
      <c r="M581" s="6">
        <v>76.574280000000002</v>
      </c>
      <c r="N581" s="6">
        <v>81.462000000000003</v>
      </c>
      <c r="O581" s="6">
        <v>76.574280000000002</v>
      </c>
      <c r="P581" s="6">
        <v>28</v>
      </c>
      <c r="Q581" s="4" t="s">
        <v>26</v>
      </c>
      <c r="R581" s="4">
        <v>0</v>
      </c>
      <c r="S581" s="4" t="s">
        <v>214</v>
      </c>
      <c r="T581" s="4" t="s">
        <v>339</v>
      </c>
      <c r="U581" s="4">
        <v>0</v>
      </c>
      <c r="V581" s="4">
        <v>30</v>
      </c>
      <c r="W581" s="4">
        <v>79</v>
      </c>
    </row>
    <row r="582" spans="1:23" ht="11.25" customHeight="1" x14ac:dyDescent="0.25">
      <c r="A582" s="4" t="s">
        <v>21</v>
      </c>
      <c r="B582" s="4" t="s">
        <v>33</v>
      </c>
      <c r="C582" s="4" t="s">
        <v>23</v>
      </c>
      <c r="D582" s="4" t="s">
        <v>46</v>
      </c>
      <c r="E582" s="4" t="s">
        <v>47</v>
      </c>
      <c r="F582" s="4" t="s">
        <v>25</v>
      </c>
      <c r="G582" s="4" t="s">
        <v>25</v>
      </c>
      <c r="H582" s="4" t="s">
        <v>25</v>
      </c>
      <c r="I582" s="5">
        <v>44531</v>
      </c>
      <c r="J582" s="6">
        <v>0</v>
      </c>
      <c r="K582" s="6">
        <v>0</v>
      </c>
      <c r="L582" s="6">
        <v>85.683000000000007</v>
      </c>
      <c r="M582" s="6">
        <v>80.542019999999994</v>
      </c>
      <c r="N582" s="6">
        <v>85.683000000000007</v>
      </c>
      <c r="O582" s="6">
        <v>80.542019999999994</v>
      </c>
      <c r="P582" s="6">
        <v>28</v>
      </c>
      <c r="Q582" s="4" t="s">
        <v>26</v>
      </c>
      <c r="R582" s="4">
        <v>0</v>
      </c>
      <c r="S582" s="4" t="s">
        <v>215</v>
      </c>
      <c r="T582" s="4" t="s">
        <v>340</v>
      </c>
      <c r="U582" s="4">
        <v>0</v>
      </c>
      <c r="V582" s="4">
        <v>30</v>
      </c>
      <c r="W582" s="4">
        <v>79</v>
      </c>
    </row>
    <row r="583" spans="1:23" ht="11.25" customHeight="1" x14ac:dyDescent="0.25">
      <c r="A583" s="4" t="s">
        <v>21</v>
      </c>
      <c r="B583" s="4" t="s">
        <v>33</v>
      </c>
      <c r="C583" s="4" t="s">
        <v>23</v>
      </c>
      <c r="D583" s="4" t="s">
        <v>46</v>
      </c>
      <c r="E583" s="4" t="s">
        <v>47</v>
      </c>
      <c r="F583" s="4" t="s">
        <v>25</v>
      </c>
      <c r="G583" s="4" t="s">
        <v>25</v>
      </c>
      <c r="H583" s="4" t="s">
        <v>25</v>
      </c>
      <c r="I583" s="5">
        <v>44562</v>
      </c>
      <c r="J583" s="6">
        <v>0</v>
      </c>
      <c r="K583" s="6">
        <v>0</v>
      </c>
      <c r="L583" s="6">
        <v>89</v>
      </c>
      <c r="M583" s="6">
        <v>83.66</v>
      </c>
      <c r="N583" s="6">
        <v>89</v>
      </c>
      <c r="O583" s="6">
        <v>83.66</v>
      </c>
      <c r="P583" s="6">
        <v>28</v>
      </c>
      <c r="Q583" s="4" t="s">
        <v>26</v>
      </c>
      <c r="R583" s="4">
        <v>0</v>
      </c>
      <c r="S583" s="4" t="s">
        <v>216</v>
      </c>
      <c r="T583" s="4" t="s">
        <v>341</v>
      </c>
      <c r="U583" s="4">
        <v>0</v>
      </c>
      <c r="V583" s="4">
        <v>30</v>
      </c>
      <c r="W583" s="4">
        <v>79</v>
      </c>
    </row>
    <row r="584" spans="1:23" ht="11.25" customHeight="1" x14ac:dyDescent="0.25">
      <c r="A584" s="4" t="s">
        <v>21</v>
      </c>
      <c r="B584" s="4" t="s">
        <v>33</v>
      </c>
      <c r="C584" s="4" t="s">
        <v>23</v>
      </c>
      <c r="D584" s="4" t="s">
        <v>46</v>
      </c>
      <c r="E584" s="4" t="s">
        <v>47</v>
      </c>
      <c r="F584" s="4" t="s">
        <v>25</v>
      </c>
      <c r="G584" s="4" t="s">
        <v>25</v>
      </c>
      <c r="H584" s="4" t="s">
        <v>25</v>
      </c>
      <c r="I584" s="5">
        <v>44593</v>
      </c>
      <c r="J584" s="6">
        <v>0</v>
      </c>
      <c r="K584" s="6">
        <v>0</v>
      </c>
      <c r="L584" s="6">
        <v>93.42</v>
      </c>
      <c r="M584" s="6">
        <v>87.814800000000005</v>
      </c>
      <c r="N584" s="6">
        <v>93.42</v>
      </c>
      <c r="O584" s="6">
        <v>87.814800000000005</v>
      </c>
      <c r="P584" s="6">
        <v>28</v>
      </c>
      <c r="Q584" s="4" t="s">
        <v>26</v>
      </c>
      <c r="R584" s="4">
        <v>0</v>
      </c>
      <c r="S584" s="4" t="s">
        <v>217</v>
      </c>
      <c r="T584" s="4" t="s">
        <v>342</v>
      </c>
      <c r="U584" s="4">
        <v>0</v>
      </c>
      <c r="V584" s="4">
        <v>30</v>
      </c>
      <c r="W584" s="4">
        <v>79</v>
      </c>
    </row>
    <row r="585" spans="1:23" ht="11.25" customHeight="1" x14ac:dyDescent="0.25">
      <c r="A585" s="4" t="s">
        <v>21</v>
      </c>
      <c r="B585" s="4" t="s">
        <v>33</v>
      </c>
      <c r="C585" s="4" t="s">
        <v>23</v>
      </c>
      <c r="D585" s="4" t="s">
        <v>46</v>
      </c>
      <c r="E585" s="4" t="s">
        <v>47</v>
      </c>
      <c r="F585" s="4" t="s">
        <v>25</v>
      </c>
      <c r="G585" s="4" t="s">
        <v>25</v>
      </c>
      <c r="H585" s="4" t="s">
        <v>25</v>
      </c>
      <c r="I585" s="5">
        <v>44621</v>
      </c>
      <c r="J585" s="6">
        <v>0</v>
      </c>
      <c r="K585" s="6">
        <v>0</v>
      </c>
      <c r="L585" s="6">
        <v>84.638000000000005</v>
      </c>
      <c r="M585" s="6">
        <v>79.559719999999999</v>
      </c>
      <c r="N585" s="6">
        <v>84.638000000000005</v>
      </c>
      <c r="O585" s="6">
        <v>79.559719999999999</v>
      </c>
      <c r="P585" s="6">
        <v>28</v>
      </c>
      <c r="Q585" s="4" t="s">
        <v>26</v>
      </c>
      <c r="R585" s="4">
        <v>0</v>
      </c>
      <c r="S585" s="4" t="s">
        <v>218</v>
      </c>
      <c r="T585" s="4" t="s">
        <v>343</v>
      </c>
      <c r="U585" s="4">
        <v>0</v>
      </c>
      <c r="V585" s="4">
        <v>30</v>
      </c>
      <c r="W585" s="4">
        <v>79</v>
      </c>
    </row>
    <row r="586" spans="1:23" ht="11.25" customHeight="1" x14ac:dyDescent="0.25">
      <c r="A586" s="4" t="s">
        <v>21</v>
      </c>
      <c r="B586" s="4" t="s">
        <v>33</v>
      </c>
      <c r="C586" s="4" t="s">
        <v>23</v>
      </c>
      <c r="D586" s="4" t="s">
        <v>46</v>
      </c>
      <c r="E586" s="4" t="s">
        <v>47</v>
      </c>
      <c r="F586" s="4" t="s">
        <v>25</v>
      </c>
      <c r="G586" s="4" t="s">
        <v>25</v>
      </c>
      <c r="H586" s="4" t="s">
        <v>25</v>
      </c>
      <c r="I586" s="5">
        <v>44652</v>
      </c>
      <c r="J586" s="6">
        <v>0</v>
      </c>
      <c r="K586" s="6">
        <v>0</v>
      </c>
      <c r="L586" s="6">
        <v>90.352999999999994</v>
      </c>
      <c r="M586" s="6">
        <v>84.931820000000002</v>
      </c>
      <c r="N586" s="6">
        <v>90.352999999999994</v>
      </c>
      <c r="O586" s="6">
        <v>84.931820000000002</v>
      </c>
      <c r="P586" s="6">
        <v>28</v>
      </c>
      <c r="Q586" s="4" t="s">
        <v>26</v>
      </c>
      <c r="R586" s="4">
        <v>0</v>
      </c>
      <c r="S586" s="4" t="s">
        <v>219</v>
      </c>
      <c r="T586" s="4" t="s">
        <v>344</v>
      </c>
      <c r="U586" s="4">
        <v>0</v>
      </c>
      <c r="V586" s="4">
        <v>30</v>
      </c>
      <c r="W586" s="4">
        <v>79</v>
      </c>
    </row>
    <row r="587" spans="1:23" ht="11.25" customHeight="1" x14ac:dyDescent="0.25">
      <c r="A587" s="4" t="s">
        <v>21</v>
      </c>
      <c r="B587" s="4" t="s">
        <v>33</v>
      </c>
      <c r="C587" s="4" t="s">
        <v>23</v>
      </c>
      <c r="D587" s="4" t="s">
        <v>46</v>
      </c>
      <c r="E587" s="4" t="s">
        <v>47</v>
      </c>
      <c r="F587" s="4" t="s">
        <v>25</v>
      </c>
      <c r="G587" s="4" t="s">
        <v>25</v>
      </c>
      <c r="H587" s="4" t="s">
        <v>25</v>
      </c>
      <c r="I587" s="5">
        <v>44682</v>
      </c>
      <c r="J587" s="6">
        <v>0</v>
      </c>
      <c r="K587" s="6">
        <v>0</v>
      </c>
      <c r="L587" s="6">
        <v>86.266000000000005</v>
      </c>
      <c r="M587" s="6">
        <v>81.090040000000002</v>
      </c>
      <c r="N587" s="6">
        <v>86.266000000000005</v>
      </c>
      <c r="O587" s="6">
        <v>81.090040000000002</v>
      </c>
      <c r="P587" s="6">
        <v>28</v>
      </c>
      <c r="Q587" s="4" t="s">
        <v>26</v>
      </c>
      <c r="R587" s="4">
        <v>0</v>
      </c>
      <c r="S587" s="4" t="s">
        <v>220</v>
      </c>
      <c r="T587" s="4" t="s">
        <v>345</v>
      </c>
      <c r="U587" s="4">
        <v>0</v>
      </c>
      <c r="V587" s="4">
        <v>30</v>
      </c>
      <c r="W587" s="4">
        <v>79</v>
      </c>
    </row>
    <row r="588" spans="1:23" ht="11.25" customHeight="1" x14ac:dyDescent="0.25">
      <c r="A588" s="4" t="s">
        <v>21</v>
      </c>
      <c r="B588" s="4" t="s">
        <v>33</v>
      </c>
      <c r="C588" s="4" t="s">
        <v>23</v>
      </c>
      <c r="D588" s="4" t="s">
        <v>46</v>
      </c>
      <c r="E588" s="4" t="s">
        <v>47</v>
      </c>
      <c r="F588" s="4" t="s">
        <v>25</v>
      </c>
      <c r="G588" s="4" t="s">
        <v>25</v>
      </c>
      <c r="H588" s="4" t="s">
        <v>25</v>
      </c>
      <c r="I588" s="5">
        <v>44713</v>
      </c>
      <c r="J588" s="6">
        <v>0</v>
      </c>
      <c r="K588" s="6">
        <v>0</v>
      </c>
      <c r="L588" s="6">
        <v>86.858999999999995</v>
      </c>
      <c r="M588" s="6">
        <v>81.647459999999995</v>
      </c>
      <c r="N588" s="6">
        <v>86.858999999999995</v>
      </c>
      <c r="O588" s="6">
        <v>81.647459999999995</v>
      </c>
      <c r="P588" s="6">
        <v>28</v>
      </c>
      <c r="Q588" s="4" t="s">
        <v>26</v>
      </c>
      <c r="R588" s="4">
        <v>0</v>
      </c>
      <c r="S588" s="4" t="s">
        <v>221</v>
      </c>
      <c r="T588" s="4" t="s">
        <v>346</v>
      </c>
      <c r="U588" s="4">
        <v>0</v>
      </c>
      <c r="V588" s="4">
        <v>30</v>
      </c>
      <c r="W588" s="4">
        <v>79</v>
      </c>
    </row>
    <row r="589" spans="1:23" ht="11.25" customHeight="1" x14ac:dyDescent="0.25">
      <c r="A589" s="4" t="s">
        <v>21</v>
      </c>
      <c r="B589" s="4" t="s">
        <v>43</v>
      </c>
      <c r="C589" s="4" t="s">
        <v>23</v>
      </c>
      <c r="D589" s="4" t="s">
        <v>44</v>
      </c>
      <c r="E589" s="4" t="s">
        <v>45</v>
      </c>
      <c r="F589" s="4" t="s">
        <v>25</v>
      </c>
      <c r="G589" s="4" t="s">
        <v>25</v>
      </c>
      <c r="H589" s="4" t="s">
        <v>25</v>
      </c>
      <c r="I589" s="5">
        <v>44378</v>
      </c>
      <c r="J589" s="6">
        <v>0</v>
      </c>
      <c r="K589" s="6">
        <v>0</v>
      </c>
      <c r="L589" s="6">
        <v>416.529</v>
      </c>
      <c r="M589" s="6">
        <v>416.529</v>
      </c>
      <c r="N589" s="6">
        <v>416.529</v>
      </c>
      <c r="O589" s="6">
        <v>416.529</v>
      </c>
      <c r="P589" s="6">
        <v>66</v>
      </c>
      <c r="Q589" s="4" t="s">
        <v>26</v>
      </c>
      <c r="R589" s="4">
        <v>0</v>
      </c>
      <c r="S589" s="4" t="s">
        <v>222</v>
      </c>
      <c r="T589" s="4" t="s">
        <v>347</v>
      </c>
      <c r="U589" s="4">
        <v>0</v>
      </c>
      <c r="V589" s="4">
        <v>34</v>
      </c>
      <c r="W589" s="4">
        <v>66</v>
      </c>
    </row>
    <row r="590" spans="1:23" ht="11.25" customHeight="1" x14ac:dyDescent="0.25">
      <c r="A590" s="4" t="s">
        <v>21</v>
      </c>
      <c r="B590" s="4" t="s">
        <v>43</v>
      </c>
      <c r="C590" s="4" t="s">
        <v>23</v>
      </c>
      <c r="D590" s="4" t="s">
        <v>44</v>
      </c>
      <c r="E590" s="4" t="s">
        <v>45</v>
      </c>
      <c r="F590" s="4" t="s">
        <v>25</v>
      </c>
      <c r="G590" s="4" t="s">
        <v>25</v>
      </c>
      <c r="H590" s="4" t="s">
        <v>25</v>
      </c>
      <c r="I590" s="5">
        <v>44409</v>
      </c>
      <c r="J590" s="6">
        <v>0</v>
      </c>
      <c r="K590" s="6">
        <v>0</v>
      </c>
      <c r="L590" s="6">
        <v>380.58699999999999</v>
      </c>
      <c r="M590" s="6">
        <v>380.58699999999999</v>
      </c>
      <c r="N590" s="6">
        <v>380.58699999999999</v>
      </c>
      <c r="O590" s="6">
        <v>380.58699999999999</v>
      </c>
      <c r="P590" s="6">
        <v>66</v>
      </c>
      <c r="Q590" s="4" t="s">
        <v>26</v>
      </c>
      <c r="R590" s="4">
        <v>0</v>
      </c>
      <c r="S590" s="4" t="s">
        <v>223</v>
      </c>
      <c r="T590" s="4" t="s">
        <v>348</v>
      </c>
      <c r="U590" s="4">
        <v>0</v>
      </c>
      <c r="V590" s="4">
        <v>34</v>
      </c>
      <c r="W590" s="4">
        <v>66</v>
      </c>
    </row>
    <row r="591" spans="1:23" ht="11.25" customHeight="1" x14ac:dyDescent="0.25">
      <c r="A591" s="4" t="s">
        <v>21</v>
      </c>
      <c r="B591" s="4" t="s">
        <v>43</v>
      </c>
      <c r="C591" s="4" t="s">
        <v>23</v>
      </c>
      <c r="D591" s="4" t="s">
        <v>44</v>
      </c>
      <c r="E591" s="4" t="s">
        <v>45</v>
      </c>
      <c r="F591" s="4" t="s">
        <v>25</v>
      </c>
      <c r="G591" s="4" t="s">
        <v>25</v>
      </c>
      <c r="H591" s="4" t="s">
        <v>25</v>
      </c>
      <c r="I591" s="5">
        <v>44440</v>
      </c>
      <c r="J591" s="6">
        <v>0</v>
      </c>
      <c r="K591" s="6">
        <v>0</v>
      </c>
      <c r="L591" s="6">
        <v>380.05599999999998</v>
      </c>
      <c r="M591" s="6">
        <v>380.05599999999998</v>
      </c>
      <c r="N591" s="6">
        <v>380.05599999999998</v>
      </c>
      <c r="O591" s="6">
        <v>380.05599999999998</v>
      </c>
      <c r="P591" s="6">
        <v>66</v>
      </c>
      <c r="Q591" s="4" t="s">
        <v>26</v>
      </c>
      <c r="R591" s="4">
        <v>0</v>
      </c>
      <c r="S591" s="4" t="s">
        <v>224</v>
      </c>
      <c r="T591" s="4" t="s">
        <v>349</v>
      </c>
      <c r="U591" s="4">
        <v>0</v>
      </c>
      <c r="V591" s="4">
        <v>34</v>
      </c>
      <c r="W591" s="4">
        <v>66</v>
      </c>
    </row>
    <row r="592" spans="1:23" ht="11.25" customHeight="1" x14ac:dyDescent="0.25">
      <c r="A592" s="4" t="s">
        <v>21</v>
      </c>
      <c r="B592" s="4" t="s">
        <v>43</v>
      </c>
      <c r="C592" s="4" t="s">
        <v>23</v>
      </c>
      <c r="D592" s="4" t="s">
        <v>44</v>
      </c>
      <c r="E592" s="4" t="s">
        <v>45</v>
      </c>
      <c r="F592" s="4" t="s">
        <v>25</v>
      </c>
      <c r="G592" s="4" t="s">
        <v>25</v>
      </c>
      <c r="H592" s="4" t="s">
        <v>25</v>
      </c>
      <c r="I592" s="5">
        <v>44470</v>
      </c>
      <c r="J592" s="6">
        <v>0</v>
      </c>
      <c r="K592" s="6">
        <v>0</v>
      </c>
      <c r="L592" s="6">
        <v>378.35599999999999</v>
      </c>
      <c r="M592" s="6">
        <v>378.35599999999999</v>
      </c>
      <c r="N592" s="6">
        <v>378.35599999999999</v>
      </c>
      <c r="O592" s="6">
        <v>378.35599999999999</v>
      </c>
      <c r="P592" s="6">
        <v>66</v>
      </c>
      <c r="Q592" s="4" t="s">
        <v>26</v>
      </c>
      <c r="R592" s="4">
        <v>0</v>
      </c>
      <c r="S592" s="4" t="s">
        <v>225</v>
      </c>
      <c r="T592" s="4" t="s">
        <v>350</v>
      </c>
      <c r="U592" s="4">
        <v>0</v>
      </c>
      <c r="V592" s="4">
        <v>34</v>
      </c>
      <c r="W592" s="4">
        <v>66</v>
      </c>
    </row>
    <row r="593" spans="1:23" ht="11.25" customHeight="1" x14ac:dyDescent="0.25">
      <c r="A593" s="4" t="s">
        <v>21</v>
      </c>
      <c r="B593" s="4" t="s">
        <v>43</v>
      </c>
      <c r="C593" s="4" t="s">
        <v>23</v>
      </c>
      <c r="D593" s="4" t="s">
        <v>44</v>
      </c>
      <c r="E593" s="4" t="s">
        <v>45</v>
      </c>
      <c r="F593" s="4" t="s">
        <v>25</v>
      </c>
      <c r="G593" s="4" t="s">
        <v>25</v>
      </c>
      <c r="H593" s="4" t="s">
        <v>25</v>
      </c>
      <c r="I593" s="5">
        <v>44501</v>
      </c>
      <c r="J593" s="6">
        <v>0</v>
      </c>
      <c r="K593" s="6">
        <v>0</v>
      </c>
      <c r="L593" s="6">
        <v>377.95699999999999</v>
      </c>
      <c r="M593" s="6">
        <v>377.95699999999999</v>
      </c>
      <c r="N593" s="6">
        <v>377.95699999999999</v>
      </c>
      <c r="O593" s="6">
        <v>377.95699999999999</v>
      </c>
      <c r="P593" s="6">
        <v>66</v>
      </c>
      <c r="Q593" s="4" t="s">
        <v>26</v>
      </c>
      <c r="R593" s="4">
        <v>0</v>
      </c>
      <c r="S593" s="4" t="s">
        <v>226</v>
      </c>
      <c r="T593" s="4" t="s">
        <v>351</v>
      </c>
      <c r="U593" s="4">
        <v>0</v>
      </c>
      <c r="V593" s="4">
        <v>34</v>
      </c>
      <c r="W593" s="4">
        <v>66</v>
      </c>
    </row>
    <row r="594" spans="1:23" ht="11.25" customHeight="1" x14ac:dyDescent="0.25">
      <c r="A594" s="4" t="s">
        <v>21</v>
      </c>
      <c r="B594" s="4" t="s">
        <v>43</v>
      </c>
      <c r="C594" s="4" t="s">
        <v>23</v>
      </c>
      <c r="D594" s="4" t="s">
        <v>44</v>
      </c>
      <c r="E594" s="4" t="s">
        <v>45</v>
      </c>
      <c r="F594" s="4" t="s">
        <v>25</v>
      </c>
      <c r="G594" s="4" t="s">
        <v>25</v>
      </c>
      <c r="H594" s="4" t="s">
        <v>25</v>
      </c>
      <c r="I594" s="5">
        <v>44531</v>
      </c>
      <c r="J594" s="6">
        <v>0</v>
      </c>
      <c r="K594" s="6">
        <v>0</v>
      </c>
      <c r="L594" s="6">
        <v>387.53300000000002</v>
      </c>
      <c r="M594" s="6">
        <v>387.53300000000002</v>
      </c>
      <c r="N594" s="6">
        <v>387.53300000000002</v>
      </c>
      <c r="O594" s="6">
        <v>387.53300000000002</v>
      </c>
      <c r="P594" s="6">
        <v>66</v>
      </c>
      <c r="Q594" s="4" t="s">
        <v>26</v>
      </c>
      <c r="R594" s="4">
        <v>0</v>
      </c>
      <c r="S594" s="4" t="s">
        <v>227</v>
      </c>
      <c r="T594" s="4" t="s">
        <v>352</v>
      </c>
      <c r="U594" s="4">
        <v>0</v>
      </c>
      <c r="V594" s="4">
        <v>34</v>
      </c>
      <c r="W594" s="4">
        <v>66</v>
      </c>
    </row>
    <row r="595" spans="1:23" ht="11.25" customHeight="1" x14ac:dyDescent="0.25">
      <c r="A595" s="4" t="s">
        <v>21</v>
      </c>
      <c r="B595" s="4" t="s">
        <v>43</v>
      </c>
      <c r="C595" s="4" t="s">
        <v>23</v>
      </c>
      <c r="D595" s="4" t="s">
        <v>44</v>
      </c>
      <c r="E595" s="4" t="s">
        <v>45</v>
      </c>
      <c r="F595" s="4" t="s">
        <v>25</v>
      </c>
      <c r="G595" s="4" t="s">
        <v>25</v>
      </c>
      <c r="H595" s="4" t="s">
        <v>25</v>
      </c>
      <c r="I595" s="5">
        <v>44562</v>
      </c>
      <c r="J595" s="6">
        <v>0</v>
      </c>
      <c r="K595" s="6">
        <v>0</v>
      </c>
      <c r="L595" s="6">
        <v>391.65499999999997</v>
      </c>
      <c r="M595" s="6">
        <v>391.65499999999997</v>
      </c>
      <c r="N595" s="6">
        <v>391.65499999999997</v>
      </c>
      <c r="O595" s="6">
        <v>391.65499999999997</v>
      </c>
      <c r="P595" s="6">
        <v>66</v>
      </c>
      <c r="Q595" s="4" t="s">
        <v>26</v>
      </c>
      <c r="R595" s="4">
        <v>0</v>
      </c>
      <c r="S595" s="4" t="s">
        <v>228</v>
      </c>
      <c r="T595" s="4" t="s">
        <v>353</v>
      </c>
      <c r="U595" s="4">
        <v>0</v>
      </c>
      <c r="V595" s="4">
        <v>34</v>
      </c>
      <c r="W595" s="4">
        <v>66</v>
      </c>
    </row>
    <row r="596" spans="1:23" ht="11.25" customHeight="1" x14ac:dyDescent="0.25">
      <c r="A596" s="4" t="s">
        <v>21</v>
      </c>
      <c r="B596" s="4" t="s">
        <v>43</v>
      </c>
      <c r="C596" s="4" t="s">
        <v>23</v>
      </c>
      <c r="D596" s="4" t="s">
        <v>44</v>
      </c>
      <c r="E596" s="4" t="s">
        <v>45</v>
      </c>
      <c r="F596" s="4" t="s">
        <v>25</v>
      </c>
      <c r="G596" s="4" t="s">
        <v>25</v>
      </c>
      <c r="H596" s="4" t="s">
        <v>25</v>
      </c>
      <c r="I596" s="5">
        <v>44593</v>
      </c>
      <c r="J596" s="6">
        <v>0</v>
      </c>
      <c r="K596" s="6">
        <v>0</v>
      </c>
      <c r="L596" s="6">
        <v>416.22199999999998</v>
      </c>
      <c r="M596" s="6">
        <v>416.22199999999998</v>
      </c>
      <c r="N596" s="6">
        <v>416.22199999999998</v>
      </c>
      <c r="O596" s="6">
        <v>416.22199999999998</v>
      </c>
      <c r="P596" s="6">
        <v>38</v>
      </c>
      <c r="Q596" s="4" t="s">
        <v>26</v>
      </c>
      <c r="R596" s="4">
        <v>0</v>
      </c>
      <c r="S596" s="4" t="s">
        <v>229</v>
      </c>
      <c r="T596" s="4" t="s">
        <v>354</v>
      </c>
      <c r="U596" s="4">
        <v>0</v>
      </c>
      <c r="V596" s="4">
        <v>34</v>
      </c>
      <c r="W596" s="4">
        <v>66</v>
      </c>
    </row>
    <row r="597" spans="1:23" ht="11.25" customHeight="1" x14ac:dyDescent="0.25">
      <c r="A597" s="4" t="s">
        <v>21</v>
      </c>
      <c r="B597" s="4" t="s">
        <v>43</v>
      </c>
      <c r="C597" s="4" t="s">
        <v>23</v>
      </c>
      <c r="D597" s="4" t="s">
        <v>44</v>
      </c>
      <c r="E597" s="4" t="s">
        <v>45</v>
      </c>
      <c r="F597" s="4" t="s">
        <v>25</v>
      </c>
      <c r="G597" s="4" t="s">
        <v>25</v>
      </c>
      <c r="H597" s="4" t="s">
        <v>25</v>
      </c>
      <c r="I597" s="5">
        <v>44621</v>
      </c>
      <c r="J597" s="6">
        <v>0</v>
      </c>
      <c r="K597" s="6">
        <v>0</v>
      </c>
      <c r="L597" s="6">
        <v>933.61500000000001</v>
      </c>
      <c r="M597" s="6">
        <v>933.61500000000001</v>
      </c>
      <c r="N597" s="6">
        <v>933.61500000000001</v>
      </c>
      <c r="O597" s="6">
        <v>933.61500000000001</v>
      </c>
      <c r="P597" s="6">
        <v>39</v>
      </c>
      <c r="Q597" s="4" t="s">
        <v>26</v>
      </c>
      <c r="R597" s="4">
        <v>0</v>
      </c>
      <c r="S597" s="4" t="s">
        <v>230</v>
      </c>
      <c r="T597" s="4" t="s">
        <v>355</v>
      </c>
      <c r="U597" s="4">
        <v>0</v>
      </c>
      <c r="V597" s="4">
        <v>34</v>
      </c>
      <c r="W597" s="4">
        <v>66</v>
      </c>
    </row>
    <row r="598" spans="1:23" ht="11.25" customHeight="1" x14ac:dyDescent="0.25">
      <c r="A598" s="4" t="s">
        <v>21</v>
      </c>
      <c r="B598" s="4" t="s">
        <v>43</v>
      </c>
      <c r="C598" s="4" t="s">
        <v>23</v>
      </c>
      <c r="D598" s="4" t="s">
        <v>44</v>
      </c>
      <c r="E598" s="4" t="s">
        <v>45</v>
      </c>
      <c r="F598" s="4" t="s">
        <v>25</v>
      </c>
      <c r="G598" s="4" t="s">
        <v>25</v>
      </c>
      <c r="H598" s="4" t="s">
        <v>25</v>
      </c>
      <c r="I598" s="5">
        <v>44652</v>
      </c>
      <c r="J598" s="6">
        <v>0</v>
      </c>
      <c r="K598" s="6">
        <v>0</v>
      </c>
      <c r="L598" s="6">
        <v>415.815</v>
      </c>
      <c r="M598" s="6">
        <v>415.815</v>
      </c>
      <c r="N598" s="6">
        <v>415.815</v>
      </c>
      <c r="O598" s="6">
        <v>415.815</v>
      </c>
      <c r="P598" s="6">
        <v>39</v>
      </c>
      <c r="Q598" s="4" t="s">
        <v>26</v>
      </c>
      <c r="R598" s="4">
        <v>0</v>
      </c>
      <c r="S598" s="4" t="s">
        <v>231</v>
      </c>
      <c r="T598" s="4" t="s">
        <v>356</v>
      </c>
      <c r="U598" s="4">
        <v>0</v>
      </c>
      <c r="V598" s="4">
        <v>34</v>
      </c>
      <c r="W598" s="4">
        <v>66</v>
      </c>
    </row>
    <row r="599" spans="1:23" ht="11.25" customHeight="1" x14ac:dyDescent="0.25">
      <c r="A599" s="4" t="s">
        <v>27</v>
      </c>
      <c r="B599" s="4" t="s">
        <v>43</v>
      </c>
      <c r="C599" s="4" t="s">
        <v>23</v>
      </c>
      <c r="D599" s="4" t="s">
        <v>44</v>
      </c>
      <c r="E599" s="4" t="s">
        <v>45</v>
      </c>
      <c r="F599" s="4" t="s">
        <v>25</v>
      </c>
      <c r="G599" s="4" t="s">
        <v>25</v>
      </c>
      <c r="H599" s="4" t="s">
        <v>25</v>
      </c>
      <c r="I599" s="5">
        <v>44652</v>
      </c>
      <c r="J599" s="6">
        <v>0</v>
      </c>
      <c r="K599" s="6">
        <v>0</v>
      </c>
      <c r="L599" s="6">
        <v>-519.51099999999997</v>
      </c>
      <c r="M599" s="6">
        <v>-519.51099999999997</v>
      </c>
      <c r="N599" s="6">
        <v>-519.51099999999997</v>
      </c>
      <c r="O599" s="6">
        <v>-519.51099999999997</v>
      </c>
      <c r="P599" s="6">
        <v>0</v>
      </c>
      <c r="Q599" s="4" t="s">
        <v>26</v>
      </c>
      <c r="R599" s="4">
        <v>0</v>
      </c>
      <c r="S599" s="4" t="s">
        <v>231</v>
      </c>
      <c r="T599" s="4" t="s">
        <v>356</v>
      </c>
      <c r="U599" s="4">
        <v>0</v>
      </c>
      <c r="V599" s="4">
        <v>34</v>
      </c>
      <c r="W599" s="4">
        <v>66</v>
      </c>
    </row>
    <row r="600" spans="1:23" ht="11.25" customHeight="1" x14ac:dyDescent="0.25">
      <c r="A600" s="4" t="s">
        <v>21</v>
      </c>
      <c r="B600" s="4" t="s">
        <v>43</v>
      </c>
      <c r="C600" s="4" t="s">
        <v>23</v>
      </c>
      <c r="D600" s="4" t="s">
        <v>44</v>
      </c>
      <c r="E600" s="4" t="s">
        <v>45</v>
      </c>
      <c r="F600" s="4" t="s">
        <v>25</v>
      </c>
      <c r="G600" s="4" t="s">
        <v>25</v>
      </c>
      <c r="H600" s="4" t="s">
        <v>25</v>
      </c>
      <c r="I600" s="5">
        <v>44682</v>
      </c>
      <c r="J600" s="6">
        <v>0</v>
      </c>
      <c r="K600" s="6">
        <v>0</v>
      </c>
      <c r="L600" s="6">
        <v>447.61700000000002</v>
      </c>
      <c r="M600" s="6">
        <v>447.61700000000002</v>
      </c>
      <c r="N600" s="6">
        <v>447.61700000000002</v>
      </c>
      <c r="O600" s="6">
        <v>447.61700000000002</v>
      </c>
      <c r="P600" s="6">
        <v>38</v>
      </c>
      <c r="Q600" s="4" t="s">
        <v>26</v>
      </c>
      <c r="R600" s="4">
        <v>0</v>
      </c>
      <c r="S600" s="4" t="s">
        <v>232</v>
      </c>
      <c r="T600" s="4" t="s">
        <v>357</v>
      </c>
      <c r="U600" s="4">
        <v>0</v>
      </c>
      <c r="V600" s="4">
        <v>34</v>
      </c>
      <c r="W600" s="4">
        <v>66</v>
      </c>
    </row>
    <row r="601" spans="1:23" ht="11.25" customHeight="1" x14ac:dyDescent="0.25">
      <c r="A601" s="4" t="s">
        <v>21</v>
      </c>
      <c r="B601" s="4" t="s">
        <v>43</v>
      </c>
      <c r="C601" s="4" t="s">
        <v>23</v>
      </c>
      <c r="D601" s="4" t="s">
        <v>44</v>
      </c>
      <c r="E601" s="4" t="s">
        <v>45</v>
      </c>
      <c r="F601" s="4" t="s">
        <v>25</v>
      </c>
      <c r="G601" s="4" t="s">
        <v>25</v>
      </c>
      <c r="H601" s="4" t="s">
        <v>25</v>
      </c>
      <c r="I601" s="5">
        <v>44713</v>
      </c>
      <c r="J601" s="6">
        <v>0</v>
      </c>
      <c r="K601" s="6">
        <v>0</v>
      </c>
      <c r="L601" s="6">
        <v>433.98200000000003</v>
      </c>
      <c r="M601" s="6">
        <v>433.98200000000003</v>
      </c>
      <c r="N601" s="6">
        <v>433.98200000000003</v>
      </c>
      <c r="O601" s="6">
        <v>433.98200000000003</v>
      </c>
      <c r="P601" s="6">
        <v>38</v>
      </c>
      <c r="Q601" s="4" t="s">
        <v>26</v>
      </c>
      <c r="R601" s="4">
        <v>0</v>
      </c>
      <c r="S601" s="4" t="s">
        <v>233</v>
      </c>
      <c r="T601" s="4" t="s">
        <v>358</v>
      </c>
      <c r="U601" s="4">
        <v>0</v>
      </c>
      <c r="V601" s="4">
        <v>34</v>
      </c>
      <c r="W601" s="4">
        <v>66</v>
      </c>
    </row>
  </sheetData>
  <sortState xmlns:xlrd2="http://schemas.microsoft.com/office/spreadsheetml/2017/richdata2" ref="A2:W601">
    <sortCondition ref="B2:B601"/>
    <sortCondition ref="C2:C601"/>
    <sortCondition ref="D2:D601"/>
    <sortCondition ref="E2:E601"/>
    <sortCondition ref="F2:F601"/>
    <sortCondition ref="H2:H60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0976-DBF3-4DC2-B294-4EEDFF655324}">
  <sheetPr codeName="Planilha2"/>
  <dimension ref="A1:H97"/>
  <sheetViews>
    <sheetView showGridLines="0" workbookViewId="0">
      <selection activeCell="H1" sqref="H1"/>
    </sheetView>
  </sheetViews>
  <sheetFormatPr defaultColWidth="9.140625"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G1" s="7" t="s">
        <v>60</v>
      </c>
      <c r="H1" s="7">
        <f>COUNTA(A:A)</f>
        <v>97</v>
      </c>
    </row>
    <row r="2" spans="1:8" ht="11.25" customHeight="1" x14ac:dyDescent="0.25">
      <c r="A2" s="8" t="s">
        <v>252</v>
      </c>
      <c r="B2" s="8" t="s">
        <v>253</v>
      </c>
      <c r="C2" s="8" t="s">
        <v>254</v>
      </c>
      <c r="D2" s="8">
        <v>35</v>
      </c>
      <c r="E2" s="8" t="s">
        <v>255</v>
      </c>
    </row>
    <row r="3" spans="1:8" ht="11.25" customHeight="1" x14ac:dyDescent="0.25">
      <c r="A3" s="8" t="s">
        <v>252</v>
      </c>
      <c r="B3" s="8" t="s">
        <v>253</v>
      </c>
      <c r="C3" s="8" t="s">
        <v>254</v>
      </c>
      <c r="D3" s="8">
        <v>36</v>
      </c>
      <c r="E3" s="8" t="s">
        <v>255</v>
      </c>
    </row>
    <row r="4" spans="1:8" ht="11.25" customHeight="1" x14ac:dyDescent="0.25">
      <c r="A4" s="8" t="s">
        <v>252</v>
      </c>
      <c r="B4" s="8" t="s">
        <v>253</v>
      </c>
      <c r="C4" s="8" t="s">
        <v>254</v>
      </c>
      <c r="D4" s="8">
        <v>37</v>
      </c>
      <c r="E4" s="8" t="s">
        <v>255</v>
      </c>
    </row>
    <row r="5" spans="1:8" ht="11.25" customHeight="1" x14ac:dyDescent="0.25">
      <c r="A5" s="8" t="s">
        <v>252</v>
      </c>
      <c r="B5" s="8" t="s">
        <v>253</v>
      </c>
      <c r="C5" s="8" t="s">
        <v>254</v>
      </c>
      <c r="D5" s="8">
        <v>38</v>
      </c>
      <c r="E5" s="8" t="s">
        <v>255</v>
      </c>
    </row>
    <row r="6" spans="1:8" ht="11.25" customHeight="1" x14ac:dyDescent="0.25">
      <c r="A6" s="8" t="s">
        <v>252</v>
      </c>
      <c r="B6" s="8" t="s">
        <v>253</v>
      </c>
      <c r="C6" s="8" t="s">
        <v>254</v>
      </c>
      <c r="D6" s="8">
        <v>39</v>
      </c>
      <c r="E6" s="8" t="s">
        <v>255</v>
      </c>
    </row>
    <row r="7" spans="1:8" ht="11.25" customHeight="1" x14ac:dyDescent="0.25">
      <c r="A7" s="8" t="s">
        <v>252</v>
      </c>
      <c r="B7" s="8" t="s">
        <v>253</v>
      </c>
      <c r="C7" s="8" t="s">
        <v>254</v>
      </c>
      <c r="D7" s="8">
        <v>40</v>
      </c>
      <c r="E7" s="8" t="s">
        <v>255</v>
      </c>
    </row>
    <row r="8" spans="1:8" ht="11.25" customHeight="1" x14ac:dyDescent="0.25">
      <c r="A8" s="8" t="s">
        <v>252</v>
      </c>
      <c r="B8" s="8" t="s">
        <v>253</v>
      </c>
      <c r="C8" s="8" t="s">
        <v>254</v>
      </c>
      <c r="D8" s="8">
        <v>41</v>
      </c>
      <c r="E8" s="8" t="s">
        <v>255</v>
      </c>
    </row>
    <row r="9" spans="1:8" ht="11.25" customHeight="1" x14ac:dyDescent="0.25">
      <c r="A9" s="8" t="s">
        <v>252</v>
      </c>
      <c r="B9" s="8" t="s">
        <v>253</v>
      </c>
      <c r="C9" s="8" t="s">
        <v>254</v>
      </c>
      <c r="D9" s="8">
        <v>42</v>
      </c>
      <c r="E9" s="8" t="s">
        <v>255</v>
      </c>
    </row>
    <row r="10" spans="1:8" ht="11.25" customHeight="1" x14ac:dyDescent="0.25">
      <c r="A10" s="8" t="s">
        <v>252</v>
      </c>
      <c r="B10" s="8" t="s">
        <v>253</v>
      </c>
      <c r="C10" s="8" t="s">
        <v>254</v>
      </c>
      <c r="D10" s="8">
        <v>43</v>
      </c>
      <c r="E10" s="8" t="s">
        <v>255</v>
      </c>
    </row>
    <row r="11" spans="1:8" ht="11.25" customHeight="1" x14ac:dyDescent="0.25">
      <c r="A11" s="8" t="s">
        <v>252</v>
      </c>
      <c r="B11" s="8" t="s">
        <v>253</v>
      </c>
      <c r="C11" s="8" t="s">
        <v>254</v>
      </c>
      <c r="D11" s="8">
        <v>44</v>
      </c>
      <c r="E11" s="8" t="s">
        <v>255</v>
      </c>
    </row>
    <row r="12" spans="1:8" ht="11.25" customHeight="1" x14ac:dyDescent="0.25">
      <c r="A12" s="8" t="s">
        <v>252</v>
      </c>
      <c r="B12" s="8" t="s">
        <v>253</v>
      </c>
      <c r="C12" s="8" t="s">
        <v>254</v>
      </c>
      <c r="D12" s="8">
        <v>45</v>
      </c>
      <c r="E12" s="8" t="s">
        <v>255</v>
      </c>
    </row>
    <row r="13" spans="1:8" ht="11.25" customHeight="1" x14ac:dyDescent="0.25">
      <c r="A13" s="8" t="s">
        <v>252</v>
      </c>
      <c r="B13" s="8" t="s">
        <v>253</v>
      </c>
      <c r="C13" s="8" t="s">
        <v>254</v>
      </c>
      <c r="D13" s="8">
        <v>46</v>
      </c>
      <c r="E13" s="8" t="s">
        <v>255</v>
      </c>
    </row>
    <row r="14" spans="1:8" ht="11.25" customHeight="1" x14ac:dyDescent="0.25">
      <c r="A14" s="8" t="s">
        <v>252</v>
      </c>
      <c r="B14" s="8" t="s">
        <v>253</v>
      </c>
      <c r="C14" s="8" t="s">
        <v>254</v>
      </c>
      <c r="D14" s="8">
        <v>47</v>
      </c>
      <c r="E14" s="8" t="s">
        <v>255</v>
      </c>
    </row>
    <row r="15" spans="1:8" ht="11.25" customHeight="1" x14ac:dyDescent="0.25">
      <c r="A15" s="8" t="s">
        <v>252</v>
      </c>
      <c r="B15" s="8" t="s">
        <v>253</v>
      </c>
      <c r="C15" s="8" t="s">
        <v>254</v>
      </c>
      <c r="D15" s="8">
        <v>48</v>
      </c>
      <c r="E15" s="8" t="s">
        <v>255</v>
      </c>
    </row>
    <row r="16" spans="1:8" ht="11.25" customHeight="1" x14ac:dyDescent="0.25">
      <c r="A16" s="8" t="s">
        <v>252</v>
      </c>
      <c r="B16" s="8" t="s">
        <v>253</v>
      </c>
      <c r="C16" s="8" t="s">
        <v>254</v>
      </c>
      <c r="D16" s="8">
        <v>49</v>
      </c>
      <c r="E16" s="8" t="s">
        <v>255</v>
      </c>
    </row>
    <row r="17" spans="1:5" ht="11.25" customHeight="1" x14ac:dyDescent="0.25">
      <c r="A17" s="8" t="s">
        <v>252</v>
      </c>
      <c r="B17" s="8" t="s">
        <v>253</v>
      </c>
      <c r="C17" s="8" t="s">
        <v>254</v>
      </c>
      <c r="D17" s="8">
        <v>50</v>
      </c>
      <c r="E17" s="8" t="s">
        <v>255</v>
      </c>
    </row>
    <row r="18" spans="1:5" ht="11.25" customHeight="1" x14ac:dyDescent="0.25">
      <c r="A18" s="8" t="s">
        <v>252</v>
      </c>
      <c r="B18" s="8" t="s">
        <v>253</v>
      </c>
      <c r="C18" s="8" t="s">
        <v>254</v>
      </c>
      <c r="D18" s="8">
        <v>51</v>
      </c>
      <c r="E18" s="8" t="s">
        <v>255</v>
      </c>
    </row>
    <row r="19" spans="1:5" ht="11.25" customHeight="1" x14ac:dyDescent="0.25">
      <c r="A19" s="8" t="s">
        <v>252</v>
      </c>
      <c r="B19" s="8" t="s">
        <v>253</v>
      </c>
      <c r="C19" s="8" t="s">
        <v>254</v>
      </c>
      <c r="D19" s="8">
        <v>52</v>
      </c>
      <c r="E19" s="8" t="s">
        <v>255</v>
      </c>
    </row>
    <row r="20" spans="1:5" ht="11.25" customHeight="1" x14ac:dyDescent="0.25">
      <c r="A20" s="8" t="s">
        <v>252</v>
      </c>
      <c r="B20" s="8" t="s">
        <v>253</v>
      </c>
      <c r="C20" s="8" t="s">
        <v>254</v>
      </c>
      <c r="D20" s="8">
        <v>53</v>
      </c>
      <c r="E20" s="8" t="s">
        <v>255</v>
      </c>
    </row>
    <row r="21" spans="1:5" ht="11.25" customHeight="1" x14ac:dyDescent="0.25">
      <c r="A21" s="8" t="s">
        <v>252</v>
      </c>
      <c r="B21" s="8" t="s">
        <v>253</v>
      </c>
      <c r="C21" s="8" t="s">
        <v>254</v>
      </c>
      <c r="D21" s="8">
        <v>54</v>
      </c>
      <c r="E21" s="8" t="s">
        <v>255</v>
      </c>
    </row>
    <row r="22" spans="1:5" ht="11.25" customHeight="1" x14ac:dyDescent="0.25">
      <c r="A22" s="8" t="s">
        <v>252</v>
      </c>
      <c r="B22" s="8" t="s">
        <v>253</v>
      </c>
      <c r="C22" s="8" t="s">
        <v>254</v>
      </c>
      <c r="D22" s="8">
        <v>55</v>
      </c>
      <c r="E22" s="8" t="s">
        <v>255</v>
      </c>
    </row>
    <row r="23" spans="1:5" ht="11.25" customHeight="1" x14ac:dyDescent="0.25">
      <c r="A23" s="8" t="s">
        <v>252</v>
      </c>
      <c r="B23" s="8" t="s">
        <v>253</v>
      </c>
      <c r="C23" s="8" t="s">
        <v>254</v>
      </c>
      <c r="D23" s="8">
        <v>56</v>
      </c>
      <c r="E23" s="8" t="s">
        <v>255</v>
      </c>
    </row>
    <row r="24" spans="1:5" ht="11.25" customHeight="1" x14ac:dyDescent="0.25">
      <c r="A24" s="8" t="s">
        <v>252</v>
      </c>
      <c r="B24" s="8" t="s">
        <v>253</v>
      </c>
      <c r="C24" s="8" t="s">
        <v>254</v>
      </c>
      <c r="D24" s="8">
        <v>57</v>
      </c>
      <c r="E24" s="8" t="s">
        <v>255</v>
      </c>
    </row>
    <row r="25" spans="1:5" ht="11.25" customHeight="1" x14ac:dyDescent="0.25">
      <c r="A25" s="8" t="s">
        <v>252</v>
      </c>
      <c r="B25" s="8" t="s">
        <v>253</v>
      </c>
      <c r="C25" s="8" t="s">
        <v>254</v>
      </c>
      <c r="D25" s="8">
        <v>58</v>
      </c>
      <c r="E25" s="8" t="s">
        <v>255</v>
      </c>
    </row>
    <row r="26" spans="1:5" ht="11.25" customHeight="1" x14ac:dyDescent="0.25">
      <c r="A26" s="8" t="s">
        <v>252</v>
      </c>
      <c r="B26" s="8" t="s">
        <v>253</v>
      </c>
      <c r="C26" s="8" t="s">
        <v>254</v>
      </c>
      <c r="D26" s="8">
        <v>59</v>
      </c>
      <c r="E26" s="8" t="s">
        <v>255</v>
      </c>
    </row>
    <row r="27" spans="1:5" ht="11.25" customHeight="1" x14ac:dyDescent="0.25">
      <c r="A27" s="8" t="s">
        <v>252</v>
      </c>
      <c r="B27" s="8" t="s">
        <v>253</v>
      </c>
      <c r="C27" s="8" t="s">
        <v>254</v>
      </c>
      <c r="D27" s="8">
        <v>126</v>
      </c>
      <c r="E27" s="8" t="s">
        <v>255</v>
      </c>
    </row>
    <row r="28" spans="1:5" ht="11.25" customHeight="1" x14ac:dyDescent="0.25">
      <c r="A28" s="8" t="s">
        <v>252</v>
      </c>
      <c r="B28" s="8" t="s">
        <v>253</v>
      </c>
      <c r="C28" s="8" t="s">
        <v>254</v>
      </c>
      <c r="D28" s="8">
        <v>127</v>
      </c>
      <c r="E28" s="8" t="s">
        <v>255</v>
      </c>
    </row>
    <row r="29" spans="1:5" ht="11.25" customHeight="1" x14ac:dyDescent="0.25">
      <c r="A29" s="8" t="s">
        <v>252</v>
      </c>
      <c r="B29" s="8" t="s">
        <v>253</v>
      </c>
      <c r="C29" s="8" t="s">
        <v>254</v>
      </c>
      <c r="D29" s="8">
        <v>128</v>
      </c>
      <c r="E29" s="8" t="s">
        <v>255</v>
      </c>
    </row>
    <row r="30" spans="1:5" ht="11.25" customHeight="1" x14ac:dyDescent="0.25">
      <c r="A30" s="8" t="s">
        <v>252</v>
      </c>
      <c r="B30" s="8" t="s">
        <v>253</v>
      </c>
      <c r="C30" s="8" t="s">
        <v>254</v>
      </c>
      <c r="D30" s="8">
        <v>129</v>
      </c>
      <c r="E30" s="8" t="s">
        <v>255</v>
      </c>
    </row>
    <row r="31" spans="1:5" ht="11.25" customHeight="1" x14ac:dyDescent="0.25">
      <c r="A31" s="8" t="s">
        <v>252</v>
      </c>
      <c r="B31" s="8" t="s">
        <v>253</v>
      </c>
      <c r="C31" s="8" t="s">
        <v>254</v>
      </c>
      <c r="D31" s="8">
        <v>130</v>
      </c>
      <c r="E31" s="8" t="s">
        <v>255</v>
      </c>
    </row>
    <row r="32" spans="1:5" ht="11.25" customHeight="1" x14ac:dyDescent="0.25">
      <c r="A32" s="8" t="s">
        <v>252</v>
      </c>
      <c r="B32" s="8" t="s">
        <v>253</v>
      </c>
      <c r="C32" s="8" t="s">
        <v>254</v>
      </c>
      <c r="D32" s="8">
        <v>131</v>
      </c>
      <c r="E32" s="8" t="s">
        <v>255</v>
      </c>
    </row>
    <row r="33" spans="1:5" ht="11.25" customHeight="1" x14ac:dyDescent="0.25">
      <c r="A33" s="8" t="s">
        <v>252</v>
      </c>
      <c r="B33" s="8" t="s">
        <v>253</v>
      </c>
      <c r="C33" s="8" t="s">
        <v>254</v>
      </c>
      <c r="D33" s="8">
        <v>132</v>
      </c>
      <c r="E33" s="8" t="s">
        <v>255</v>
      </c>
    </row>
    <row r="34" spans="1:5" ht="11.25" customHeight="1" x14ac:dyDescent="0.25">
      <c r="A34" s="8" t="s">
        <v>252</v>
      </c>
      <c r="B34" s="8" t="s">
        <v>253</v>
      </c>
      <c r="C34" s="8" t="s">
        <v>254</v>
      </c>
      <c r="D34" s="8">
        <v>133</v>
      </c>
      <c r="E34" s="8" t="s">
        <v>255</v>
      </c>
    </row>
    <row r="35" spans="1:5" ht="11.25" customHeight="1" x14ac:dyDescent="0.25">
      <c r="A35" s="8" t="s">
        <v>252</v>
      </c>
      <c r="B35" s="8" t="s">
        <v>253</v>
      </c>
      <c r="C35" s="8" t="s">
        <v>254</v>
      </c>
      <c r="D35" s="8">
        <v>134</v>
      </c>
      <c r="E35" s="8" t="s">
        <v>255</v>
      </c>
    </row>
    <row r="36" spans="1:5" ht="11.25" customHeight="1" x14ac:dyDescent="0.25">
      <c r="A36" s="8" t="s">
        <v>252</v>
      </c>
      <c r="B36" s="8" t="s">
        <v>253</v>
      </c>
      <c r="C36" s="8" t="s">
        <v>254</v>
      </c>
      <c r="D36" s="8">
        <v>135</v>
      </c>
      <c r="E36" s="8" t="s">
        <v>255</v>
      </c>
    </row>
    <row r="37" spans="1:5" ht="11.25" customHeight="1" x14ac:dyDescent="0.25">
      <c r="A37" s="8" t="s">
        <v>252</v>
      </c>
      <c r="B37" s="8" t="s">
        <v>253</v>
      </c>
      <c r="C37" s="8" t="s">
        <v>254</v>
      </c>
      <c r="D37" s="8">
        <v>136</v>
      </c>
      <c r="E37" s="8" t="s">
        <v>255</v>
      </c>
    </row>
    <row r="38" spans="1:5" ht="11.25" customHeight="1" x14ac:dyDescent="0.25">
      <c r="A38" s="8" t="s">
        <v>252</v>
      </c>
      <c r="B38" s="8" t="s">
        <v>253</v>
      </c>
      <c r="C38" s="8" t="s">
        <v>254</v>
      </c>
      <c r="D38" s="8">
        <v>137</v>
      </c>
      <c r="E38" s="8" t="s">
        <v>255</v>
      </c>
    </row>
    <row r="39" spans="1:5" ht="11.25" customHeight="1" x14ac:dyDescent="0.25">
      <c r="A39" s="8" t="s">
        <v>252</v>
      </c>
      <c r="B39" s="8" t="s">
        <v>253</v>
      </c>
      <c r="C39" s="8" t="s">
        <v>254</v>
      </c>
      <c r="D39" s="8">
        <v>138</v>
      </c>
      <c r="E39" s="8" t="s">
        <v>255</v>
      </c>
    </row>
    <row r="40" spans="1:5" ht="11.25" customHeight="1" x14ac:dyDescent="0.25">
      <c r="A40" s="8" t="s">
        <v>252</v>
      </c>
      <c r="B40" s="8" t="s">
        <v>253</v>
      </c>
      <c r="C40" s="8" t="s">
        <v>254</v>
      </c>
      <c r="D40" s="8">
        <v>139</v>
      </c>
      <c r="E40" s="8" t="s">
        <v>255</v>
      </c>
    </row>
    <row r="41" spans="1:5" ht="11.25" customHeight="1" x14ac:dyDescent="0.25">
      <c r="A41" s="8" t="s">
        <v>252</v>
      </c>
      <c r="B41" s="8" t="s">
        <v>253</v>
      </c>
      <c r="C41" s="8" t="s">
        <v>254</v>
      </c>
      <c r="D41" s="8">
        <v>140</v>
      </c>
      <c r="E41" s="8" t="s">
        <v>255</v>
      </c>
    </row>
    <row r="42" spans="1:5" ht="11.25" customHeight="1" x14ac:dyDescent="0.25">
      <c r="A42" s="8" t="s">
        <v>252</v>
      </c>
      <c r="B42" s="8" t="s">
        <v>253</v>
      </c>
      <c r="C42" s="8" t="s">
        <v>254</v>
      </c>
      <c r="D42" s="8">
        <v>141</v>
      </c>
      <c r="E42" s="8" t="s">
        <v>255</v>
      </c>
    </row>
    <row r="43" spans="1:5" ht="11.25" customHeight="1" x14ac:dyDescent="0.25">
      <c r="A43" s="8" t="s">
        <v>252</v>
      </c>
      <c r="B43" s="8" t="s">
        <v>253</v>
      </c>
      <c r="C43" s="8" t="s">
        <v>254</v>
      </c>
      <c r="D43" s="8">
        <v>142</v>
      </c>
      <c r="E43" s="8" t="s">
        <v>255</v>
      </c>
    </row>
    <row r="44" spans="1:5" ht="11.25" customHeight="1" x14ac:dyDescent="0.25">
      <c r="A44" s="8" t="s">
        <v>252</v>
      </c>
      <c r="B44" s="8" t="s">
        <v>253</v>
      </c>
      <c r="C44" s="8" t="s">
        <v>254</v>
      </c>
      <c r="D44" s="8">
        <v>143</v>
      </c>
      <c r="E44" s="8" t="s">
        <v>255</v>
      </c>
    </row>
    <row r="45" spans="1:5" ht="11.25" customHeight="1" x14ac:dyDescent="0.25">
      <c r="A45" s="8" t="s">
        <v>252</v>
      </c>
      <c r="B45" s="8" t="s">
        <v>253</v>
      </c>
      <c r="C45" s="8" t="s">
        <v>254</v>
      </c>
      <c r="D45" s="8">
        <v>187</v>
      </c>
      <c r="E45" s="8" t="s">
        <v>255</v>
      </c>
    </row>
    <row r="46" spans="1:5" ht="11.25" customHeight="1" x14ac:dyDescent="0.25">
      <c r="A46" s="8" t="s">
        <v>252</v>
      </c>
      <c r="B46" s="8" t="s">
        <v>253</v>
      </c>
      <c r="C46" s="8" t="s">
        <v>254</v>
      </c>
      <c r="D46" s="8">
        <v>188</v>
      </c>
      <c r="E46" s="8" t="s">
        <v>255</v>
      </c>
    </row>
    <row r="47" spans="1:5" ht="11.25" customHeight="1" x14ac:dyDescent="0.25">
      <c r="A47" s="8" t="s">
        <v>252</v>
      </c>
      <c r="B47" s="8" t="s">
        <v>253</v>
      </c>
      <c r="C47" s="8" t="s">
        <v>254</v>
      </c>
      <c r="D47" s="8">
        <v>189</v>
      </c>
      <c r="E47" s="8" t="s">
        <v>255</v>
      </c>
    </row>
    <row r="48" spans="1:5" ht="11.25" customHeight="1" x14ac:dyDescent="0.25">
      <c r="A48" s="8" t="s">
        <v>252</v>
      </c>
      <c r="B48" s="8" t="s">
        <v>253</v>
      </c>
      <c r="C48" s="8" t="s">
        <v>254</v>
      </c>
      <c r="D48" s="8">
        <v>190</v>
      </c>
      <c r="E48" s="8" t="s">
        <v>255</v>
      </c>
    </row>
    <row r="49" spans="1:5" ht="11.25" customHeight="1" x14ac:dyDescent="0.25">
      <c r="A49" s="8" t="s">
        <v>252</v>
      </c>
      <c r="B49" s="8" t="s">
        <v>253</v>
      </c>
      <c r="C49" s="8" t="s">
        <v>254</v>
      </c>
      <c r="D49" s="8">
        <v>191</v>
      </c>
      <c r="E49" s="8" t="s">
        <v>255</v>
      </c>
    </row>
    <row r="50" spans="1:5" ht="11.25" customHeight="1" x14ac:dyDescent="0.25">
      <c r="A50" s="8" t="s">
        <v>252</v>
      </c>
      <c r="B50" s="8" t="s">
        <v>253</v>
      </c>
      <c r="C50" s="8" t="s">
        <v>254</v>
      </c>
      <c r="D50" s="8">
        <v>192</v>
      </c>
      <c r="E50" s="8" t="s">
        <v>255</v>
      </c>
    </row>
    <row r="51" spans="1:5" ht="11.25" customHeight="1" x14ac:dyDescent="0.25">
      <c r="A51" s="8" t="s">
        <v>252</v>
      </c>
      <c r="B51" s="8" t="s">
        <v>253</v>
      </c>
      <c r="C51" s="8" t="s">
        <v>254</v>
      </c>
      <c r="D51" s="8">
        <v>193</v>
      </c>
      <c r="E51" s="8" t="s">
        <v>255</v>
      </c>
    </row>
    <row r="52" spans="1:5" ht="11.25" customHeight="1" x14ac:dyDescent="0.25">
      <c r="A52" s="8" t="s">
        <v>252</v>
      </c>
      <c r="B52" s="8" t="s">
        <v>253</v>
      </c>
      <c r="C52" s="8" t="s">
        <v>254</v>
      </c>
      <c r="D52" s="8">
        <v>194</v>
      </c>
      <c r="E52" s="8" t="s">
        <v>255</v>
      </c>
    </row>
    <row r="53" spans="1:5" ht="11.25" customHeight="1" x14ac:dyDescent="0.25">
      <c r="A53" s="8" t="s">
        <v>252</v>
      </c>
      <c r="B53" s="8" t="s">
        <v>253</v>
      </c>
      <c r="C53" s="8" t="s">
        <v>254</v>
      </c>
      <c r="D53" s="8">
        <v>195</v>
      </c>
      <c r="E53" s="8" t="s">
        <v>255</v>
      </c>
    </row>
    <row r="54" spans="1:5" ht="11.25" customHeight="1" x14ac:dyDescent="0.25">
      <c r="A54" s="8" t="s">
        <v>252</v>
      </c>
      <c r="B54" s="8" t="s">
        <v>253</v>
      </c>
      <c r="C54" s="8" t="s">
        <v>254</v>
      </c>
      <c r="D54" s="8">
        <v>196</v>
      </c>
      <c r="E54" s="8" t="s">
        <v>255</v>
      </c>
    </row>
    <row r="55" spans="1:5" ht="11.25" customHeight="1" x14ac:dyDescent="0.25">
      <c r="A55" s="8" t="s">
        <v>252</v>
      </c>
      <c r="B55" s="8" t="s">
        <v>253</v>
      </c>
      <c r="C55" s="8" t="s">
        <v>254</v>
      </c>
      <c r="D55" s="8">
        <v>197</v>
      </c>
      <c r="E55" s="8" t="s">
        <v>255</v>
      </c>
    </row>
    <row r="56" spans="1:5" ht="11.25" customHeight="1" x14ac:dyDescent="0.25">
      <c r="A56" s="8" t="s">
        <v>252</v>
      </c>
      <c r="B56" s="8" t="s">
        <v>253</v>
      </c>
      <c r="C56" s="8" t="s">
        <v>254</v>
      </c>
      <c r="D56" s="8">
        <v>198</v>
      </c>
      <c r="E56" s="8" t="s">
        <v>255</v>
      </c>
    </row>
    <row r="57" spans="1:5" ht="11.25" customHeight="1" x14ac:dyDescent="0.25">
      <c r="A57" s="8" t="s">
        <v>252</v>
      </c>
      <c r="B57" s="8" t="s">
        <v>253</v>
      </c>
      <c r="C57" s="8" t="s">
        <v>254</v>
      </c>
      <c r="D57" s="8">
        <v>199</v>
      </c>
      <c r="E57" s="8" t="s">
        <v>255</v>
      </c>
    </row>
    <row r="58" spans="1:5" ht="11.25" customHeight="1" x14ac:dyDescent="0.25">
      <c r="A58" s="8" t="s">
        <v>252</v>
      </c>
      <c r="B58" s="8" t="s">
        <v>253</v>
      </c>
      <c r="C58" s="8" t="s">
        <v>254</v>
      </c>
      <c r="D58" s="8">
        <v>200</v>
      </c>
      <c r="E58" s="8" t="s">
        <v>255</v>
      </c>
    </row>
    <row r="59" spans="1:5" ht="11.25" customHeight="1" x14ac:dyDescent="0.25">
      <c r="A59" s="8" t="s">
        <v>252</v>
      </c>
      <c r="B59" s="8" t="s">
        <v>253</v>
      </c>
      <c r="C59" s="8" t="s">
        <v>254</v>
      </c>
      <c r="D59" s="8">
        <v>201</v>
      </c>
      <c r="E59" s="8" t="s">
        <v>255</v>
      </c>
    </row>
    <row r="60" spans="1:5" ht="11.25" customHeight="1" x14ac:dyDescent="0.25">
      <c r="A60" s="8" t="s">
        <v>252</v>
      </c>
      <c r="B60" s="8" t="s">
        <v>253</v>
      </c>
      <c r="C60" s="8" t="s">
        <v>254</v>
      </c>
      <c r="D60" s="8">
        <v>202</v>
      </c>
      <c r="E60" s="8" t="s">
        <v>255</v>
      </c>
    </row>
    <row r="61" spans="1:5" ht="11.25" customHeight="1" x14ac:dyDescent="0.25">
      <c r="A61" s="8" t="s">
        <v>252</v>
      </c>
      <c r="B61" s="8" t="s">
        <v>253</v>
      </c>
      <c r="C61" s="8" t="s">
        <v>254</v>
      </c>
      <c r="D61" s="8">
        <v>203</v>
      </c>
      <c r="E61" s="8" t="s">
        <v>255</v>
      </c>
    </row>
    <row r="62" spans="1:5" ht="11.25" customHeight="1" x14ac:dyDescent="0.25">
      <c r="A62" s="8" t="s">
        <v>252</v>
      </c>
      <c r="B62" s="8" t="s">
        <v>253</v>
      </c>
      <c r="C62" s="8" t="s">
        <v>254</v>
      </c>
      <c r="D62" s="8">
        <v>204</v>
      </c>
      <c r="E62" s="8" t="s">
        <v>255</v>
      </c>
    </row>
    <row r="63" spans="1:5" ht="11.25" customHeight="1" x14ac:dyDescent="0.25">
      <c r="A63" s="8" t="s">
        <v>252</v>
      </c>
      <c r="B63" s="8" t="s">
        <v>253</v>
      </c>
      <c r="C63" s="8" t="s">
        <v>254</v>
      </c>
      <c r="D63" s="8">
        <v>205</v>
      </c>
      <c r="E63" s="8" t="s">
        <v>255</v>
      </c>
    </row>
    <row r="64" spans="1:5" ht="11.25" customHeight="1" x14ac:dyDescent="0.25">
      <c r="A64" s="8" t="s">
        <v>252</v>
      </c>
      <c r="B64" s="8" t="s">
        <v>253</v>
      </c>
      <c r="C64" s="8" t="s">
        <v>254</v>
      </c>
      <c r="D64" s="8">
        <v>206</v>
      </c>
      <c r="E64" s="8" t="s">
        <v>255</v>
      </c>
    </row>
    <row r="65" spans="1:5" ht="11.25" customHeight="1" x14ac:dyDescent="0.25">
      <c r="A65" s="8" t="s">
        <v>252</v>
      </c>
      <c r="B65" s="8" t="s">
        <v>253</v>
      </c>
      <c r="C65" s="8" t="s">
        <v>254</v>
      </c>
      <c r="D65" s="8">
        <v>207</v>
      </c>
      <c r="E65" s="8" t="s">
        <v>255</v>
      </c>
    </row>
    <row r="66" spans="1:5" ht="11.25" customHeight="1" x14ac:dyDescent="0.25">
      <c r="A66" s="8" t="s">
        <v>252</v>
      </c>
      <c r="B66" s="8" t="s">
        <v>253</v>
      </c>
      <c r="C66" s="8" t="s">
        <v>254</v>
      </c>
      <c r="D66" s="8">
        <v>208</v>
      </c>
      <c r="E66" s="8" t="s">
        <v>255</v>
      </c>
    </row>
    <row r="67" spans="1:5" ht="11.25" customHeight="1" x14ac:dyDescent="0.25">
      <c r="A67" s="8" t="s">
        <v>252</v>
      </c>
      <c r="B67" s="8" t="s">
        <v>253</v>
      </c>
      <c r="C67" s="8" t="s">
        <v>254</v>
      </c>
      <c r="D67" s="8">
        <v>237</v>
      </c>
      <c r="E67" s="8" t="s">
        <v>255</v>
      </c>
    </row>
    <row r="68" spans="1:5" ht="11.25" customHeight="1" x14ac:dyDescent="0.25">
      <c r="A68" s="8" t="s">
        <v>252</v>
      </c>
      <c r="B68" s="8" t="s">
        <v>253</v>
      </c>
      <c r="C68" s="8" t="s">
        <v>254</v>
      </c>
      <c r="D68" s="8">
        <v>238</v>
      </c>
      <c r="E68" s="8" t="s">
        <v>255</v>
      </c>
    </row>
    <row r="69" spans="1:5" ht="11.25" customHeight="1" x14ac:dyDescent="0.25">
      <c r="A69" s="8" t="s">
        <v>252</v>
      </c>
      <c r="B69" s="8" t="s">
        <v>253</v>
      </c>
      <c r="C69" s="8" t="s">
        <v>254</v>
      </c>
      <c r="D69" s="8">
        <v>239</v>
      </c>
      <c r="E69" s="8" t="s">
        <v>255</v>
      </c>
    </row>
    <row r="70" spans="1:5" ht="11.25" customHeight="1" x14ac:dyDescent="0.25">
      <c r="A70" s="8" t="s">
        <v>252</v>
      </c>
      <c r="B70" s="8" t="s">
        <v>253</v>
      </c>
      <c r="C70" s="8" t="s">
        <v>254</v>
      </c>
      <c r="D70" s="8">
        <v>240</v>
      </c>
      <c r="E70" s="8" t="s">
        <v>255</v>
      </c>
    </row>
    <row r="71" spans="1:5" ht="11.25" customHeight="1" x14ac:dyDescent="0.25">
      <c r="A71" s="8" t="s">
        <v>252</v>
      </c>
      <c r="B71" s="8" t="s">
        <v>253</v>
      </c>
      <c r="C71" s="8" t="s">
        <v>254</v>
      </c>
      <c r="D71" s="8">
        <v>241</v>
      </c>
      <c r="E71" s="8" t="s">
        <v>255</v>
      </c>
    </row>
    <row r="72" spans="1:5" ht="11.25" customHeight="1" x14ac:dyDescent="0.25">
      <c r="A72" s="8" t="s">
        <v>252</v>
      </c>
      <c r="B72" s="8" t="s">
        <v>253</v>
      </c>
      <c r="C72" s="8" t="s">
        <v>254</v>
      </c>
      <c r="D72" s="8">
        <v>242</v>
      </c>
      <c r="E72" s="8" t="s">
        <v>255</v>
      </c>
    </row>
    <row r="73" spans="1:5" ht="11.25" customHeight="1" x14ac:dyDescent="0.25">
      <c r="A73" s="8" t="s">
        <v>252</v>
      </c>
      <c r="B73" s="8" t="s">
        <v>253</v>
      </c>
      <c r="C73" s="8" t="s">
        <v>254</v>
      </c>
      <c r="D73" s="8">
        <v>243</v>
      </c>
      <c r="E73" s="8" t="s">
        <v>255</v>
      </c>
    </row>
    <row r="74" spans="1:5" ht="11.25" customHeight="1" x14ac:dyDescent="0.25">
      <c r="A74" s="8" t="s">
        <v>252</v>
      </c>
      <c r="B74" s="8" t="s">
        <v>253</v>
      </c>
      <c r="C74" s="8" t="s">
        <v>254</v>
      </c>
      <c r="D74" s="8">
        <v>244</v>
      </c>
      <c r="E74" s="8" t="s">
        <v>255</v>
      </c>
    </row>
    <row r="75" spans="1:5" ht="11.25" customHeight="1" x14ac:dyDescent="0.25">
      <c r="A75" s="8" t="s">
        <v>252</v>
      </c>
      <c r="B75" s="8" t="s">
        <v>253</v>
      </c>
      <c r="C75" s="8" t="s">
        <v>254</v>
      </c>
      <c r="D75" s="8">
        <v>245</v>
      </c>
      <c r="E75" s="8" t="s">
        <v>255</v>
      </c>
    </row>
    <row r="76" spans="1:5" ht="11.25" customHeight="1" x14ac:dyDescent="0.25">
      <c r="A76" s="8" t="s">
        <v>252</v>
      </c>
      <c r="B76" s="8" t="s">
        <v>253</v>
      </c>
      <c r="C76" s="8" t="s">
        <v>254</v>
      </c>
      <c r="D76" s="8">
        <v>246</v>
      </c>
      <c r="E76" s="8" t="s">
        <v>255</v>
      </c>
    </row>
    <row r="77" spans="1:5" ht="11.25" customHeight="1" x14ac:dyDescent="0.25">
      <c r="A77" s="8" t="s">
        <v>252</v>
      </c>
      <c r="B77" s="8" t="s">
        <v>253</v>
      </c>
      <c r="C77" s="8" t="s">
        <v>254</v>
      </c>
      <c r="D77" s="8">
        <v>247</v>
      </c>
      <c r="E77" s="8" t="s">
        <v>255</v>
      </c>
    </row>
    <row r="78" spans="1:5" ht="11.25" customHeight="1" x14ac:dyDescent="0.25">
      <c r="A78" s="8" t="s">
        <v>252</v>
      </c>
      <c r="B78" s="8" t="s">
        <v>253</v>
      </c>
      <c r="C78" s="8" t="s">
        <v>254</v>
      </c>
      <c r="D78" s="8">
        <v>248</v>
      </c>
      <c r="E78" s="8" t="s">
        <v>255</v>
      </c>
    </row>
    <row r="79" spans="1:5" ht="11.25" customHeight="1" x14ac:dyDescent="0.25">
      <c r="A79" s="8" t="s">
        <v>252</v>
      </c>
      <c r="B79" s="8" t="s">
        <v>253</v>
      </c>
      <c r="C79" s="8" t="s">
        <v>254</v>
      </c>
      <c r="D79" s="8">
        <v>249</v>
      </c>
      <c r="E79" s="8" t="s">
        <v>255</v>
      </c>
    </row>
    <row r="80" spans="1:5" ht="11.25" customHeight="1" x14ac:dyDescent="0.25">
      <c r="A80" s="8" t="s">
        <v>252</v>
      </c>
      <c r="B80" s="8" t="s">
        <v>253</v>
      </c>
      <c r="C80" s="8" t="s">
        <v>254</v>
      </c>
      <c r="D80" s="8">
        <v>250</v>
      </c>
      <c r="E80" s="8" t="s">
        <v>255</v>
      </c>
    </row>
    <row r="81" spans="1:5" ht="11.25" customHeight="1" x14ac:dyDescent="0.25">
      <c r="A81" s="8" t="s">
        <v>252</v>
      </c>
      <c r="B81" s="8" t="s">
        <v>253</v>
      </c>
      <c r="C81" s="8" t="s">
        <v>254</v>
      </c>
      <c r="D81" s="8">
        <v>251</v>
      </c>
      <c r="E81" s="8" t="s">
        <v>255</v>
      </c>
    </row>
    <row r="82" spans="1:5" ht="11.25" customHeight="1" x14ac:dyDescent="0.25">
      <c r="A82" s="8" t="s">
        <v>252</v>
      </c>
      <c r="B82" s="8" t="s">
        <v>253</v>
      </c>
      <c r="C82" s="8" t="s">
        <v>254</v>
      </c>
      <c r="D82" s="8">
        <v>252</v>
      </c>
      <c r="E82" s="8" t="s">
        <v>255</v>
      </c>
    </row>
    <row r="83" spans="1:5" ht="11.25" customHeight="1" x14ac:dyDescent="0.25">
      <c r="A83" s="8" t="s">
        <v>252</v>
      </c>
      <c r="B83" s="8" t="s">
        <v>253</v>
      </c>
      <c r="C83" s="8" t="s">
        <v>254</v>
      </c>
      <c r="D83" s="8">
        <v>253</v>
      </c>
      <c r="E83" s="8" t="s">
        <v>255</v>
      </c>
    </row>
    <row r="84" spans="1:5" ht="11.25" customHeight="1" x14ac:dyDescent="0.25">
      <c r="A84" s="8" t="s">
        <v>252</v>
      </c>
      <c r="B84" s="8" t="s">
        <v>253</v>
      </c>
      <c r="C84" s="8" t="s">
        <v>254</v>
      </c>
      <c r="D84" s="8">
        <v>254</v>
      </c>
      <c r="E84" s="8" t="s">
        <v>255</v>
      </c>
    </row>
    <row r="85" spans="1:5" ht="11.25" customHeight="1" x14ac:dyDescent="0.25">
      <c r="A85" s="8" t="s">
        <v>252</v>
      </c>
      <c r="B85" s="8" t="s">
        <v>253</v>
      </c>
      <c r="C85" s="8" t="s">
        <v>254</v>
      </c>
      <c r="D85" s="8">
        <v>255</v>
      </c>
      <c r="E85" s="8" t="s">
        <v>255</v>
      </c>
    </row>
    <row r="86" spans="1:5" ht="11.25" customHeight="1" x14ac:dyDescent="0.25">
      <c r="A86" s="8" t="s">
        <v>252</v>
      </c>
      <c r="B86" s="8" t="s">
        <v>253</v>
      </c>
      <c r="C86" s="8" t="s">
        <v>254</v>
      </c>
      <c r="D86" s="8">
        <v>256</v>
      </c>
      <c r="E86" s="8" t="s">
        <v>255</v>
      </c>
    </row>
    <row r="87" spans="1:5" ht="11.25" customHeight="1" x14ac:dyDescent="0.25">
      <c r="A87" s="8" t="s">
        <v>252</v>
      </c>
      <c r="B87" s="8" t="s">
        <v>253</v>
      </c>
      <c r="C87" s="8" t="s">
        <v>254</v>
      </c>
      <c r="D87" s="8">
        <v>257</v>
      </c>
      <c r="E87" s="8" t="s">
        <v>255</v>
      </c>
    </row>
    <row r="88" spans="1:5" ht="11.25" customHeight="1" x14ac:dyDescent="0.25">
      <c r="A88" s="8" t="s">
        <v>252</v>
      </c>
      <c r="B88" s="8" t="s">
        <v>253</v>
      </c>
      <c r="C88" s="8" t="s">
        <v>254</v>
      </c>
      <c r="D88" s="8">
        <v>258</v>
      </c>
      <c r="E88" s="8" t="s">
        <v>255</v>
      </c>
    </row>
    <row r="89" spans="1:5" ht="11.25" customHeight="1" x14ac:dyDescent="0.25">
      <c r="A89" s="8" t="s">
        <v>252</v>
      </c>
      <c r="B89" s="8" t="s">
        <v>253</v>
      </c>
      <c r="C89" s="8" t="s">
        <v>254</v>
      </c>
      <c r="D89" s="8">
        <v>259</v>
      </c>
      <c r="E89" s="8" t="s">
        <v>255</v>
      </c>
    </row>
    <row r="90" spans="1:5" ht="11.25" customHeight="1" x14ac:dyDescent="0.25">
      <c r="A90" s="8" t="s">
        <v>252</v>
      </c>
      <c r="B90" s="8" t="s">
        <v>253</v>
      </c>
      <c r="C90" s="8" t="s">
        <v>254</v>
      </c>
      <c r="D90" s="8">
        <v>260</v>
      </c>
      <c r="E90" s="8" t="s">
        <v>255</v>
      </c>
    </row>
    <row r="91" spans="1:5" ht="11.25" customHeight="1" x14ac:dyDescent="0.25">
      <c r="A91" s="8" t="s">
        <v>252</v>
      </c>
      <c r="B91" s="8" t="s">
        <v>253</v>
      </c>
      <c r="C91" s="8" t="s">
        <v>254</v>
      </c>
      <c r="D91" s="8">
        <v>261</v>
      </c>
      <c r="E91" s="8" t="s">
        <v>255</v>
      </c>
    </row>
    <row r="92" spans="1:5" ht="11.25" customHeight="1" x14ac:dyDescent="0.25">
      <c r="A92" s="8" t="s">
        <v>252</v>
      </c>
      <c r="C92" s="8" t="s">
        <v>448</v>
      </c>
      <c r="D92" s="8">
        <v>40</v>
      </c>
      <c r="E92" s="8" t="s">
        <v>9</v>
      </c>
    </row>
    <row r="93" spans="1:5" ht="11.25" customHeight="1" x14ac:dyDescent="0.25">
      <c r="A93" s="8" t="s">
        <v>252</v>
      </c>
      <c r="C93" s="8" t="s">
        <v>448</v>
      </c>
      <c r="D93" s="8">
        <v>40</v>
      </c>
      <c r="E93" s="8" t="s">
        <v>9</v>
      </c>
    </row>
    <row r="94" spans="1:5" ht="11.25" customHeight="1" x14ac:dyDescent="0.25">
      <c r="A94" s="8" t="s">
        <v>252</v>
      </c>
      <c r="C94" s="8" t="s">
        <v>448</v>
      </c>
      <c r="D94" s="8">
        <v>40</v>
      </c>
      <c r="E94" s="8" t="s">
        <v>9</v>
      </c>
    </row>
    <row r="95" spans="1:5" ht="11.25" customHeight="1" x14ac:dyDescent="0.25">
      <c r="A95" s="8" t="s">
        <v>252</v>
      </c>
      <c r="C95" s="8" t="s">
        <v>448</v>
      </c>
      <c r="D95" s="8">
        <v>40</v>
      </c>
      <c r="E95" s="8" t="s">
        <v>9</v>
      </c>
    </row>
    <row r="96" spans="1:5" ht="11.25" customHeight="1" x14ac:dyDescent="0.25">
      <c r="A96" s="8" t="s">
        <v>252</v>
      </c>
      <c r="C96" s="8" t="s">
        <v>448</v>
      </c>
      <c r="D96" s="8">
        <v>40</v>
      </c>
      <c r="E96" s="8" t="s">
        <v>9</v>
      </c>
    </row>
    <row r="97" spans="1:5" ht="11.25" customHeight="1" x14ac:dyDescent="0.25">
      <c r="A97" s="8" t="s">
        <v>252</v>
      </c>
      <c r="C97" s="8" t="s">
        <v>448</v>
      </c>
      <c r="D97" s="8">
        <v>40</v>
      </c>
      <c r="E97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A710-F70C-4972-B81A-B28E51C4AB76}">
  <sheetPr codeName="Planilha3"/>
  <dimension ref="A1:AX88"/>
  <sheetViews>
    <sheetView showGridLines="0" workbookViewId="0"/>
  </sheetViews>
  <sheetFormatPr defaultColWidth="9.140625"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0" t="s">
        <v>508</v>
      </c>
      <c r="B1" s="30" t="s">
        <v>498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499</v>
      </c>
      <c r="K1" s="30" t="s">
        <v>500</v>
      </c>
      <c r="L1" s="30" t="s">
        <v>501</v>
      </c>
      <c r="M1" s="30" t="s">
        <v>502</v>
      </c>
      <c r="N1" s="30" t="s">
        <v>503</v>
      </c>
      <c r="O1" s="30" t="s">
        <v>380</v>
      </c>
      <c r="P1" s="30" t="s">
        <v>366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1">
        <v>1</v>
      </c>
      <c r="B2" s="31" t="s">
        <v>360</v>
      </c>
      <c r="C2" s="31" t="s">
        <v>35</v>
      </c>
      <c r="D2" s="31" t="s">
        <v>36</v>
      </c>
      <c r="E2" s="31" t="s">
        <v>25</v>
      </c>
      <c r="F2" s="31" t="s">
        <v>25</v>
      </c>
      <c r="G2" s="31" t="s">
        <v>78</v>
      </c>
      <c r="H2" s="31" t="s">
        <v>25</v>
      </c>
      <c r="I2" s="31" t="s">
        <v>37</v>
      </c>
      <c r="J2" s="31" t="s">
        <v>504</v>
      </c>
      <c r="K2" s="31" t="s">
        <v>505</v>
      </c>
      <c r="L2" s="31" t="s">
        <v>71</v>
      </c>
      <c r="M2" s="31">
        <v>2021</v>
      </c>
      <c r="N2" s="31">
        <v>0</v>
      </c>
      <c r="O2" s="31">
        <v>1403.55</v>
      </c>
      <c r="P2" s="31">
        <v>0</v>
      </c>
    </row>
    <row r="3" spans="1:50" ht="11.25" customHeight="1" x14ac:dyDescent="0.25">
      <c r="A3" s="31">
        <v>2</v>
      </c>
      <c r="B3" s="31" t="s">
        <v>360</v>
      </c>
      <c r="C3" s="31" t="s">
        <v>22</v>
      </c>
      <c r="D3" s="31" t="s">
        <v>87</v>
      </c>
      <c r="E3" s="31" t="s">
        <v>24</v>
      </c>
      <c r="F3" s="31" t="s">
        <v>24</v>
      </c>
      <c r="G3" s="31" t="s">
        <v>25</v>
      </c>
      <c r="H3" s="31" t="s">
        <v>25</v>
      </c>
      <c r="I3" s="31" t="s">
        <v>25</v>
      </c>
      <c r="J3" s="31" t="s">
        <v>504</v>
      </c>
      <c r="K3" s="31" t="s">
        <v>505</v>
      </c>
      <c r="L3" s="31" t="s">
        <v>71</v>
      </c>
      <c r="M3" s="31">
        <v>2021</v>
      </c>
      <c r="N3" s="31">
        <v>0</v>
      </c>
      <c r="O3" s="31">
        <v>425.75</v>
      </c>
      <c r="P3" s="31">
        <v>60.054646881040803</v>
      </c>
    </row>
    <row r="4" spans="1:50" ht="11.25" customHeight="1" x14ac:dyDescent="0.25">
      <c r="A4" s="31">
        <v>3</v>
      </c>
      <c r="B4" s="31" t="s">
        <v>360</v>
      </c>
      <c r="C4" s="31" t="s">
        <v>35</v>
      </c>
      <c r="D4" s="31" t="s">
        <v>79</v>
      </c>
      <c r="E4" s="31" t="s">
        <v>25</v>
      </c>
      <c r="F4" s="31" t="s">
        <v>25</v>
      </c>
      <c r="G4" s="31" t="s">
        <v>25</v>
      </c>
      <c r="H4" s="31" t="s">
        <v>25</v>
      </c>
      <c r="I4" s="31" t="s">
        <v>25</v>
      </c>
      <c r="J4" s="31" t="s">
        <v>506</v>
      </c>
      <c r="K4" s="31" t="s">
        <v>505</v>
      </c>
      <c r="L4" s="31" t="s">
        <v>74</v>
      </c>
      <c r="M4" s="31">
        <v>2021</v>
      </c>
      <c r="N4" s="31">
        <v>0</v>
      </c>
      <c r="O4" s="31">
        <v>7.11</v>
      </c>
      <c r="P4" s="31">
        <v>0</v>
      </c>
    </row>
    <row r="5" spans="1:50" ht="11.25" customHeight="1" x14ac:dyDescent="0.25">
      <c r="A5" s="31">
        <v>4</v>
      </c>
      <c r="B5" s="31" t="s">
        <v>360</v>
      </c>
      <c r="C5" s="31" t="s">
        <v>22</v>
      </c>
      <c r="D5" s="31" t="s">
        <v>23</v>
      </c>
      <c r="E5" s="31" t="s">
        <v>24</v>
      </c>
      <c r="F5" s="31" t="s">
        <v>24</v>
      </c>
      <c r="G5" s="31" t="s">
        <v>25</v>
      </c>
      <c r="H5" s="31" t="s">
        <v>25</v>
      </c>
      <c r="I5" s="31" t="s">
        <v>25</v>
      </c>
      <c r="J5" s="31" t="s">
        <v>504</v>
      </c>
      <c r="K5" s="31" t="s">
        <v>505</v>
      </c>
      <c r="L5" s="31" t="s">
        <v>71</v>
      </c>
      <c r="M5" s="31">
        <v>2021</v>
      </c>
      <c r="N5" s="31">
        <v>0</v>
      </c>
      <c r="O5" s="31">
        <v>425.75</v>
      </c>
      <c r="P5" s="31">
        <v>60.054646881040803</v>
      </c>
    </row>
    <row r="6" spans="1:50" ht="11.25" customHeight="1" x14ac:dyDescent="0.25">
      <c r="A6" s="31">
        <v>5</v>
      </c>
      <c r="B6" s="31" t="s">
        <v>360</v>
      </c>
      <c r="C6" s="31" t="s">
        <v>35</v>
      </c>
      <c r="D6" s="31" t="s">
        <v>23</v>
      </c>
      <c r="E6" s="31" t="s">
        <v>25</v>
      </c>
      <c r="F6" s="31" t="s">
        <v>25</v>
      </c>
      <c r="G6" s="31" t="s">
        <v>25</v>
      </c>
      <c r="H6" s="31" t="s">
        <v>25</v>
      </c>
      <c r="I6" s="31" t="s">
        <v>25</v>
      </c>
      <c r="J6" s="31" t="s">
        <v>506</v>
      </c>
      <c r="K6" s="31" t="s">
        <v>505</v>
      </c>
      <c r="L6" s="31" t="s">
        <v>74</v>
      </c>
      <c r="M6" s="31">
        <v>2021</v>
      </c>
      <c r="N6" s="31">
        <v>0</v>
      </c>
      <c r="O6" s="31">
        <v>86.95</v>
      </c>
      <c r="P6" s="31">
        <v>0</v>
      </c>
    </row>
    <row r="7" spans="1:50" ht="11.25" customHeight="1" x14ac:dyDescent="0.25">
      <c r="A7" s="31">
        <v>6</v>
      </c>
      <c r="B7" s="31" t="s">
        <v>360</v>
      </c>
      <c r="C7" s="31" t="s">
        <v>22</v>
      </c>
      <c r="D7" s="31" t="s">
        <v>87</v>
      </c>
      <c r="E7" s="31" t="s">
        <v>24</v>
      </c>
      <c r="F7" s="31" t="s">
        <v>30</v>
      </c>
      <c r="G7" s="31" t="s">
        <v>25</v>
      </c>
      <c r="H7" s="31" t="s">
        <v>25</v>
      </c>
      <c r="I7" s="31" t="s">
        <v>25</v>
      </c>
      <c r="J7" s="31" t="s">
        <v>504</v>
      </c>
      <c r="K7" s="31" t="s">
        <v>505</v>
      </c>
      <c r="L7" s="31" t="s">
        <v>71</v>
      </c>
      <c r="M7" s="31">
        <v>2021</v>
      </c>
      <c r="N7" s="31">
        <v>0</v>
      </c>
      <c r="O7" s="31">
        <v>213.82</v>
      </c>
      <c r="P7" s="31">
        <v>0</v>
      </c>
    </row>
    <row r="8" spans="1:50" ht="11.25" customHeight="1" x14ac:dyDescent="0.25">
      <c r="A8" s="31">
        <v>7</v>
      </c>
      <c r="B8" s="31" t="s">
        <v>360</v>
      </c>
      <c r="C8" s="31" t="s">
        <v>35</v>
      </c>
      <c r="D8" s="31" t="s">
        <v>36</v>
      </c>
      <c r="E8" s="31" t="s">
        <v>25</v>
      </c>
      <c r="F8" s="31" t="s">
        <v>25</v>
      </c>
      <c r="G8" s="31" t="s">
        <v>25</v>
      </c>
      <c r="H8" s="31" t="s">
        <v>25</v>
      </c>
      <c r="I8" s="31" t="s">
        <v>37</v>
      </c>
      <c r="J8" s="31" t="s">
        <v>504</v>
      </c>
      <c r="K8" s="31" t="s">
        <v>505</v>
      </c>
      <c r="L8" s="31" t="s">
        <v>71</v>
      </c>
      <c r="M8" s="31">
        <v>2021</v>
      </c>
      <c r="N8" s="31">
        <v>0</v>
      </c>
      <c r="O8" s="31">
        <v>1465.12</v>
      </c>
      <c r="P8" s="31">
        <v>52.247542786505498</v>
      </c>
    </row>
    <row r="9" spans="1:50" ht="11.25" customHeight="1" x14ac:dyDescent="0.25">
      <c r="A9" s="31">
        <v>8</v>
      </c>
      <c r="B9" s="31" t="s">
        <v>360</v>
      </c>
      <c r="C9" s="31" t="s">
        <v>22</v>
      </c>
      <c r="D9" s="31" t="s">
        <v>23</v>
      </c>
      <c r="E9" s="31" t="s">
        <v>24</v>
      </c>
      <c r="F9" s="31" t="s">
        <v>31</v>
      </c>
      <c r="G9" s="31" t="s">
        <v>25</v>
      </c>
      <c r="H9" s="31" t="s">
        <v>25</v>
      </c>
      <c r="I9" s="31" t="s">
        <v>25</v>
      </c>
      <c r="J9" s="31" t="s">
        <v>504</v>
      </c>
      <c r="K9" s="31" t="s">
        <v>505</v>
      </c>
      <c r="L9" s="31" t="s">
        <v>71</v>
      </c>
      <c r="M9" s="31">
        <v>2021</v>
      </c>
      <c r="N9" s="31">
        <v>0</v>
      </c>
      <c r="O9" s="31">
        <v>320.74</v>
      </c>
      <c r="P9" s="31">
        <v>0</v>
      </c>
    </row>
    <row r="10" spans="1:50" ht="11.25" customHeight="1" x14ac:dyDescent="0.25">
      <c r="A10" s="31">
        <v>9</v>
      </c>
      <c r="B10" s="31" t="s">
        <v>360</v>
      </c>
      <c r="C10" s="31" t="s">
        <v>35</v>
      </c>
      <c r="D10" s="31" t="s">
        <v>52</v>
      </c>
      <c r="E10" s="31" t="s">
        <v>25</v>
      </c>
      <c r="F10" s="31" t="s">
        <v>25</v>
      </c>
      <c r="G10" s="31" t="s">
        <v>25</v>
      </c>
      <c r="H10" s="31" t="s">
        <v>25</v>
      </c>
      <c r="I10" s="31" t="s">
        <v>25</v>
      </c>
      <c r="J10" s="31" t="s">
        <v>504</v>
      </c>
      <c r="K10" s="31" t="s">
        <v>505</v>
      </c>
      <c r="L10" s="31" t="s">
        <v>71</v>
      </c>
      <c r="M10" s="31">
        <v>2021</v>
      </c>
      <c r="N10" s="31">
        <v>0</v>
      </c>
      <c r="O10" s="31">
        <v>79.319999999999993</v>
      </c>
      <c r="P10" s="31">
        <v>52.247542786505498</v>
      </c>
    </row>
    <row r="11" spans="1:50" ht="11.25" customHeight="1" x14ac:dyDescent="0.25">
      <c r="A11" s="31">
        <v>10</v>
      </c>
      <c r="B11" s="31" t="s">
        <v>360</v>
      </c>
      <c r="C11" s="31" t="s">
        <v>22</v>
      </c>
      <c r="D11" s="31" t="s">
        <v>85</v>
      </c>
      <c r="E11" s="31" t="s">
        <v>24</v>
      </c>
      <c r="F11" s="31" t="s">
        <v>24</v>
      </c>
      <c r="G11" s="31" t="s">
        <v>25</v>
      </c>
      <c r="H11" s="31" t="s">
        <v>25</v>
      </c>
      <c r="I11" s="31" t="s">
        <v>507</v>
      </c>
      <c r="J11" s="31" t="s">
        <v>504</v>
      </c>
      <c r="K11" s="31" t="s">
        <v>505</v>
      </c>
      <c r="L11" s="31" t="s">
        <v>71</v>
      </c>
      <c r="M11" s="31">
        <v>2021</v>
      </c>
      <c r="N11" s="31">
        <v>0</v>
      </c>
      <c r="O11" s="31">
        <v>585.35</v>
      </c>
      <c r="P11" s="31">
        <v>60.054646881040803</v>
      </c>
    </row>
    <row r="12" spans="1:50" ht="11.25" customHeight="1" x14ac:dyDescent="0.25">
      <c r="A12" s="31">
        <v>11</v>
      </c>
      <c r="B12" s="31" t="s">
        <v>360</v>
      </c>
      <c r="C12" s="31" t="s">
        <v>35</v>
      </c>
      <c r="D12" s="31" t="s">
        <v>36</v>
      </c>
      <c r="E12" s="31" t="s">
        <v>25</v>
      </c>
      <c r="F12" s="31" t="s">
        <v>25</v>
      </c>
      <c r="G12" s="31" t="s">
        <v>25</v>
      </c>
      <c r="H12" s="31" t="s">
        <v>25</v>
      </c>
      <c r="I12" s="31" t="s">
        <v>25</v>
      </c>
      <c r="J12" s="31" t="s">
        <v>506</v>
      </c>
      <c r="K12" s="31" t="s">
        <v>505</v>
      </c>
      <c r="L12" s="31" t="s">
        <v>74</v>
      </c>
      <c r="M12" s="31">
        <v>2021</v>
      </c>
      <c r="N12" s="31">
        <v>0</v>
      </c>
      <c r="O12" s="31">
        <v>45.42</v>
      </c>
      <c r="P12" s="31">
        <v>0</v>
      </c>
    </row>
    <row r="13" spans="1:50" ht="11.25" customHeight="1" x14ac:dyDescent="0.25">
      <c r="A13" s="31">
        <v>12</v>
      </c>
      <c r="B13" s="31" t="s">
        <v>360</v>
      </c>
      <c r="C13" s="31" t="s">
        <v>22</v>
      </c>
      <c r="D13" s="31" t="s">
        <v>23</v>
      </c>
      <c r="E13" s="31" t="s">
        <v>24</v>
      </c>
      <c r="F13" s="31" t="s">
        <v>29</v>
      </c>
      <c r="G13" s="31" t="s">
        <v>25</v>
      </c>
      <c r="H13" s="31" t="s">
        <v>25</v>
      </c>
      <c r="I13" s="31" t="s">
        <v>25</v>
      </c>
      <c r="J13" s="31" t="s">
        <v>504</v>
      </c>
      <c r="K13" s="31" t="s">
        <v>505</v>
      </c>
      <c r="L13" s="31" t="s">
        <v>71</v>
      </c>
      <c r="M13" s="31">
        <v>2021</v>
      </c>
      <c r="N13" s="31">
        <v>0</v>
      </c>
      <c r="O13" s="31">
        <v>124.73</v>
      </c>
      <c r="P13" s="31">
        <v>0</v>
      </c>
    </row>
    <row r="14" spans="1:50" ht="11.25" customHeight="1" x14ac:dyDescent="0.25">
      <c r="A14" s="31">
        <v>13</v>
      </c>
      <c r="B14" s="31" t="s">
        <v>360</v>
      </c>
      <c r="C14" s="31" t="s">
        <v>35</v>
      </c>
      <c r="D14" s="31" t="s">
        <v>36</v>
      </c>
      <c r="E14" s="31" t="s">
        <v>25</v>
      </c>
      <c r="F14" s="31" t="s">
        <v>25</v>
      </c>
      <c r="G14" s="31" t="s">
        <v>78</v>
      </c>
      <c r="H14" s="31" t="s">
        <v>25</v>
      </c>
      <c r="I14" s="31" t="s">
        <v>38</v>
      </c>
      <c r="J14" s="31" t="s">
        <v>504</v>
      </c>
      <c r="K14" s="31" t="s">
        <v>505</v>
      </c>
      <c r="L14" s="31" t="s">
        <v>71</v>
      </c>
      <c r="M14" s="31">
        <v>2021</v>
      </c>
      <c r="N14" s="31">
        <v>0</v>
      </c>
      <c r="O14" s="31">
        <v>17.75</v>
      </c>
      <c r="P14" s="31">
        <v>0</v>
      </c>
    </row>
    <row r="15" spans="1:50" ht="11.25" customHeight="1" x14ac:dyDescent="0.25">
      <c r="A15" s="31">
        <v>14</v>
      </c>
      <c r="B15" s="31" t="s">
        <v>360</v>
      </c>
      <c r="C15" s="31" t="s">
        <v>22</v>
      </c>
      <c r="D15" s="31" t="s">
        <v>23</v>
      </c>
      <c r="E15" s="31" t="s">
        <v>24</v>
      </c>
      <c r="F15" s="31" t="s">
        <v>32</v>
      </c>
      <c r="G15" s="31" t="s">
        <v>25</v>
      </c>
      <c r="H15" s="31" t="s">
        <v>25</v>
      </c>
      <c r="I15" s="31" t="s">
        <v>25</v>
      </c>
      <c r="J15" s="31" t="s">
        <v>504</v>
      </c>
      <c r="K15" s="31" t="s">
        <v>505</v>
      </c>
      <c r="L15" s="31" t="s">
        <v>71</v>
      </c>
      <c r="M15" s="31">
        <v>2021</v>
      </c>
      <c r="N15" s="31">
        <v>0</v>
      </c>
      <c r="O15" s="31">
        <v>356.37</v>
      </c>
      <c r="P15" s="31">
        <v>0</v>
      </c>
    </row>
    <row r="16" spans="1:50" ht="11.25" customHeight="1" x14ac:dyDescent="0.25">
      <c r="A16" s="31">
        <v>15</v>
      </c>
      <c r="B16" s="31" t="s">
        <v>360</v>
      </c>
      <c r="C16" s="31" t="s">
        <v>35</v>
      </c>
      <c r="D16" s="31" t="s">
        <v>36</v>
      </c>
      <c r="E16" s="31" t="s">
        <v>25</v>
      </c>
      <c r="F16" s="31" t="s">
        <v>25</v>
      </c>
      <c r="G16" s="31" t="s">
        <v>25</v>
      </c>
      <c r="H16" s="31" t="s">
        <v>25</v>
      </c>
      <c r="I16" s="31" t="s">
        <v>38</v>
      </c>
      <c r="J16" s="31" t="s">
        <v>504</v>
      </c>
      <c r="K16" s="31" t="s">
        <v>505</v>
      </c>
      <c r="L16" s="31" t="s">
        <v>71</v>
      </c>
      <c r="M16" s="31">
        <v>2021</v>
      </c>
      <c r="N16" s="31">
        <v>0</v>
      </c>
      <c r="O16" s="31">
        <v>79.319999999999993</v>
      </c>
      <c r="P16" s="31">
        <v>52.247542786505498</v>
      </c>
    </row>
    <row r="17" spans="1:16" ht="11.25" customHeight="1" x14ac:dyDescent="0.25">
      <c r="A17" s="31">
        <v>16</v>
      </c>
      <c r="B17" s="31" t="s">
        <v>360</v>
      </c>
      <c r="C17" s="31" t="s">
        <v>35</v>
      </c>
      <c r="D17" s="31" t="s">
        <v>52</v>
      </c>
      <c r="E17" s="31" t="s">
        <v>25</v>
      </c>
      <c r="F17" s="31" t="s">
        <v>25</v>
      </c>
      <c r="G17" s="31" t="s">
        <v>25</v>
      </c>
      <c r="H17" s="31" t="s">
        <v>25</v>
      </c>
      <c r="I17" s="31" t="s">
        <v>38</v>
      </c>
      <c r="J17" s="31" t="s">
        <v>506</v>
      </c>
      <c r="K17" s="31" t="s">
        <v>505</v>
      </c>
      <c r="L17" s="31" t="s">
        <v>74</v>
      </c>
      <c r="M17" s="31">
        <v>2021</v>
      </c>
      <c r="N17" s="31">
        <v>0</v>
      </c>
      <c r="O17" s="31">
        <v>45.42</v>
      </c>
      <c r="P17" s="31">
        <v>0</v>
      </c>
    </row>
    <row r="18" spans="1:16" ht="11.25" customHeight="1" x14ac:dyDescent="0.25">
      <c r="A18" s="31">
        <v>17</v>
      </c>
      <c r="B18" s="31" t="s">
        <v>360</v>
      </c>
      <c r="C18" s="31" t="s">
        <v>35</v>
      </c>
      <c r="D18" s="31" t="s">
        <v>52</v>
      </c>
      <c r="E18" s="31" t="s">
        <v>25</v>
      </c>
      <c r="F18" s="31" t="s">
        <v>25</v>
      </c>
      <c r="G18" s="31" t="s">
        <v>78</v>
      </c>
      <c r="H18" s="31" t="s">
        <v>25</v>
      </c>
      <c r="I18" s="31" t="s">
        <v>25</v>
      </c>
      <c r="J18" s="31" t="s">
        <v>504</v>
      </c>
      <c r="K18" s="31" t="s">
        <v>505</v>
      </c>
      <c r="L18" s="31" t="s">
        <v>71</v>
      </c>
      <c r="M18" s="31">
        <v>2021</v>
      </c>
      <c r="N18" s="31">
        <v>0</v>
      </c>
      <c r="O18" s="31">
        <v>17.75</v>
      </c>
      <c r="P18" s="31">
        <v>0</v>
      </c>
    </row>
    <row r="19" spans="1:16" ht="11.25" customHeight="1" x14ac:dyDescent="0.25">
      <c r="A19" s="31">
        <v>18</v>
      </c>
      <c r="B19" s="31" t="s">
        <v>360</v>
      </c>
      <c r="C19" s="31" t="s">
        <v>22</v>
      </c>
      <c r="D19" s="31" t="s">
        <v>85</v>
      </c>
      <c r="E19" s="31" t="s">
        <v>24</v>
      </c>
      <c r="F19" s="31" t="s">
        <v>24</v>
      </c>
      <c r="G19" s="31" t="s">
        <v>25</v>
      </c>
      <c r="H19" s="31" t="s">
        <v>25</v>
      </c>
      <c r="I19" s="31" t="s">
        <v>38</v>
      </c>
      <c r="J19" s="31" t="s">
        <v>504</v>
      </c>
      <c r="K19" s="31" t="s">
        <v>505</v>
      </c>
      <c r="L19" s="31" t="s">
        <v>71</v>
      </c>
      <c r="M19" s="31">
        <v>2021</v>
      </c>
      <c r="N19" s="31">
        <v>0</v>
      </c>
      <c r="O19" s="31">
        <v>266.04000000000002</v>
      </c>
      <c r="P19" s="31">
        <v>60.054646881040803</v>
      </c>
    </row>
    <row r="20" spans="1:16" ht="11.25" customHeight="1" x14ac:dyDescent="0.25">
      <c r="A20" s="31">
        <v>19</v>
      </c>
      <c r="B20" s="31" t="s">
        <v>360</v>
      </c>
      <c r="C20" s="31" t="s">
        <v>22</v>
      </c>
      <c r="D20" s="31" t="s">
        <v>87</v>
      </c>
      <c r="E20" s="31" t="s">
        <v>24</v>
      </c>
      <c r="F20" s="31" t="s">
        <v>29</v>
      </c>
      <c r="G20" s="31" t="s">
        <v>25</v>
      </c>
      <c r="H20" s="31" t="s">
        <v>25</v>
      </c>
      <c r="I20" s="31" t="s">
        <v>25</v>
      </c>
      <c r="J20" s="31" t="s">
        <v>504</v>
      </c>
      <c r="K20" s="31" t="s">
        <v>505</v>
      </c>
      <c r="L20" s="31" t="s">
        <v>71</v>
      </c>
      <c r="M20" s="31">
        <v>2021</v>
      </c>
      <c r="N20" s="31">
        <v>0</v>
      </c>
      <c r="O20" s="31">
        <v>124.73</v>
      </c>
      <c r="P20" s="31">
        <v>0</v>
      </c>
    </row>
    <row r="21" spans="1:16" ht="11.25" customHeight="1" x14ac:dyDescent="0.25">
      <c r="A21" s="31">
        <v>20</v>
      </c>
      <c r="B21" s="31" t="s">
        <v>360</v>
      </c>
      <c r="C21" s="31" t="s">
        <v>35</v>
      </c>
      <c r="D21" s="31" t="s">
        <v>23</v>
      </c>
      <c r="E21" s="31" t="s">
        <v>25</v>
      </c>
      <c r="F21" s="31" t="s">
        <v>25</v>
      </c>
      <c r="G21" s="31" t="s">
        <v>25</v>
      </c>
      <c r="H21" s="31" t="s">
        <v>25</v>
      </c>
      <c r="I21" s="31" t="s">
        <v>25</v>
      </c>
      <c r="J21" s="31" t="s">
        <v>504</v>
      </c>
      <c r="K21" s="31" t="s">
        <v>505</v>
      </c>
      <c r="L21" s="31" t="s">
        <v>71</v>
      </c>
      <c r="M21" s="31">
        <v>2021</v>
      </c>
      <c r="N21" s="31">
        <v>0</v>
      </c>
      <c r="O21" s="31">
        <v>79.319999999999993</v>
      </c>
      <c r="P21" s="31">
        <v>52.247542786505498</v>
      </c>
    </row>
    <row r="22" spans="1:16" ht="11.25" customHeight="1" x14ac:dyDescent="0.25">
      <c r="A22" s="31">
        <v>21</v>
      </c>
      <c r="B22" s="31" t="s">
        <v>360</v>
      </c>
      <c r="C22" s="31" t="s">
        <v>35</v>
      </c>
      <c r="D22" s="31" t="s">
        <v>52</v>
      </c>
      <c r="E22" s="31" t="s">
        <v>25</v>
      </c>
      <c r="F22" s="31" t="s">
        <v>25</v>
      </c>
      <c r="G22" s="31" t="s">
        <v>25</v>
      </c>
      <c r="H22" s="31" t="s">
        <v>25</v>
      </c>
      <c r="I22" s="31" t="s">
        <v>37</v>
      </c>
      <c r="J22" s="31" t="s">
        <v>506</v>
      </c>
      <c r="K22" s="31" t="s">
        <v>505</v>
      </c>
      <c r="L22" s="31" t="s">
        <v>74</v>
      </c>
      <c r="M22" s="31">
        <v>2021</v>
      </c>
      <c r="N22" s="31">
        <v>0</v>
      </c>
      <c r="O22" s="31">
        <v>57.56</v>
      </c>
      <c r="P22" s="31">
        <v>0</v>
      </c>
    </row>
    <row r="23" spans="1:16" ht="11.25" customHeight="1" x14ac:dyDescent="0.25">
      <c r="A23" s="31">
        <v>22</v>
      </c>
      <c r="B23" s="31" t="s">
        <v>360</v>
      </c>
      <c r="C23" s="31" t="s">
        <v>80</v>
      </c>
      <c r="D23" s="31" t="s">
        <v>79</v>
      </c>
      <c r="E23" s="31" t="s">
        <v>25</v>
      </c>
      <c r="F23" s="31" t="s">
        <v>25</v>
      </c>
      <c r="G23" s="31" t="s">
        <v>82</v>
      </c>
      <c r="H23" s="31" t="s">
        <v>25</v>
      </c>
      <c r="I23" s="31" t="s">
        <v>25</v>
      </c>
      <c r="J23" s="31" t="s">
        <v>506</v>
      </c>
      <c r="K23" s="31" t="s">
        <v>505</v>
      </c>
      <c r="L23" s="31" t="s">
        <v>74</v>
      </c>
      <c r="M23" s="31">
        <v>2021</v>
      </c>
      <c r="N23" s="31">
        <v>0</v>
      </c>
      <c r="O23" s="31">
        <v>11.07</v>
      </c>
      <c r="P23" s="31">
        <v>0</v>
      </c>
    </row>
    <row r="24" spans="1:16" ht="11.25" customHeight="1" x14ac:dyDescent="0.25">
      <c r="A24" s="31">
        <v>23</v>
      </c>
      <c r="B24" s="31" t="s">
        <v>360</v>
      </c>
      <c r="C24" s="31" t="s">
        <v>40</v>
      </c>
      <c r="D24" s="31" t="s">
        <v>85</v>
      </c>
      <c r="E24" s="31" t="s">
        <v>41</v>
      </c>
      <c r="F24" s="31" t="s">
        <v>88</v>
      </c>
      <c r="G24" s="31" t="s">
        <v>25</v>
      </c>
      <c r="H24" s="31" t="s">
        <v>25</v>
      </c>
      <c r="I24" s="31" t="s">
        <v>37</v>
      </c>
      <c r="J24" s="31" t="s">
        <v>504</v>
      </c>
      <c r="K24" s="31" t="s">
        <v>505</v>
      </c>
      <c r="L24" s="31" t="s">
        <v>71</v>
      </c>
      <c r="M24" s="31">
        <v>2021</v>
      </c>
      <c r="N24" s="31">
        <v>0</v>
      </c>
      <c r="O24" s="31">
        <v>824.11</v>
      </c>
      <c r="P24" s="31">
        <v>52.848089255315898</v>
      </c>
    </row>
    <row r="25" spans="1:16" ht="11.25" customHeight="1" x14ac:dyDescent="0.25">
      <c r="A25" s="31">
        <v>24</v>
      </c>
      <c r="B25" s="31" t="s">
        <v>360</v>
      </c>
      <c r="C25" s="31" t="s">
        <v>33</v>
      </c>
      <c r="D25" s="31" t="s">
        <v>85</v>
      </c>
      <c r="E25" s="31" t="s">
        <v>25</v>
      </c>
      <c r="F25" s="31" t="s">
        <v>25</v>
      </c>
      <c r="G25" s="31" t="s">
        <v>25</v>
      </c>
      <c r="H25" s="31" t="s">
        <v>25</v>
      </c>
      <c r="I25" s="31" t="s">
        <v>38</v>
      </c>
      <c r="J25" s="31" t="s">
        <v>504</v>
      </c>
      <c r="K25" s="31" t="s">
        <v>505</v>
      </c>
      <c r="L25" s="31" t="s">
        <v>71</v>
      </c>
      <c r="M25" s="31">
        <v>2021</v>
      </c>
      <c r="N25" s="31">
        <v>0</v>
      </c>
      <c r="O25" s="31">
        <v>297.98</v>
      </c>
      <c r="P25" s="31">
        <v>60.054646881040803</v>
      </c>
    </row>
    <row r="26" spans="1:16" ht="11.25" customHeight="1" x14ac:dyDescent="0.25">
      <c r="A26" s="31">
        <v>25</v>
      </c>
      <c r="B26" s="31" t="s">
        <v>360</v>
      </c>
      <c r="C26" s="31" t="s">
        <v>40</v>
      </c>
      <c r="D26" s="31" t="s">
        <v>85</v>
      </c>
      <c r="E26" s="31" t="s">
        <v>41</v>
      </c>
      <c r="F26" s="31" t="s">
        <v>88</v>
      </c>
      <c r="G26" s="31" t="s">
        <v>25</v>
      </c>
      <c r="H26" s="31" t="s">
        <v>25</v>
      </c>
      <c r="I26" s="31" t="s">
        <v>38</v>
      </c>
      <c r="J26" s="31" t="s">
        <v>504</v>
      </c>
      <c r="K26" s="31" t="s">
        <v>505</v>
      </c>
      <c r="L26" s="31" t="s">
        <v>71</v>
      </c>
      <c r="M26" s="31">
        <v>2021</v>
      </c>
      <c r="N26" s="31">
        <v>0</v>
      </c>
      <c r="O26" s="31">
        <v>239.75</v>
      </c>
      <c r="P26" s="31">
        <v>52.848089255315898</v>
      </c>
    </row>
    <row r="27" spans="1:16" ht="11.25" customHeight="1" x14ac:dyDescent="0.25">
      <c r="A27" s="31">
        <v>26</v>
      </c>
      <c r="B27" s="31" t="s">
        <v>360</v>
      </c>
      <c r="C27" s="31" t="s">
        <v>33</v>
      </c>
      <c r="D27" s="31" t="s">
        <v>87</v>
      </c>
      <c r="E27" s="31" t="s">
        <v>25</v>
      </c>
      <c r="F27" s="31" t="s">
        <v>25</v>
      </c>
      <c r="G27" s="31" t="s">
        <v>25</v>
      </c>
      <c r="H27" s="31" t="s">
        <v>25</v>
      </c>
      <c r="I27" s="31" t="s">
        <v>25</v>
      </c>
      <c r="J27" s="31" t="s">
        <v>504</v>
      </c>
      <c r="K27" s="31" t="s">
        <v>505</v>
      </c>
      <c r="L27" s="31" t="s">
        <v>71</v>
      </c>
      <c r="M27" s="31">
        <v>2021</v>
      </c>
      <c r="N27" s="31">
        <v>0</v>
      </c>
      <c r="O27" s="31">
        <v>425.75</v>
      </c>
      <c r="P27" s="31">
        <v>60.054646881040803</v>
      </c>
    </row>
    <row r="28" spans="1:16" ht="11.25" customHeight="1" x14ac:dyDescent="0.25">
      <c r="A28" s="31">
        <v>27</v>
      </c>
      <c r="B28" s="31" t="s">
        <v>360</v>
      </c>
      <c r="C28" s="31" t="s">
        <v>40</v>
      </c>
      <c r="D28" s="31" t="s">
        <v>85</v>
      </c>
      <c r="E28" s="31" t="s">
        <v>41</v>
      </c>
      <c r="F28" s="31" t="s">
        <v>89</v>
      </c>
      <c r="G28" s="31" t="s">
        <v>25</v>
      </c>
      <c r="H28" s="31" t="s">
        <v>25</v>
      </c>
      <c r="I28" s="31" t="s">
        <v>38</v>
      </c>
      <c r="J28" s="31" t="s">
        <v>504</v>
      </c>
      <c r="K28" s="31" t="s">
        <v>505</v>
      </c>
      <c r="L28" s="31" t="s">
        <v>71</v>
      </c>
      <c r="M28" s="31">
        <v>2021</v>
      </c>
      <c r="N28" s="31">
        <v>0</v>
      </c>
      <c r="O28" s="31">
        <v>228.86</v>
      </c>
      <c r="P28" s="31">
        <v>50.445903380074299</v>
      </c>
    </row>
    <row r="29" spans="1:16" ht="11.25" customHeight="1" x14ac:dyDescent="0.25">
      <c r="A29" s="31">
        <v>28</v>
      </c>
      <c r="B29" s="31" t="s">
        <v>388</v>
      </c>
      <c r="C29" s="31" t="s">
        <v>35</v>
      </c>
      <c r="D29" s="31" t="s">
        <v>70</v>
      </c>
      <c r="E29" s="31" t="s">
        <v>25</v>
      </c>
      <c r="F29" s="31" t="s">
        <v>25</v>
      </c>
      <c r="G29" s="31" t="s">
        <v>25</v>
      </c>
      <c r="H29" s="31" t="s">
        <v>25</v>
      </c>
      <c r="I29" s="31" t="s">
        <v>38</v>
      </c>
      <c r="J29" s="31" t="s">
        <v>504</v>
      </c>
      <c r="K29" s="31" t="s">
        <v>505</v>
      </c>
      <c r="L29" s="31" t="s">
        <v>71</v>
      </c>
      <c r="M29" s="31">
        <v>2021</v>
      </c>
      <c r="N29" s="31">
        <v>0</v>
      </c>
      <c r="O29" s="31">
        <v>252.22</v>
      </c>
      <c r="P29" s="31"/>
    </row>
    <row r="30" spans="1:16" ht="11.25" customHeight="1" x14ac:dyDescent="0.25">
      <c r="A30" s="31">
        <v>29</v>
      </c>
      <c r="B30" s="31" t="s">
        <v>360</v>
      </c>
      <c r="C30" s="31" t="s">
        <v>22</v>
      </c>
      <c r="D30" s="31" t="s">
        <v>85</v>
      </c>
      <c r="E30" s="31" t="s">
        <v>24</v>
      </c>
      <c r="F30" s="31" t="s">
        <v>24</v>
      </c>
      <c r="G30" s="31" t="s">
        <v>25</v>
      </c>
      <c r="H30" s="31" t="s">
        <v>25</v>
      </c>
      <c r="I30" s="31" t="s">
        <v>37</v>
      </c>
      <c r="J30" s="31" t="s">
        <v>504</v>
      </c>
      <c r="K30" s="31" t="s">
        <v>505</v>
      </c>
      <c r="L30" s="31" t="s">
        <v>71</v>
      </c>
      <c r="M30" s="31">
        <v>2021</v>
      </c>
      <c r="N30" s="31">
        <v>0</v>
      </c>
      <c r="O30" s="31">
        <v>904.54</v>
      </c>
      <c r="P30" s="31">
        <v>60.054646881040803</v>
      </c>
    </row>
    <row r="31" spans="1:16" ht="11.25" customHeight="1" x14ac:dyDescent="0.25">
      <c r="A31" s="31">
        <v>30</v>
      </c>
      <c r="B31" s="31" t="s">
        <v>360</v>
      </c>
      <c r="C31" s="31" t="s">
        <v>33</v>
      </c>
      <c r="D31" s="31" t="s">
        <v>23</v>
      </c>
      <c r="E31" s="31" t="s">
        <v>25</v>
      </c>
      <c r="F31" s="31" t="s">
        <v>25</v>
      </c>
      <c r="G31" s="31" t="s">
        <v>25</v>
      </c>
      <c r="H31" s="31" t="s">
        <v>25</v>
      </c>
      <c r="I31" s="31" t="s">
        <v>25</v>
      </c>
      <c r="J31" s="31" t="s">
        <v>504</v>
      </c>
      <c r="K31" s="31" t="s">
        <v>505</v>
      </c>
      <c r="L31" s="31" t="s">
        <v>71</v>
      </c>
      <c r="M31" s="31">
        <v>2021</v>
      </c>
      <c r="N31" s="31">
        <v>0</v>
      </c>
      <c r="O31" s="31">
        <v>425.75</v>
      </c>
      <c r="P31" s="31">
        <v>60.054646881040803</v>
      </c>
    </row>
    <row r="32" spans="1:16" ht="11.25" customHeight="1" x14ac:dyDescent="0.25">
      <c r="A32" s="31">
        <v>31</v>
      </c>
      <c r="B32" s="31" t="s">
        <v>360</v>
      </c>
      <c r="C32" s="31" t="s">
        <v>80</v>
      </c>
      <c r="D32" s="31" t="s">
        <v>79</v>
      </c>
      <c r="E32" s="31" t="s">
        <v>25</v>
      </c>
      <c r="F32" s="31" t="s">
        <v>25</v>
      </c>
      <c r="G32" s="31" t="s">
        <v>81</v>
      </c>
      <c r="H32" s="31" t="s">
        <v>25</v>
      </c>
      <c r="I32" s="31" t="s">
        <v>25</v>
      </c>
      <c r="J32" s="31" t="s">
        <v>506</v>
      </c>
      <c r="K32" s="31" t="s">
        <v>505</v>
      </c>
      <c r="L32" s="31" t="s">
        <v>74</v>
      </c>
      <c r="M32" s="31">
        <v>2021</v>
      </c>
      <c r="N32" s="31">
        <v>0</v>
      </c>
      <c r="O32" s="31">
        <v>4.26</v>
      </c>
      <c r="P32" s="31">
        <v>0</v>
      </c>
    </row>
    <row r="33" spans="1:16" ht="11.25" customHeight="1" x14ac:dyDescent="0.25">
      <c r="A33" s="31">
        <v>32</v>
      </c>
      <c r="B33" s="31" t="s">
        <v>360</v>
      </c>
      <c r="C33" s="31" t="s">
        <v>22</v>
      </c>
      <c r="D33" s="31" t="s">
        <v>87</v>
      </c>
      <c r="E33" s="31" t="s">
        <v>24</v>
      </c>
      <c r="F33" s="31" t="s">
        <v>32</v>
      </c>
      <c r="G33" s="31" t="s">
        <v>25</v>
      </c>
      <c r="H33" s="31" t="s">
        <v>25</v>
      </c>
      <c r="I33" s="31" t="s">
        <v>25</v>
      </c>
      <c r="J33" s="31" t="s">
        <v>504</v>
      </c>
      <c r="K33" s="31" t="s">
        <v>505</v>
      </c>
      <c r="L33" s="31" t="s">
        <v>71</v>
      </c>
      <c r="M33" s="31">
        <v>2021</v>
      </c>
      <c r="N33" s="31">
        <v>0</v>
      </c>
      <c r="O33" s="31">
        <v>356.37</v>
      </c>
      <c r="P33" s="31">
        <v>0</v>
      </c>
    </row>
    <row r="34" spans="1:16" ht="11.25" customHeight="1" x14ac:dyDescent="0.25">
      <c r="A34" s="31">
        <v>33</v>
      </c>
      <c r="B34" s="31" t="s">
        <v>360</v>
      </c>
      <c r="C34" s="31" t="s">
        <v>40</v>
      </c>
      <c r="D34" s="31" t="s">
        <v>23</v>
      </c>
      <c r="E34" s="31" t="s">
        <v>41</v>
      </c>
      <c r="F34" s="31" t="s">
        <v>88</v>
      </c>
      <c r="G34" s="31" t="s">
        <v>25</v>
      </c>
      <c r="H34" s="31" t="s">
        <v>25</v>
      </c>
      <c r="I34" s="31" t="s">
        <v>25</v>
      </c>
      <c r="J34" s="31" t="s">
        <v>504</v>
      </c>
      <c r="K34" s="31" t="s">
        <v>505</v>
      </c>
      <c r="L34" s="31" t="s">
        <v>71</v>
      </c>
      <c r="M34" s="31">
        <v>2021</v>
      </c>
      <c r="N34" s="31">
        <v>0</v>
      </c>
      <c r="O34" s="31">
        <v>374.66</v>
      </c>
      <c r="P34" s="31">
        <v>52.848089255315898</v>
      </c>
    </row>
    <row r="35" spans="1:16" ht="11.25" customHeight="1" x14ac:dyDescent="0.25">
      <c r="A35" s="31">
        <v>34</v>
      </c>
      <c r="B35" s="31" t="s">
        <v>360</v>
      </c>
      <c r="C35" s="31" t="s">
        <v>43</v>
      </c>
      <c r="D35" s="31" t="s">
        <v>23</v>
      </c>
      <c r="E35" s="31" t="s">
        <v>44</v>
      </c>
      <c r="F35" s="31" t="s">
        <v>45</v>
      </c>
      <c r="G35" s="31" t="s">
        <v>25</v>
      </c>
      <c r="H35" s="31" t="s">
        <v>25</v>
      </c>
      <c r="I35" s="31" t="s">
        <v>25</v>
      </c>
      <c r="J35" s="31" t="s">
        <v>504</v>
      </c>
      <c r="K35" s="31" t="s">
        <v>505</v>
      </c>
      <c r="L35" s="31" t="s">
        <v>71</v>
      </c>
      <c r="M35" s="31">
        <v>2021</v>
      </c>
      <c r="N35" s="31">
        <v>0</v>
      </c>
      <c r="O35" s="31">
        <v>234.16</v>
      </c>
      <c r="P35" s="31">
        <v>33.030055784572397</v>
      </c>
    </row>
    <row r="36" spans="1:16" ht="11.25" customHeight="1" x14ac:dyDescent="0.25">
      <c r="A36" s="31">
        <v>35</v>
      </c>
      <c r="B36" s="31" t="s">
        <v>360</v>
      </c>
      <c r="C36" s="31" t="s">
        <v>40</v>
      </c>
      <c r="D36" s="31" t="s">
        <v>85</v>
      </c>
      <c r="E36" s="31" t="s">
        <v>41</v>
      </c>
      <c r="F36" s="31" t="s">
        <v>25</v>
      </c>
      <c r="G36" s="31" t="s">
        <v>25</v>
      </c>
      <c r="H36" s="31" t="s">
        <v>25</v>
      </c>
      <c r="I36" s="31" t="s">
        <v>38</v>
      </c>
      <c r="J36" s="31" t="s">
        <v>504</v>
      </c>
      <c r="K36" s="31" t="s">
        <v>505</v>
      </c>
      <c r="L36" s="31" t="s">
        <v>71</v>
      </c>
      <c r="M36" s="31">
        <v>2021</v>
      </c>
      <c r="N36" s="31">
        <v>0</v>
      </c>
      <c r="O36" s="31">
        <v>239.75</v>
      </c>
      <c r="P36" s="31">
        <v>52.848089255315898</v>
      </c>
    </row>
    <row r="37" spans="1:16" ht="11.25" customHeight="1" x14ac:dyDescent="0.25">
      <c r="A37" s="31">
        <v>36</v>
      </c>
      <c r="B37" s="31" t="s">
        <v>360</v>
      </c>
      <c r="C37" s="31" t="s">
        <v>33</v>
      </c>
      <c r="D37" s="31" t="s">
        <v>85</v>
      </c>
      <c r="E37" s="31" t="s">
        <v>25</v>
      </c>
      <c r="F37" s="31" t="s">
        <v>25</v>
      </c>
      <c r="G37" s="31" t="s">
        <v>25</v>
      </c>
      <c r="H37" s="31" t="s">
        <v>25</v>
      </c>
      <c r="I37" s="31" t="s">
        <v>37</v>
      </c>
      <c r="J37" s="31" t="s">
        <v>504</v>
      </c>
      <c r="K37" s="31" t="s">
        <v>505</v>
      </c>
      <c r="L37" s="31" t="s">
        <v>71</v>
      </c>
      <c r="M37" s="31">
        <v>2021</v>
      </c>
      <c r="N37" s="31">
        <v>0</v>
      </c>
      <c r="O37" s="31">
        <v>1064.26</v>
      </c>
      <c r="P37" s="31">
        <v>60.054646881040803</v>
      </c>
    </row>
    <row r="38" spans="1:16" ht="11.25" customHeight="1" x14ac:dyDescent="0.25">
      <c r="A38" s="31">
        <v>37</v>
      </c>
      <c r="B38" s="31" t="s">
        <v>360</v>
      </c>
      <c r="C38" s="31" t="s">
        <v>40</v>
      </c>
      <c r="D38" s="31" t="s">
        <v>85</v>
      </c>
      <c r="E38" s="31" t="s">
        <v>41</v>
      </c>
      <c r="F38" s="31" t="s">
        <v>89</v>
      </c>
      <c r="G38" s="31" t="s">
        <v>25</v>
      </c>
      <c r="H38" s="31" t="s">
        <v>25</v>
      </c>
      <c r="I38" s="31" t="s">
        <v>37</v>
      </c>
      <c r="J38" s="31" t="s">
        <v>504</v>
      </c>
      <c r="K38" s="31" t="s">
        <v>505</v>
      </c>
      <c r="L38" s="31" t="s">
        <v>71</v>
      </c>
      <c r="M38" s="31">
        <v>2021</v>
      </c>
      <c r="N38" s="31">
        <v>0</v>
      </c>
      <c r="O38" s="31">
        <v>786.65</v>
      </c>
      <c r="P38" s="31">
        <v>50.445903380074299</v>
      </c>
    </row>
    <row r="39" spans="1:16" ht="11.25" customHeight="1" x14ac:dyDescent="0.25">
      <c r="A39" s="31">
        <v>38</v>
      </c>
      <c r="B39" s="31" t="s">
        <v>360</v>
      </c>
      <c r="C39" s="31" t="s">
        <v>43</v>
      </c>
      <c r="D39" s="31" t="s">
        <v>23</v>
      </c>
      <c r="E39" s="31" t="s">
        <v>44</v>
      </c>
      <c r="F39" s="31" t="s">
        <v>90</v>
      </c>
      <c r="G39" s="31" t="s">
        <v>25</v>
      </c>
      <c r="H39" s="31" t="s">
        <v>25</v>
      </c>
      <c r="I39" s="31" t="s">
        <v>25</v>
      </c>
      <c r="J39" s="31" t="s">
        <v>504</v>
      </c>
      <c r="K39" s="31" t="s">
        <v>505</v>
      </c>
      <c r="L39" s="31" t="s">
        <v>71</v>
      </c>
      <c r="M39" s="31">
        <v>2021</v>
      </c>
      <c r="N39" s="31">
        <v>0</v>
      </c>
      <c r="O39" s="31">
        <v>255.45</v>
      </c>
      <c r="P39" s="31">
        <v>36.032788128624503</v>
      </c>
    </row>
    <row r="40" spans="1:16" ht="11.25" customHeight="1" x14ac:dyDescent="0.25">
      <c r="A40" s="31">
        <v>39</v>
      </c>
      <c r="B40" s="31" t="s">
        <v>360</v>
      </c>
      <c r="C40" s="31" t="s">
        <v>22</v>
      </c>
      <c r="D40" s="31" t="s">
        <v>87</v>
      </c>
      <c r="E40" s="31" t="s">
        <v>24</v>
      </c>
      <c r="F40" s="31" t="s">
        <v>31</v>
      </c>
      <c r="G40" s="31" t="s">
        <v>25</v>
      </c>
      <c r="H40" s="31" t="s">
        <v>25</v>
      </c>
      <c r="I40" s="31" t="s">
        <v>25</v>
      </c>
      <c r="J40" s="31" t="s">
        <v>504</v>
      </c>
      <c r="K40" s="31" t="s">
        <v>505</v>
      </c>
      <c r="L40" s="31" t="s">
        <v>71</v>
      </c>
      <c r="M40" s="31">
        <v>2021</v>
      </c>
      <c r="N40" s="31">
        <v>0</v>
      </c>
      <c r="O40" s="31">
        <v>320.74</v>
      </c>
      <c r="P40" s="31">
        <v>0</v>
      </c>
    </row>
    <row r="41" spans="1:16" ht="11.25" customHeight="1" x14ac:dyDescent="0.25">
      <c r="A41" s="31">
        <v>40</v>
      </c>
      <c r="B41" s="31" t="s">
        <v>360</v>
      </c>
      <c r="C41" s="31" t="s">
        <v>40</v>
      </c>
      <c r="D41" s="31" t="s">
        <v>85</v>
      </c>
      <c r="E41" s="31" t="s">
        <v>41</v>
      </c>
      <c r="F41" s="31" t="s">
        <v>89</v>
      </c>
      <c r="G41" s="31" t="s">
        <v>25</v>
      </c>
      <c r="H41" s="31" t="s">
        <v>25</v>
      </c>
      <c r="I41" s="31" t="s">
        <v>507</v>
      </c>
      <c r="J41" s="31" t="s">
        <v>504</v>
      </c>
      <c r="K41" s="31" t="s">
        <v>505</v>
      </c>
      <c r="L41" s="31" t="s">
        <v>71</v>
      </c>
      <c r="M41" s="31">
        <v>2021</v>
      </c>
      <c r="N41" s="31">
        <v>0</v>
      </c>
      <c r="O41" s="31">
        <v>507.75</v>
      </c>
      <c r="P41" s="31">
        <v>50.445903380074299</v>
      </c>
    </row>
    <row r="42" spans="1:16" ht="11.25" customHeight="1" x14ac:dyDescent="0.25">
      <c r="A42" s="31">
        <v>41</v>
      </c>
      <c r="B42" s="31" t="s">
        <v>388</v>
      </c>
      <c r="C42" s="31" t="s">
        <v>35</v>
      </c>
      <c r="D42" s="31" t="s">
        <v>70</v>
      </c>
      <c r="E42" s="31" t="s">
        <v>25</v>
      </c>
      <c r="F42" s="31" t="s">
        <v>25</v>
      </c>
      <c r="G42" s="31" t="s">
        <v>25</v>
      </c>
      <c r="H42" s="31" t="s">
        <v>25</v>
      </c>
      <c r="I42" s="31" t="s">
        <v>37</v>
      </c>
      <c r="J42" s="31" t="s">
        <v>504</v>
      </c>
      <c r="K42" s="31" t="s">
        <v>505</v>
      </c>
      <c r="L42" s="31" t="s">
        <v>71</v>
      </c>
      <c r="M42" s="31">
        <v>2021</v>
      </c>
      <c r="N42" s="31">
        <v>0</v>
      </c>
      <c r="O42" s="31">
        <v>252.22</v>
      </c>
      <c r="P42" s="31"/>
    </row>
    <row r="43" spans="1:16" ht="11.25" customHeight="1" x14ac:dyDescent="0.25">
      <c r="A43" s="31">
        <v>42</v>
      </c>
      <c r="B43" s="31" t="s">
        <v>388</v>
      </c>
      <c r="C43" s="31" t="s">
        <v>22</v>
      </c>
      <c r="D43" s="31" t="s">
        <v>86</v>
      </c>
      <c r="E43" s="31" t="s">
        <v>24</v>
      </c>
      <c r="F43" s="31" t="s">
        <v>32</v>
      </c>
      <c r="G43" s="31" t="s">
        <v>25</v>
      </c>
      <c r="H43" s="31" t="s">
        <v>25</v>
      </c>
      <c r="I43" s="31" t="s">
        <v>25</v>
      </c>
      <c r="J43" s="31" t="s">
        <v>504</v>
      </c>
      <c r="K43" s="31" t="s">
        <v>505</v>
      </c>
      <c r="L43" s="31" t="s">
        <v>71</v>
      </c>
      <c r="M43" s="31">
        <v>2021</v>
      </c>
      <c r="N43" s="31">
        <v>0</v>
      </c>
      <c r="O43" s="31">
        <v>252.22</v>
      </c>
      <c r="P43" s="31"/>
    </row>
    <row r="44" spans="1:16" ht="11.25" customHeight="1" x14ac:dyDescent="0.25">
      <c r="A44" s="31">
        <v>43</v>
      </c>
      <c r="B44" s="31" t="s">
        <v>388</v>
      </c>
      <c r="C44" s="31" t="s">
        <v>40</v>
      </c>
      <c r="D44" s="31" t="s">
        <v>86</v>
      </c>
      <c r="E44" s="31" t="s">
        <v>41</v>
      </c>
      <c r="F44" s="31" t="s">
        <v>25</v>
      </c>
      <c r="G44" s="31" t="s">
        <v>25</v>
      </c>
      <c r="H44" s="31" t="s">
        <v>25</v>
      </c>
      <c r="I44" s="31" t="s">
        <v>25</v>
      </c>
      <c r="J44" s="31" t="s">
        <v>504</v>
      </c>
      <c r="K44" s="31" t="s">
        <v>505</v>
      </c>
      <c r="L44" s="31" t="s">
        <v>71</v>
      </c>
      <c r="M44" s="31">
        <v>2021</v>
      </c>
      <c r="N44" s="31">
        <v>0</v>
      </c>
      <c r="O44" s="31">
        <v>221.96</v>
      </c>
      <c r="P44" s="31"/>
    </row>
    <row r="45" spans="1:16" ht="11.25" customHeight="1" x14ac:dyDescent="0.25">
      <c r="A45" s="31">
        <v>44</v>
      </c>
      <c r="B45" s="31" t="s">
        <v>360</v>
      </c>
      <c r="C45" s="31" t="s">
        <v>40</v>
      </c>
      <c r="D45" s="31" t="s">
        <v>85</v>
      </c>
      <c r="E45" s="31" t="s">
        <v>41</v>
      </c>
      <c r="F45" s="31" t="s">
        <v>88</v>
      </c>
      <c r="G45" s="31" t="s">
        <v>25</v>
      </c>
      <c r="H45" s="31" t="s">
        <v>25</v>
      </c>
      <c r="I45" s="31" t="s">
        <v>507</v>
      </c>
      <c r="J45" s="31" t="s">
        <v>504</v>
      </c>
      <c r="K45" s="31" t="s">
        <v>505</v>
      </c>
      <c r="L45" s="31" t="s">
        <v>71</v>
      </c>
      <c r="M45" s="31">
        <v>2021</v>
      </c>
      <c r="N45" s="31">
        <v>0</v>
      </c>
      <c r="O45" s="31">
        <v>531.92999999999995</v>
      </c>
      <c r="P45" s="31">
        <v>52.848089255315898</v>
      </c>
    </row>
    <row r="46" spans="1:16" ht="11.25" customHeight="1" x14ac:dyDescent="0.25">
      <c r="A46" s="31">
        <v>45</v>
      </c>
      <c r="B46" s="31" t="s">
        <v>360</v>
      </c>
      <c r="C46" s="31" t="s">
        <v>40</v>
      </c>
      <c r="D46" s="31" t="s">
        <v>87</v>
      </c>
      <c r="E46" s="31" t="s">
        <v>41</v>
      </c>
      <c r="F46" s="31" t="s">
        <v>88</v>
      </c>
      <c r="G46" s="31" t="s">
        <v>25</v>
      </c>
      <c r="H46" s="31" t="s">
        <v>25</v>
      </c>
      <c r="I46" s="31" t="s">
        <v>25</v>
      </c>
      <c r="J46" s="31" t="s">
        <v>504</v>
      </c>
      <c r="K46" s="31" t="s">
        <v>505</v>
      </c>
      <c r="L46" s="31" t="s">
        <v>71</v>
      </c>
      <c r="M46" s="31">
        <v>2021</v>
      </c>
      <c r="N46" s="31">
        <v>0</v>
      </c>
      <c r="O46" s="31">
        <v>374.66</v>
      </c>
      <c r="P46" s="31">
        <v>52.848089255315898</v>
      </c>
    </row>
    <row r="47" spans="1:16" ht="11.25" customHeight="1" x14ac:dyDescent="0.25">
      <c r="A47" s="31">
        <v>46</v>
      </c>
      <c r="B47" s="31" t="s">
        <v>388</v>
      </c>
      <c r="C47" s="31" t="s">
        <v>22</v>
      </c>
      <c r="D47" s="31" t="s">
        <v>84</v>
      </c>
      <c r="E47" s="31" t="s">
        <v>24</v>
      </c>
      <c r="F47" s="31" t="s">
        <v>31</v>
      </c>
      <c r="G47" s="31" t="s">
        <v>25</v>
      </c>
      <c r="H47" s="31" t="s">
        <v>25</v>
      </c>
      <c r="I47" s="31" t="s">
        <v>25</v>
      </c>
      <c r="J47" s="31" t="s">
        <v>504</v>
      </c>
      <c r="K47" s="31" t="s">
        <v>505</v>
      </c>
      <c r="L47" s="31" t="s">
        <v>71</v>
      </c>
      <c r="M47" s="31">
        <v>2021</v>
      </c>
      <c r="N47" s="31">
        <v>0</v>
      </c>
      <c r="O47" s="31">
        <v>227</v>
      </c>
      <c r="P47" s="31"/>
    </row>
    <row r="48" spans="1:16" ht="11.25" customHeight="1" x14ac:dyDescent="0.25">
      <c r="A48" s="31">
        <v>47</v>
      </c>
      <c r="B48" s="31" t="s">
        <v>388</v>
      </c>
      <c r="C48" s="31" t="s">
        <v>40</v>
      </c>
      <c r="D48" s="31" t="s">
        <v>70</v>
      </c>
      <c r="E48" s="31" t="s">
        <v>41</v>
      </c>
      <c r="F48" s="31" t="s">
        <v>88</v>
      </c>
      <c r="G48" s="31" t="s">
        <v>25</v>
      </c>
      <c r="H48" s="31" t="s">
        <v>25</v>
      </c>
      <c r="I48" s="31" t="s">
        <v>38</v>
      </c>
      <c r="J48" s="31" t="s">
        <v>504</v>
      </c>
      <c r="K48" s="31" t="s">
        <v>505</v>
      </c>
      <c r="L48" s="31" t="s">
        <v>71</v>
      </c>
      <c r="M48" s="31">
        <v>2021</v>
      </c>
      <c r="N48" s="31">
        <v>0</v>
      </c>
      <c r="O48" s="31">
        <v>221.96</v>
      </c>
      <c r="P48" s="31"/>
    </row>
    <row r="49" spans="1:16" ht="11.25" customHeight="1" x14ac:dyDescent="0.25">
      <c r="A49" s="31">
        <v>48</v>
      </c>
      <c r="B49" s="31" t="s">
        <v>388</v>
      </c>
      <c r="C49" s="31" t="s">
        <v>22</v>
      </c>
      <c r="D49" s="31" t="s">
        <v>86</v>
      </c>
      <c r="E49" s="31" t="s">
        <v>24</v>
      </c>
      <c r="F49" s="31" t="s">
        <v>24</v>
      </c>
      <c r="G49" s="31" t="s">
        <v>25</v>
      </c>
      <c r="H49" s="31" t="s">
        <v>25</v>
      </c>
      <c r="I49" s="31" t="s">
        <v>25</v>
      </c>
      <c r="J49" s="31" t="s">
        <v>504</v>
      </c>
      <c r="K49" s="31" t="s">
        <v>505</v>
      </c>
      <c r="L49" s="31" t="s">
        <v>71</v>
      </c>
      <c r="M49" s="31">
        <v>2021</v>
      </c>
      <c r="N49" s="31">
        <v>0</v>
      </c>
      <c r="O49" s="31">
        <v>252.22</v>
      </c>
      <c r="P49" s="31"/>
    </row>
    <row r="50" spans="1:16" ht="11.25" customHeight="1" x14ac:dyDescent="0.25">
      <c r="A50" s="31">
        <v>49</v>
      </c>
      <c r="B50" s="31" t="s">
        <v>388</v>
      </c>
      <c r="C50" s="31" t="s">
        <v>40</v>
      </c>
      <c r="D50" s="31" t="s">
        <v>70</v>
      </c>
      <c r="E50" s="31" t="s">
        <v>41</v>
      </c>
      <c r="F50" s="31" t="s">
        <v>89</v>
      </c>
      <c r="G50" s="31" t="s">
        <v>25</v>
      </c>
      <c r="H50" s="31" t="s">
        <v>25</v>
      </c>
      <c r="I50" s="31" t="s">
        <v>37</v>
      </c>
      <c r="J50" s="31" t="s">
        <v>504</v>
      </c>
      <c r="K50" s="31" t="s">
        <v>505</v>
      </c>
      <c r="L50" s="31" t="s">
        <v>71</v>
      </c>
      <c r="M50" s="31">
        <v>2021</v>
      </c>
      <c r="N50" s="31">
        <v>0</v>
      </c>
      <c r="O50" s="31">
        <v>211.87</v>
      </c>
      <c r="P50" s="31"/>
    </row>
    <row r="51" spans="1:16" ht="11.25" customHeight="1" x14ac:dyDescent="0.25">
      <c r="A51" s="31">
        <v>50</v>
      </c>
      <c r="B51" s="31" t="s">
        <v>388</v>
      </c>
      <c r="C51" s="31" t="s">
        <v>22</v>
      </c>
      <c r="D51" s="31" t="s">
        <v>84</v>
      </c>
      <c r="E51" s="31" t="s">
        <v>24</v>
      </c>
      <c r="F51" s="31" t="s">
        <v>30</v>
      </c>
      <c r="G51" s="31" t="s">
        <v>25</v>
      </c>
      <c r="H51" s="31" t="s">
        <v>25</v>
      </c>
      <c r="I51" s="31" t="s">
        <v>25</v>
      </c>
      <c r="J51" s="31" t="s">
        <v>504</v>
      </c>
      <c r="K51" s="31" t="s">
        <v>505</v>
      </c>
      <c r="L51" s="31" t="s">
        <v>71</v>
      </c>
      <c r="M51" s="31">
        <v>2021</v>
      </c>
      <c r="N51" s="31">
        <v>0</v>
      </c>
      <c r="O51" s="31">
        <v>151.33000000000001</v>
      </c>
      <c r="P51" s="31"/>
    </row>
    <row r="52" spans="1:16" ht="11.25" customHeight="1" x14ac:dyDescent="0.25">
      <c r="A52" s="31">
        <v>51</v>
      </c>
      <c r="B52" s="31" t="s">
        <v>388</v>
      </c>
      <c r="C52" s="31" t="s">
        <v>22</v>
      </c>
      <c r="D52" s="31" t="s">
        <v>86</v>
      </c>
      <c r="E52" s="31" t="s">
        <v>24</v>
      </c>
      <c r="F52" s="31" t="s">
        <v>30</v>
      </c>
      <c r="G52" s="31" t="s">
        <v>25</v>
      </c>
      <c r="H52" s="31" t="s">
        <v>25</v>
      </c>
      <c r="I52" s="31" t="s">
        <v>25</v>
      </c>
      <c r="J52" s="31" t="s">
        <v>504</v>
      </c>
      <c r="K52" s="31" t="s">
        <v>505</v>
      </c>
      <c r="L52" s="31" t="s">
        <v>71</v>
      </c>
      <c r="M52" s="31">
        <v>2021</v>
      </c>
      <c r="N52" s="31">
        <v>0</v>
      </c>
      <c r="O52" s="31">
        <v>151.33000000000001</v>
      </c>
      <c r="P52" s="31"/>
    </row>
    <row r="53" spans="1:16" ht="11.25" customHeight="1" x14ac:dyDescent="0.25">
      <c r="A53" s="31">
        <v>52</v>
      </c>
      <c r="B53" s="31" t="s">
        <v>388</v>
      </c>
      <c r="C53" s="31" t="s">
        <v>40</v>
      </c>
      <c r="D53" s="31" t="s">
        <v>70</v>
      </c>
      <c r="E53" s="31" t="s">
        <v>41</v>
      </c>
      <c r="F53" s="31" t="s">
        <v>89</v>
      </c>
      <c r="G53" s="31" t="s">
        <v>25</v>
      </c>
      <c r="H53" s="31" t="s">
        <v>25</v>
      </c>
      <c r="I53" s="31" t="s">
        <v>38</v>
      </c>
      <c r="J53" s="31" t="s">
        <v>504</v>
      </c>
      <c r="K53" s="31" t="s">
        <v>505</v>
      </c>
      <c r="L53" s="31" t="s">
        <v>71</v>
      </c>
      <c r="M53" s="31">
        <v>2021</v>
      </c>
      <c r="N53" s="31">
        <v>0</v>
      </c>
      <c r="O53" s="31">
        <v>211.87</v>
      </c>
      <c r="P53" s="31"/>
    </row>
    <row r="54" spans="1:16" ht="11.25" customHeight="1" x14ac:dyDescent="0.25">
      <c r="A54" s="31">
        <v>53</v>
      </c>
      <c r="B54" s="31" t="s">
        <v>360</v>
      </c>
      <c r="C54" s="31" t="s">
        <v>40</v>
      </c>
      <c r="D54" s="31" t="s">
        <v>85</v>
      </c>
      <c r="E54" s="31" t="s">
        <v>41</v>
      </c>
      <c r="F54" s="31" t="s">
        <v>25</v>
      </c>
      <c r="G54" s="31" t="s">
        <v>25</v>
      </c>
      <c r="H54" s="31" t="s">
        <v>25</v>
      </c>
      <c r="I54" s="31" t="s">
        <v>507</v>
      </c>
      <c r="J54" s="31" t="s">
        <v>504</v>
      </c>
      <c r="K54" s="31" t="s">
        <v>505</v>
      </c>
      <c r="L54" s="31" t="s">
        <v>71</v>
      </c>
      <c r="M54" s="31">
        <v>2021</v>
      </c>
      <c r="N54" s="31">
        <v>0</v>
      </c>
      <c r="O54" s="31">
        <v>531.92999999999995</v>
      </c>
      <c r="P54" s="31">
        <v>52.848089255315898</v>
      </c>
    </row>
    <row r="55" spans="1:16" ht="11.25" customHeight="1" x14ac:dyDescent="0.25">
      <c r="A55" s="31">
        <v>54</v>
      </c>
      <c r="B55" s="31" t="s">
        <v>360</v>
      </c>
      <c r="C55" s="31" t="s">
        <v>40</v>
      </c>
      <c r="D55" s="31" t="s">
        <v>87</v>
      </c>
      <c r="E55" s="31" t="s">
        <v>41</v>
      </c>
      <c r="F55" s="31" t="s">
        <v>89</v>
      </c>
      <c r="G55" s="31" t="s">
        <v>25</v>
      </c>
      <c r="H55" s="31" t="s">
        <v>25</v>
      </c>
      <c r="I55" s="31" t="s">
        <v>25</v>
      </c>
      <c r="J55" s="31" t="s">
        <v>504</v>
      </c>
      <c r="K55" s="31" t="s">
        <v>505</v>
      </c>
      <c r="L55" s="31" t="s">
        <v>71</v>
      </c>
      <c r="M55" s="31">
        <v>2021</v>
      </c>
      <c r="N55" s="31">
        <v>0</v>
      </c>
      <c r="O55" s="31">
        <v>357.63</v>
      </c>
      <c r="P55" s="31">
        <v>50.445903380074299</v>
      </c>
    </row>
    <row r="56" spans="1:16" ht="11.25" customHeight="1" x14ac:dyDescent="0.25">
      <c r="A56" s="31">
        <v>55</v>
      </c>
      <c r="B56" s="31" t="s">
        <v>360</v>
      </c>
      <c r="C56" s="31" t="s">
        <v>22</v>
      </c>
      <c r="D56" s="31" t="s">
        <v>23</v>
      </c>
      <c r="E56" s="31" t="s">
        <v>24</v>
      </c>
      <c r="F56" s="31" t="s">
        <v>30</v>
      </c>
      <c r="G56" s="31" t="s">
        <v>25</v>
      </c>
      <c r="H56" s="31" t="s">
        <v>25</v>
      </c>
      <c r="I56" s="31" t="s">
        <v>25</v>
      </c>
      <c r="J56" s="31" t="s">
        <v>504</v>
      </c>
      <c r="K56" s="31" t="s">
        <v>505</v>
      </c>
      <c r="L56" s="31" t="s">
        <v>71</v>
      </c>
      <c r="M56" s="31">
        <v>2021</v>
      </c>
      <c r="N56" s="31">
        <v>0</v>
      </c>
      <c r="O56" s="31">
        <v>213.82</v>
      </c>
      <c r="P56" s="31">
        <v>0</v>
      </c>
    </row>
    <row r="57" spans="1:16" ht="11.25" customHeight="1" x14ac:dyDescent="0.25">
      <c r="A57" s="31">
        <v>56</v>
      </c>
      <c r="B57" s="31" t="s">
        <v>388</v>
      </c>
      <c r="C57" s="31" t="s">
        <v>33</v>
      </c>
      <c r="D57" s="31" t="s">
        <v>86</v>
      </c>
      <c r="E57" s="31" t="s">
        <v>25</v>
      </c>
      <c r="F57" s="31" t="s">
        <v>25</v>
      </c>
      <c r="G57" s="31" t="s">
        <v>25</v>
      </c>
      <c r="H57" s="31" t="s">
        <v>25</v>
      </c>
      <c r="I57" s="31" t="s">
        <v>25</v>
      </c>
      <c r="J57" s="31" t="s">
        <v>504</v>
      </c>
      <c r="K57" s="31" t="s">
        <v>505</v>
      </c>
      <c r="L57" s="31" t="s">
        <v>71</v>
      </c>
      <c r="M57" s="31">
        <v>2021</v>
      </c>
      <c r="N57" s="31">
        <v>0</v>
      </c>
      <c r="O57" s="31">
        <v>252.22</v>
      </c>
      <c r="P57" s="31"/>
    </row>
    <row r="58" spans="1:16" ht="11.25" customHeight="1" x14ac:dyDescent="0.25">
      <c r="A58" s="31">
        <v>57</v>
      </c>
      <c r="B58" s="31" t="s">
        <v>360</v>
      </c>
      <c r="C58" s="31" t="s">
        <v>40</v>
      </c>
      <c r="D58" s="31" t="s">
        <v>23</v>
      </c>
      <c r="E58" s="31" t="s">
        <v>41</v>
      </c>
      <c r="F58" s="31" t="s">
        <v>89</v>
      </c>
      <c r="G58" s="31" t="s">
        <v>25</v>
      </c>
      <c r="H58" s="31" t="s">
        <v>25</v>
      </c>
      <c r="I58" s="31" t="s">
        <v>25</v>
      </c>
      <c r="J58" s="31" t="s">
        <v>504</v>
      </c>
      <c r="K58" s="31" t="s">
        <v>505</v>
      </c>
      <c r="L58" s="31" t="s">
        <v>71</v>
      </c>
      <c r="M58" s="31">
        <v>2021</v>
      </c>
      <c r="N58" s="31">
        <v>0</v>
      </c>
      <c r="O58" s="31">
        <v>357.63</v>
      </c>
      <c r="P58" s="31">
        <v>50.445903380074299</v>
      </c>
    </row>
    <row r="59" spans="1:16" ht="11.25" customHeight="1" x14ac:dyDescent="0.25">
      <c r="A59" s="31">
        <v>58</v>
      </c>
      <c r="B59" s="31" t="s">
        <v>388</v>
      </c>
      <c r="C59" s="31" t="s">
        <v>35</v>
      </c>
      <c r="D59" s="31" t="s">
        <v>84</v>
      </c>
      <c r="E59" s="31" t="s">
        <v>25</v>
      </c>
      <c r="F59" s="31" t="s">
        <v>25</v>
      </c>
      <c r="G59" s="31" t="s">
        <v>25</v>
      </c>
      <c r="H59" s="31" t="s">
        <v>25</v>
      </c>
      <c r="I59" s="31" t="s">
        <v>25</v>
      </c>
      <c r="J59" s="31" t="s">
        <v>504</v>
      </c>
      <c r="K59" s="31" t="s">
        <v>505</v>
      </c>
      <c r="L59" s="31" t="s">
        <v>71</v>
      </c>
      <c r="M59" s="31">
        <v>2021</v>
      </c>
      <c r="N59" s="31">
        <v>0</v>
      </c>
      <c r="O59" s="31">
        <v>252.22</v>
      </c>
      <c r="P59" s="31"/>
    </row>
    <row r="60" spans="1:16" ht="11.25" customHeight="1" x14ac:dyDescent="0.25">
      <c r="A60" s="31">
        <v>59</v>
      </c>
      <c r="B60" s="31" t="s">
        <v>388</v>
      </c>
      <c r="C60" s="31" t="s">
        <v>43</v>
      </c>
      <c r="D60" s="31" t="s">
        <v>84</v>
      </c>
      <c r="E60" s="31" t="s">
        <v>44</v>
      </c>
      <c r="F60" s="31" t="s">
        <v>90</v>
      </c>
      <c r="G60" s="31" t="s">
        <v>25</v>
      </c>
      <c r="H60" s="31" t="s">
        <v>25</v>
      </c>
      <c r="I60" s="31" t="s">
        <v>25</v>
      </c>
      <c r="J60" s="31" t="s">
        <v>504</v>
      </c>
      <c r="K60" s="31" t="s">
        <v>505</v>
      </c>
      <c r="L60" s="31" t="s">
        <v>71</v>
      </c>
      <c r="M60" s="31">
        <v>2021</v>
      </c>
      <c r="N60" s="31">
        <v>0</v>
      </c>
      <c r="O60" s="31">
        <v>151.33000000000001</v>
      </c>
      <c r="P60" s="31"/>
    </row>
    <row r="61" spans="1:16" ht="11.25" customHeight="1" x14ac:dyDescent="0.25">
      <c r="A61" s="31">
        <v>60</v>
      </c>
      <c r="B61" s="31" t="s">
        <v>388</v>
      </c>
      <c r="C61" s="31" t="s">
        <v>22</v>
      </c>
      <c r="D61" s="31" t="s">
        <v>86</v>
      </c>
      <c r="E61" s="31" t="s">
        <v>24</v>
      </c>
      <c r="F61" s="31" t="s">
        <v>29</v>
      </c>
      <c r="G61" s="31" t="s">
        <v>25</v>
      </c>
      <c r="H61" s="31" t="s">
        <v>25</v>
      </c>
      <c r="I61" s="31" t="s">
        <v>25</v>
      </c>
      <c r="J61" s="31" t="s">
        <v>504</v>
      </c>
      <c r="K61" s="31" t="s">
        <v>505</v>
      </c>
      <c r="L61" s="31" t="s">
        <v>71</v>
      </c>
      <c r="M61" s="31">
        <v>2021</v>
      </c>
      <c r="N61" s="31">
        <v>0</v>
      </c>
      <c r="O61" s="31">
        <v>88.28</v>
      </c>
      <c r="P61" s="31"/>
    </row>
    <row r="62" spans="1:16" ht="11.25" customHeight="1" x14ac:dyDescent="0.25">
      <c r="A62" s="31">
        <v>61</v>
      </c>
      <c r="B62" s="31" t="s">
        <v>360</v>
      </c>
      <c r="C62" s="31" t="s">
        <v>40</v>
      </c>
      <c r="D62" s="31" t="s">
        <v>23</v>
      </c>
      <c r="E62" s="31" t="s">
        <v>41</v>
      </c>
      <c r="F62" s="31" t="s">
        <v>25</v>
      </c>
      <c r="G62" s="31" t="s">
        <v>25</v>
      </c>
      <c r="H62" s="31" t="s">
        <v>25</v>
      </c>
      <c r="I62" s="31" t="s">
        <v>25</v>
      </c>
      <c r="J62" s="31" t="s">
        <v>504</v>
      </c>
      <c r="K62" s="31" t="s">
        <v>505</v>
      </c>
      <c r="L62" s="31" t="s">
        <v>71</v>
      </c>
      <c r="M62" s="31">
        <v>2021</v>
      </c>
      <c r="N62" s="31">
        <v>0</v>
      </c>
      <c r="O62" s="31">
        <v>374.66</v>
      </c>
      <c r="P62" s="31">
        <v>52.848089255315898</v>
      </c>
    </row>
    <row r="63" spans="1:16" ht="11.25" customHeight="1" x14ac:dyDescent="0.25">
      <c r="A63" s="31">
        <v>62</v>
      </c>
      <c r="B63" s="31" t="s">
        <v>360</v>
      </c>
      <c r="C63" s="31" t="s">
        <v>33</v>
      </c>
      <c r="D63" s="31" t="s">
        <v>85</v>
      </c>
      <c r="E63" s="31" t="s">
        <v>25</v>
      </c>
      <c r="F63" s="31" t="s">
        <v>25</v>
      </c>
      <c r="G63" s="31" t="s">
        <v>25</v>
      </c>
      <c r="H63" s="31" t="s">
        <v>25</v>
      </c>
      <c r="I63" s="31" t="s">
        <v>507</v>
      </c>
      <c r="J63" s="31" t="s">
        <v>504</v>
      </c>
      <c r="K63" s="31" t="s">
        <v>505</v>
      </c>
      <c r="L63" s="31" t="s">
        <v>71</v>
      </c>
      <c r="M63" s="31">
        <v>2021</v>
      </c>
      <c r="N63" s="31">
        <v>0</v>
      </c>
      <c r="O63" s="31">
        <v>681.06</v>
      </c>
      <c r="P63" s="31">
        <v>60.054646881040803</v>
      </c>
    </row>
    <row r="64" spans="1:16" ht="11.25" customHeight="1" x14ac:dyDescent="0.25">
      <c r="A64" s="31">
        <v>63</v>
      </c>
      <c r="B64" s="31" t="s">
        <v>360</v>
      </c>
      <c r="C64" s="31" t="s">
        <v>40</v>
      </c>
      <c r="D64" s="31" t="s">
        <v>85</v>
      </c>
      <c r="E64" s="31" t="s">
        <v>41</v>
      </c>
      <c r="F64" s="31" t="s">
        <v>25</v>
      </c>
      <c r="G64" s="31" t="s">
        <v>25</v>
      </c>
      <c r="H64" s="31" t="s">
        <v>25</v>
      </c>
      <c r="I64" s="31" t="s">
        <v>37</v>
      </c>
      <c r="J64" s="31" t="s">
        <v>504</v>
      </c>
      <c r="K64" s="31" t="s">
        <v>505</v>
      </c>
      <c r="L64" s="31" t="s">
        <v>71</v>
      </c>
      <c r="M64" s="31">
        <v>2021</v>
      </c>
      <c r="N64" s="31">
        <v>0</v>
      </c>
      <c r="O64" s="31">
        <v>824.11</v>
      </c>
      <c r="P64" s="31">
        <v>52.848089255315898</v>
      </c>
    </row>
    <row r="65" spans="1:16" ht="11.25" customHeight="1" x14ac:dyDescent="0.25">
      <c r="A65" s="31">
        <v>64</v>
      </c>
      <c r="B65" s="31" t="s">
        <v>360</v>
      </c>
      <c r="C65" s="31" t="s">
        <v>40</v>
      </c>
      <c r="D65" s="31" t="s">
        <v>87</v>
      </c>
      <c r="E65" s="31" t="s">
        <v>41</v>
      </c>
      <c r="F65" s="31" t="s">
        <v>25</v>
      </c>
      <c r="G65" s="31" t="s">
        <v>25</v>
      </c>
      <c r="H65" s="31" t="s">
        <v>25</v>
      </c>
      <c r="I65" s="31" t="s">
        <v>25</v>
      </c>
      <c r="J65" s="31" t="s">
        <v>504</v>
      </c>
      <c r="K65" s="31" t="s">
        <v>505</v>
      </c>
      <c r="L65" s="31" t="s">
        <v>71</v>
      </c>
      <c r="M65" s="31">
        <v>2021</v>
      </c>
      <c r="N65" s="31">
        <v>0</v>
      </c>
      <c r="O65" s="31">
        <v>374.66</v>
      </c>
      <c r="P65" s="31">
        <v>52.848089255315898</v>
      </c>
    </row>
    <row r="66" spans="1:16" ht="11.25" customHeight="1" x14ac:dyDescent="0.25">
      <c r="A66" s="31">
        <v>65</v>
      </c>
      <c r="B66" s="31" t="s">
        <v>388</v>
      </c>
      <c r="C66" s="31" t="s">
        <v>22</v>
      </c>
      <c r="D66" s="31" t="s">
        <v>70</v>
      </c>
      <c r="E66" s="31" t="s">
        <v>24</v>
      </c>
      <c r="F66" s="31" t="s">
        <v>24</v>
      </c>
      <c r="G66" s="31" t="s">
        <v>25</v>
      </c>
      <c r="H66" s="31" t="s">
        <v>25</v>
      </c>
      <c r="I66" s="31" t="s">
        <v>37</v>
      </c>
      <c r="J66" s="31" t="s">
        <v>504</v>
      </c>
      <c r="K66" s="31" t="s">
        <v>505</v>
      </c>
      <c r="L66" s="31" t="s">
        <v>71</v>
      </c>
      <c r="M66" s="31">
        <v>2021</v>
      </c>
      <c r="N66" s="31">
        <v>0</v>
      </c>
      <c r="O66" s="31">
        <v>252.22</v>
      </c>
      <c r="P66" s="31"/>
    </row>
    <row r="67" spans="1:16" ht="11.25" customHeight="1" x14ac:dyDescent="0.25">
      <c r="A67" s="31">
        <v>66</v>
      </c>
      <c r="B67" s="31" t="s">
        <v>388</v>
      </c>
      <c r="C67" s="31" t="s">
        <v>43</v>
      </c>
      <c r="D67" s="31" t="s">
        <v>84</v>
      </c>
      <c r="E67" s="31" t="s">
        <v>44</v>
      </c>
      <c r="F67" s="31" t="s">
        <v>45</v>
      </c>
      <c r="G67" s="31" t="s">
        <v>25</v>
      </c>
      <c r="H67" s="31" t="s">
        <v>25</v>
      </c>
      <c r="I67" s="31" t="s">
        <v>25</v>
      </c>
      <c r="J67" s="31" t="s">
        <v>504</v>
      </c>
      <c r="K67" s="31" t="s">
        <v>505</v>
      </c>
      <c r="L67" s="31" t="s">
        <v>71</v>
      </c>
      <c r="M67" s="31">
        <v>2021</v>
      </c>
      <c r="N67" s="31">
        <v>0</v>
      </c>
      <c r="O67" s="31">
        <v>138.72</v>
      </c>
      <c r="P67" s="31"/>
    </row>
    <row r="68" spans="1:16" ht="11.25" customHeight="1" x14ac:dyDescent="0.25">
      <c r="A68" s="31">
        <v>67</v>
      </c>
      <c r="B68" s="31" t="s">
        <v>388</v>
      </c>
      <c r="C68" s="31" t="s">
        <v>40</v>
      </c>
      <c r="D68" s="31" t="s">
        <v>70</v>
      </c>
      <c r="E68" s="31" t="s">
        <v>41</v>
      </c>
      <c r="F68" s="31" t="s">
        <v>25</v>
      </c>
      <c r="G68" s="31" t="s">
        <v>25</v>
      </c>
      <c r="H68" s="31" t="s">
        <v>25</v>
      </c>
      <c r="I68" s="31" t="s">
        <v>37</v>
      </c>
      <c r="J68" s="31" t="s">
        <v>504</v>
      </c>
      <c r="K68" s="31" t="s">
        <v>505</v>
      </c>
      <c r="L68" s="31" t="s">
        <v>71</v>
      </c>
      <c r="M68" s="31">
        <v>2021</v>
      </c>
      <c r="N68" s="31">
        <v>0</v>
      </c>
      <c r="O68" s="31">
        <v>221.96</v>
      </c>
      <c r="P68" s="31"/>
    </row>
    <row r="69" spans="1:16" ht="11.25" customHeight="1" x14ac:dyDescent="0.25">
      <c r="A69" s="31">
        <v>68</v>
      </c>
      <c r="B69" s="31" t="s">
        <v>388</v>
      </c>
      <c r="C69" s="31" t="s">
        <v>40</v>
      </c>
      <c r="D69" s="31" t="s">
        <v>86</v>
      </c>
      <c r="E69" s="31" t="s">
        <v>41</v>
      </c>
      <c r="F69" s="31" t="s">
        <v>88</v>
      </c>
      <c r="G69" s="31" t="s">
        <v>25</v>
      </c>
      <c r="H69" s="31" t="s">
        <v>25</v>
      </c>
      <c r="I69" s="31" t="s">
        <v>25</v>
      </c>
      <c r="J69" s="31" t="s">
        <v>504</v>
      </c>
      <c r="K69" s="31" t="s">
        <v>505</v>
      </c>
      <c r="L69" s="31" t="s">
        <v>71</v>
      </c>
      <c r="M69" s="31">
        <v>2021</v>
      </c>
      <c r="N69" s="31">
        <v>0</v>
      </c>
      <c r="O69" s="31">
        <v>221.96</v>
      </c>
      <c r="P69" s="31"/>
    </row>
    <row r="70" spans="1:16" ht="11.25" customHeight="1" x14ac:dyDescent="0.25">
      <c r="A70" s="31">
        <v>69</v>
      </c>
      <c r="B70" s="31" t="s">
        <v>388</v>
      </c>
      <c r="C70" s="31" t="s">
        <v>22</v>
      </c>
      <c r="D70" s="31" t="s">
        <v>86</v>
      </c>
      <c r="E70" s="31" t="s">
        <v>24</v>
      </c>
      <c r="F70" s="31" t="s">
        <v>31</v>
      </c>
      <c r="G70" s="31" t="s">
        <v>25</v>
      </c>
      <c r="H70" s="31" t="s">
        <v>25</v>
      </c>
      <c r="I70" s="31" t="s">
        <v>25</v>
      </c>
      <c r="J70" s="31" t="s">
        <v>504</v>
      </c>
      <c r="K70" s="31" t="s">
        <v>505</v>
      </c>
      <c r="L70" s="31" t="s">
        <v>71</v>
      </c>
      <c r="M70" s="31">
        <v>2021</v>
      </c>
      <c r="N70" s="31">
        <v>0</v>
      </c>
      <c r="O70" s="31">
        <v>227</v>
      </c>
      <c r="P70" s="31"/>
    </row>
    <row r="71" spans="1:16" ht="11.25" customHeight="1" x14ac:dyDescent="0.25">
      <c r="A71" s="31">
        <v>70</v>
      </c>
      <c r="B71" s="31" t="s">
        <v>388</v>
      </c>
      <c r="C71" s="31" t="s">
        <v>40</v>
      </c>
      <c r="D71" s="31" t="s">
        <v>70</v>
      </c>
      <c r="E71" s="31" t="s">
        <v>41</v>
      </c>
      <c r="F71" s="31" t="s">
        <v>89</v>
      </c>
      <c r="G71" s="31" t="s">
        <v>25</v>
      </c>
      <c r="H71" s="31" t="s">
        <v>25</v>
      </c>
      <c r="I71" s="31" t="s">
        <v>507</v>
      </c>
      <c r="J71" s="31" t="s">
        <v>504</v>
      </c>
      <c r="K71" s="31" t="s">
        <v>505</v>
      </c>
      <c r="L71" s="31" t="s">
        <v>71</v>
      </c>
      <c r="M71" s="31">
        <v>2021</v>
      </c>
      <c r="N71" s="31">
        <v>0</v>
      </c>
      <c r="O71" s="31">
        <v>211.87</v>
      </c>
      <c r="P71" s="31"/>
    </row>
    <row r="72" spans="1:16" ht="11.25" customHeight="1" x14ac:dyDescent="0.25">
      <c r="A72" s="31">
        <v>71</v>
      </c>
      <c r="B72" s="31" t="s">
        <v>388</v>
      </c>
      <c r="C72" s="31" t="s">
        <v>22</v>
      </c>
      <c r="D72" s="31" t="s">
        <v>70</v>
      </c>
      <c r="E72" s="31" t="s">
        <v>24</v>
      </c>
      <c r="F72" s="31" t="s">
        <v>24</v>
      </c>
      <c r="G72" s="31" t="s">
        <v>25</v>
      </c>
      <c r="H72" s="31" t="s">
        <v>25</v>
      </c>
      <c r="I72" s="31" t="s">
        <v>38</v>
      </c>
      <c r="J72" s="31" t="s">
        <v>504</v>
      </c>
      <c r="K72" s="31" t="s">
        <v>505</v>
      </c>
      <c r="L72" s="31" t="s">
        <v>71</v>
      </c>
      <c r="M72" s="31">
        <v>2021</v>
      </c>
      <c r="N72" s="31">
        <v>0</v>
      </c>
      <c r="O72" s="31">
        <v>252.22</v>
      </c>
      <c r="P72" s="31"/>
    </row>
    <row r="73" spans="1:16" ht="11.25" customHeight="1" x14ac:dyDescent="0.25">
      <c r="A73" s="31">
        <v>72</v>
      </c>
      <c r="B73" s="31" t="s">
        <v>388</v>
      </c>
      <c r="C73" s="31" t="s">
        <v>40</v>
      </c>
      <c r="D73" s="31" t="s">
        <v>84</v>
      </c>
      <c r="E73" s="31" t="s">
        <v>41</v>
      </c>
      <c r="F73" s="31" t="s">
        <v>25</v>
      </c>
      <c r="G73" s="31" t="s">
        <v>25</v>
      </c>
      <c r="H73" s="31" t="s">
        <v>25</v>
      </c>
      <c r="I73" s="31" t="s">
        <v>25</v>
      </c>
      <c r="J73" s="31" t="s">
        <v>504</v>
      </c>
      <c r="K73" s="31" t="s">
        <v>505</v>
      </c>
      <c r="L73" s="31" t="s">
        <v>71</v>
      </c>
      <c r="M73" s="31">
        <v>2021</v>
      </c>
      <c r="N73" s="31">
        <v>0</v>
      </c>
      <c r="O73" s="31">
        <v>221.96</v>
      </c>
      <c r="P73" s="31"/>
    </row>
    <row r="74" spans="1:16" ht="11.25" customHeight="1" x14ac:dyDescent="0.25">
      <c r="A74" s="31">
        <v>73</v>
      </c>
      <c r="B74" s="31" t="s">
        <v>388</v>
      </c>
      <c r="C74" s="31" t="s">
        <v>22</v>
      </c>
      <c r="D74" s="31" t="s">
        <v>84</v>
      </c>
      <c r="E74" s="31" t="s">
        <v>24</v>
      </c>
      <c r="F74" s="31" t="s">
        <v>24</v>
      </c>
      <c r="G74" s="31" t="s">
        <v>25</v>
      </c>
      <c r="H74" s="31" t="s">
        <v>25</v>
      </c>
      <c r="I74" s="31" t="s">
        <v>25</v>
      </c>
      <c r="J74" s="31" t="s">
        <v>504</v>
      </c>
      <c r="K74" s="31" t="s">
        <v>505</v>
      </c>
      <c r="L74" s="31" t="s">
        <v>71</v>
      </c>
      <c r="M74" s="31">
        <v>2021</v>
      </c>
      <c r="N74" s="31">
        <v>0</v>
      </c>
      <c r="O74" s="31">
        <v>252.22</v>
      </c>
      <c r="P74" s="31"/>
    </row>
    <row r="75" spans="1:16" ht="11.25" customHeight="1" x14ac:dyDescent="0.25">
      <c r="A75" s="31">
        <v>74</v>
      </c>
      <c r="B75" s="31" t="s">
        <v>388</v>
      </c>
      <c r="C75" s="31" t="s">
        <v>22</v>
      </c>
      <c r="D75" s="31" t="s">
        <v>70</v>
      </c>
      <c r="E75" s="31" t="s">
        <v>24</v>
      </c>
      <c r="F75" s="31" t="s">
        <v>24</v>
      </c>
      <c r="G75" s="31" t="s">
        <v>25</v>
      </c>
      <c r="H75" s="31" t="s">
        <v>25</v>
      </c>
      <c r="I75" s="31" t="s">
        <v>507</v>
      </c>
      <c r="J75" s="31" t="s">
        <v>504</v>
      </c>
      <c r="K75" s="31" t="s">
        <v>505</v>
      </c>
      <c r="L75" s="31" t="s">
        <v>71</v>
      </c>
      <c r="M75" s="31">
        <v>2021</v>
      </c>
      <c r="N75" s="31">
        <v>0</v>
      </c>
      <c r="O75" s="31">
        <v>252.22</v>
      </c>
      <c r="P75" s="31"/>
    </row>
    <row r="76" spans="1:16" ht="11.25" customHeight="1" x14ac:dyDescent="0.25">
      <c r="A76" s="31">
        <v>75</v>
      </c>
      <c r="B76" s="31" t="s">
        <v>388</v>
      </c>
      <c r="C76" s="31" t="s">
        <v>40</v>
      </c>
      <c r="D76" s="31" t="s">
        <v>70</v>
      </c>
      <c r="E76" s="31" t="s">
        <v>41</v>
      </c>
      <c r="F76" s="31" t="s">
        <v>25</v>
      </c>
      <c r="G76" s="31" t="s">
        <v>25</v>
      </c>
      <c r="H76" s="31" t="s">
        <v>25</v>
      </c>
      <c r="I76" s="31" t="s">
        <v>507</v>
      </c>
      <c r="J76" s="31" t="s">
        <v>504</v>
      </c>
      <c r="K76" s="31" t="s">
        <v>505</v>
      </c>
      <c r="L76" s="31" t="s">
        <v>71</v>
      </c>
      <c r="M76" s="31">
        <v>2021</v>
      </c>
      <c r="N76" s="31">
        <v>0</v>
      </c>
      <c r="O76" s="31">
        <v>221.96</v>
      </c>
      <c r="P76" s="31"/>
    </row>
    <row r="77" spans="1:16" ht="11.25" customHeight="1" x14ac:dyDescent="0.25">
      <c r="A77" s="31">
        <v>76</v>
      </c>
      <c r="B77" s="31" t="s">
        <v>388</v>
      </c>
      <c r="C77" s="31" t="s">
        <v>40</v>
      </c>
      <c r="D77" s="31" t="s">
        <v>70</v>
      </c>
      <c r="E77" s="31" t="s">
        <v>41</v>
      </c>
      <c r="F77" s="31" t="s">
        <v>25</v>
      </c>
      <c r="G77" s="31" t="s">
        <v>25</v>
      </c>
      <c r="H77" s="31" t="s">
        <v>25</v>
      </c>
      <c r="I77" s="31" t="s">
        <v>38</v>
      </c>
      <c r="J77" s="31" t="s">
        <v>504</v>
      </c>
      <c r="K77" s="31" t="s">
        <v>505</v>
      </c>
      <c r="L77" s="31" t="s">
        <v>71</v>
      </c>
      <c r="M77" s="31">
        <v>2021</v>
      </c>
      <c r="N77" s="31">
        <v>0</v>
      </c>
      <c r="O77" s="31">
        <v>221.96</v>
      </c>
      <c r="P77" s="31"/>
    </row>
    <row r="78" spans="1:16" ht="11.25" customHeight="1" x14ac:dyDescent="0.25">
      <c r="A78" s="31">
        <v>77</v>
      </c>
      <c r="B78" s="31" t="s">
        <v>388</v>
      </c>
      <c r="C78" s="31" t="s">
        <v>22</v>
      </c>
      <c r="D78" s="31" t="s">
        <v>84</v>
      </c>
      <c r="E78" s="31" t="s">
        <v>24</v>
      </c>
      <c r="F78" s="31" t="s">
        <v>29</v>
      </c>
      <c r="G78" s="31" t="s">
        <v>25</v>
      </c>
      <c r="H78" s="31" t="s">
        <v>25</v>
      </c>
      <c r="I78" s="31" t="s">
        <v>25</v>
      </c>
      <c r="J78" s="31" t="s">
        <v>504</v>
      </c>
      <c r="K78" s="31" t="s">
        <v>505</v>
      </c>
      <c r="L78" s="31" t="s">
        <v>71</v>
      </c>
      <c r="M78" s="31">
        <v>2021</v>
      </c>
      <c r="N78" s="31">
        <v>0</v>
      </c>
      <c r="O78" s="31">
        <v>88.28</v>
      </c>
      <c r="P78" s="31"/>
    </row>
    <row r="79" spans="1:16" ht="11.25" customHeight="1" x14ac:dyDescent="0.25">
      <c r="A79" s="31">
        <v>78</v>
      </c>
      <c r="B79" s="31" t="s">
        <v>388</v>
      </c>
      <c r="C79" s="31" t="s">
        <v>40</v>
      </c>
      <c r="D79" s="31" t="s">
        <v>70</v>
      </c>
      <c r="E79" s="31" t="s">
        <v>41</v>
      </c>
      <c r="F79" s="31" t="s">
        <v>88</v>
      </c>
      <c r="G79" s="31" t="s">
        <v>25</v>
      </c>
      <c r="H79" s="31" t="s">
        <v>25</v>
      </c>
      <c r="I79" s="31" t="s">
        <v>507</v>
      </c>
      <c r="J79" s="31" t="s">
        <v>504</v>
      </c>
      <c r="K79" s="31" t="s">
        <v>505</v>
      </c>
      <c r="L79" s="31" t="s">
        <v>71</v>
      </c>
      <c r="M79" s="31">
        <v>2021</v>
      </c>
      <c r="N79" s="31">
        <v>0</v>
      </c>
      <c r="O79" s="31">
        <v>221.96</v>
      </c>
      <c r="P79" s="31"/>
    </row>
    <row r="80" spans="1:16" ht="11.25" customHeight="1" x14ac:dyDescent="0.25">
      <c r="A80" s="31">
        <v>79</v>
      </c>
      <c r="B80" s="31" t="s">
        <v>388</v>
      </c>
      <c r="C80" s="31" t="s">
        <v>33</v>
      </c>
      <c r="D80" s="31" t="s">
        <v>84</v>
      </c>
      <c r="E80" s="31" t="s">
        <v>25</v>
      </c>
      <c r="F80" s="31" t="s">
        <v>25</v>
      </c>
      <c r="G80" s="31" t="s">
        <v>25</v>
      </c>
      <c r="H80" s="31" t="s">
        <v>25</v>
      </c>
      <c r="I80" s="31" t="s">
        <v>25</v>
      </c>
      <c r="J80" s="31" t="s">
        <v>504</v>
      </c>
      <c r="K80" s="31" t="s">
        <v>505</v>
      </c>
      <c r="L80" s="31" t="s">
        <v>71</v>
      </c>
      <c r="M80" s="31">
        <v>2021</v>
      </c>
      <c r="N80" s="31">
        <v>0</v>
      </c>
      <c r="O80" s="31">
        <v>252.22</v>
      </c>
      <c r="P80" s="31"/>
    </row>
    <row r="81" spans="1:16" ht="11.25" customHeight="1" x14ac:dyDescent="0.25">
      <c r="A81" s="31">
        <v>80</v>
      </c>
      <c r="B81" s="31" t="s">
        <v>388</v>
      </c>
      <c r="C81" s="31" t="s">
        <v>33</v>
      </c>
      <c r="D81" s="31" t="s">
        <v>70</v>
      </c>
      <c r="E81" s="31" t="s">
        <v>25</v>
      </c>
      <c r="F81" s="31" t="s">
        <v>25</v>
      </c>
      <c r="G81" s="31" t="s">
        <v>25</v>
      </c>
      <c r="H81" s="31" t="s">
        <v>25</v>
      </c>
      <c r="I81" s="31" t="s">
        <v>37</v>
      </c>
      <c r="J81" s="31" t="s">
        <v>504</v>
      </c>
      <c r="K81" s="31" t="s">
        <v>505</v>
      </c>
      <c r="L81" s="31" t="s">
        <v>71</v>
      </c>
      <c r="M81" s="31">
        <v>2021</v>
      </c>
      <c r="N81" s="31">
        <v>0</v>
      </c>
      <c r="O81" s="31">
        <v>252.22</v>
      </c>
      <c r="P81" s="31"/>
    </row>
    <row r="82" spans="1:16" ht="11.25" customHeight="1" x14ac:dyDescent="0.25">
      <c r="A82" s="31">
        <v>81</v>
      </c>
      <c r="B82" s="31" t="s">
        <v>388</v>
      </c>
      <c r="C82" s="31" t="s">
        <v>33</v>
      </c>
      <c r="D82" s="31" t="s">
        <v>70</v>
      </c>
      <c r="E82" s="31" t="s">
        <v>25</v>
      </c>
      <c r="F82" s="31" t="s">
        <v>25</v>
      </c>
      <c r="G82" s="31" t="s">
        <v>25</v>
      </c>
      <c r="H82" s="31" t="s">
        <v>25</v>
      </c>
      <c r="I82" s="31" t="s">
        <v>507</v>
      </c>
      <c r="J82" s="31" t="s">
        <v>504</v>
      </c>
      <c r="K82" s="31" t="s">
        <v>505</v>
      </c>
      <c r="L82" s="31" t="s">
        <v>71</v>
      </c>
      <c r="M82" s="31">
        <v>2021</v>
      </c>
      <c r="N82" s="31">
        <v>0</v>
      </c>
      <c r="O82" s="31">
        <v>252.22</v>
      </c>
      <c r="P82" s="31"/>
    </row>
    <row r="83" spans="1:16" ht="11.25" customHeight="1" x14ac:dyDescent="0.25">
      <c r="A83" s="31">
        <v>82</v>
      </c>
      <c r="B83" s="31" t="s">
        <v>388</v>
      </c>
      <c r="C83" s="31" t="s">
        <v>40</v>
      </c>
      <c r="D83" s="31" t="s">
        <v>86</v>
      </c>
      <c r="E83" s="31" t="s">
        <v>41</v>
      </c>
      <c r="F83" s="31" t="s">
        <v>89</v>
      </c>
      <c r="G83" s="31" t="s">
        <v>25</v>
      </c>
      <c r="H83" s="31" t="s">
        <v>25</v>
      </c>
      <c r="I83" s="31" t="s">
        <v>25</v>
      </c>
      <c r="J83" s="31" t="s">
        <v>504</v>
      </c>
      <c r="K83" s="31" t="s">
        <v>505</v>
      </c>
      <c r="L83" s="31" t="s">
        <v>71</v>
      </c>
      <c r="M83" s="31">
        <v>2021</v>
      </c>
      <c r="N83" s="31">
        <v>0</v>
      </c>
      <c r="O83" s="31">
        <v>211.87</v>
      </c>
      <c r="P83" s="31"/>
    </row>
    <row r="84" spans="1:16" ht="11.25" customHeight="1" x14ac:dyDescent="0.25">
      <c r="A84" s="31">
        <v>83</v>
      </c>
      <c r="B84" s="31" t="s">
        <v>388</v>
      </c>
      <c r="C84" s="31" t="s">
        <v>40</v>
      </c>
      <c r="D84" s="31" t="s">
        <v>84</v>
      </c>
      <c r="E84" s="31" t="s">
        <v>41</v>
      </c>
      <c r="F84" s="31" t="s">
        <v>88</v>
      </c>
      <c r="G84" s="31" t="s">
        <v>25</v>
      </c>
      <c r="H84" s="31" t="s">
        <v>25</v>
      </c>
      <c r="I84" s="31" t="s">
        <v>25</v>
      </c>
      <c r="J84" s="31" t="s">
        <v>504</v>
      </c>
      <c r="K84" s="31" t="s">
        <v>505</v>
      </c>
      <c r="L84" s="31" t="s">
        <v>71</v>
      </c>
      <c r="M84" s="31">
        <v>2021</v>
      </c>
      <c r="N84" s="31">
        <v>0</v>
      </c>
      <c r="O84" s="31">
        <v>221.96</v>
      </c>
      <c r="P84" s="31"/>
    </row>
    <row r="85" spans="1:16" ht="11.25" customHeight="1" x14ac:dyDescent="0.25">
      <c r="A85" s="31">
        <v>84</v>
      </c>
      <c r="B85" s="31" t="s">
        <v>388</v>
      </c>
      <c r="C85" s="31" t="s">
        <v>40</v>
      </c>
      <c r="D85" s="31" t="s">
        <v>84</v>
      </c>
      <c r="E85" s="31" t="s">
        <v>41</v>
      </c>
      <c r="F85" s="31" t="s">
        <v>89</v>
      </c>
      <c r="G85" s="31" t="s">
        <v>25</v>
      </c>
      <c r="H85" s="31" t="s">
        <v>25</v>
      </c>
      <c r="I85" s="31" t="s">
        <v>25</v>
      </c>
      <c r="J85" s="31" t="s">
        <v>504</v>
      </c>
      <c r="K85" s="31" t="s">
        <v>505</v>
      </c>
      <c r="L85" s="31" t="s">
        <v>71</v>
      </c>
      <c r="M85" s="31">
        <v>2021</v>
      </c>
      <c r="N85" s="31">
        <v>0</v>
      </c>
      <c r="O85" s="31">
        <v>211.87</v>
      </c>
      <c r="P85" s="31"/>
    </row>
    <row r="86" spans="1:16" ht="11.25" customHeight="1" x14ac:dyDescent="0.25">
      <c r="A86" s="31">
        <v>85</v>
      </c>
      <c r="B86" s="31" t="s">
        <v>388</v>
      </c>
      <c r="C86" s="31" t="s">
        <v>40</v>
      </c>
      <c r="D86" s="31" t="s">
        <v>70</v>
      </c>
      <c r="E86" s="31" t="s">
        <v>41</v>
      </c>
      <c r="F86" s="31" t="s">
        <v>88</v>
      </c>
      <c r="G86" s="31" t="s">
        <v>25</v>
      </c>
      <c r="H86" s="31" t="s">
        <v>25</v>
      </c>
      <c r="I86" s="31" t="s">
        <v>37</v>
      </c>
      <c r="J86" s="31" t="s">
        <v>504</v>
      </c>
      <c r="K86" s="31" t="s">
        <v>505</v>
      </c>
      <c r="L86" s="31" t="s">
        <v>71</v>
      </c>
      <c r="M86" s="31">
        <v>2021</v>
      </c>
      <c r="N86" s="31">
        <v>0</v>
      </c>
      <c r="O86" s="31">
        <v>221.96</v>
      </c>
      <c r="P86" s="31"/>
    </row>
    <row r="87" spans="1:16" ht="11.25" customHeight="1" x14ac:dyDescent="0.25">
      <c r="A87" s="31">
        <v>86</v>
      </c>
      <c r="B87" s="31" t="s">
        <v>388</v>
      </c>
      <c r="C87" s="31" t="s">
        <v>22</v>
      </c>
      <c r="D87" s="31" t="s">
        <v>84</v>
      </c>
      <c r="E87" s="31" t="s">
        <v>24</v>
      </c>
      <c r="F87" s="31" t="s">
        <v>32</v>
      </c>
      <c r="G87" s="31" t="s">
        <v>25</v>
      </c>
      <c r="H87" s="31" t="s">
        <v>25</v>
      </c>
      <c r="I87" s="31" t="s">
        <v>25</v>
      </c>
      <c r="J87" s="31" t="s">
        <v>504</v>
      </c>
      <c r="K87" s="31" t="s">
        <v>505</v>
      </c>
      <c r="L87" s="31" t="s">
        <v>71</v>
      </c>
      <c r="M87" s="31">
        <v>2021</v>
      </c>
      <c r="N87" s="31">
        <v>0</v>
      </c>
      <c r="O87" s="31">
        <v>252.22</v>
      </c>
      <c r="P87" s="31"/>
    </row>
    <row r="88" spans="1:16" ht="11.25" customHeight="1" x14ac:dyDescent="0.25">
      <c r="A88" s="31">
        <v>87</v>
      </c>
      <c r="B88" s="31" t="s">
        <v>388</v>
      </c>
      <c r="C88" s="31" t="s">
        <v>33</v>
      </c>
      <c r="D88" s="31" t="s">
        <v>70</v>
      </c>
      <c r="E88" s="31" t="s">
        <v>25</v>
      </c>
      <c r="F88" s="31" t="s">
        <v>25</v>
      </c>
      <c r="G88" s="31" t="s">
        <v>25</v>
      </c>
      <c r="H88" s="31" t="s">
        <v>25</v>
      </c>
      <c r="I88" s="31" t="s">
        <v>38</v>
      </c>
      <c r="J88" s="31" t="s">
        <v>504</v>
      </c>
      <c r="K88" s="31" t="s">
        <v>505</v>
      </c>
      <c r="L88" s="31" t="s">
        <v>71</v>
      </c>
      <c r="M88" s="31">
        <v>2021</v>
      </c>
      <c r="N88" s="31">
        <v>0</v>
      </c>
      <c r="O88" s="31">
        <v>252.22</v>
      </c>
      <c r="P88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34D3-C244-4D7F-AA58-396D099479D6}">
  <sheetPr codeName="Planilha4"/>
  <dimension ref="A1:AD49"/>
  <sheetViews>
    <sheetView showGridLines="0" workbookViewId="0">
      <selection sqref="A1:W49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14" width="7" style="9" bestFit="1" customWidth="1"/>
    <col min="15" max="18" width="7.85546875" style="9" bestFit="1" customWidth="1"/>
    <col min="1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69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7" t="s">
        <v>35</v>
      </c>
      <c r="B2" s="87" t="s">
        <v>52</v>
      </c>
      <c r="C2" s="87" t="s">
        <v>25</v>
      </c>
      <c r="D2" s="87" t="s">
        <v>25</v>
      </c>
      <c r="E2" s="87" t="s">
        <v>25</v>
      </c>
      <c r="F2" s="87" t="s">
        <v>25</v>
      </c>
      <c r="G2" s="12" t="s">
        <v>75</v>
      </c>
      <c r="H2" s="12" t="s">
        <v>74</v>
      </c>
      <c r="I2" s="12">
        <f>SUMIF(Mercado_Receita!$S$2:$S$601,"44378A4AzulNão se aplicaNão se aplicaNão se aplicaNão se aplicaPonta",Mercado_Receita!$J$2:$J$601)+SUMIF(Mercado_Receita!$S$2:$S$601,"44378A4AzulNão se aplicaNão se aplicaAPENão se aplicaPonta",Mercado_Receita!$J$2:$J$601)</f>
        <v>0</v>
      </c>
      <c r="J2" s="12">
        <f>SUMIF(Mercado_Receita!$S$2:$S$601,"44409A4AzulNão se aplicaNão se aplicaNão se aplicaNão se aplicaPonta",Mercado_Receita!$J$2:$J$601)+SUMIF(Mercado_Receita!$S$2:$S$601,"44409A4AzulNão se aplicaNão se aplicaAPENão se aplicaPonta",Mercado_Receita!$J$2:$J$601)</f>
        <v>0</v>
      </c>
      <c r="K2" s="12">
        <f>SUMIF(Mercado_Receita!$S$2:$S$601,"44440A4AzulNão se aplicaNão se aplicaNão se aplicaNão se aplicaPonta",Mercado_Receita!$J$2:$J$601)+SUMIF(Mercado_Receita!$S$2:$S$601,"44440A4AzulNão se aplicaNão se aplicaAPENão se aplicaPonta",Mercado_Receita!$J$2:$J$601)</f>
        <v>0</v>
      </c>
      <c r="L2" s="12">
        <f>SUMIF(Mercado_Receita!$S$2:$S$601,"44470A4AzulNão se aplicaNão se aplicaNão se aplicaNão se aplicaPonta",Mercado_Receita!$J$2:$J$601)+SUMIF(Mercado_Receita!$S$2:$S$601,"44470A4AzulNão se aplicaNão se aplicaAPENão se aplicaPonta",Mercado_Receita!$J$2:$J$601)</f>
        <v>0</v>
      </c>
      <c r="M2" s="12">
        <f>SUMIF(Mercado_Receita!$S$2:$S$601,"44501A4AzulNão se aplicaNão se aplicaNão se aplicaNão se aplicaPonta",Mercado_Receita!$J$2:$J$601)+SUMIF(Mercado_Receita!$S$2:$S$601,"44501A4AzulNão se aplicaNão se aplicaAPENão se aplicaPonta",Mercado_Receita!$J$2:$J$601)</f>
        <v>0</v>
      </c>
      <c r="N2" s="12">
        <f>SUMIF(Mercado_Receita!$S$2:$S$601,"44531A4AzulNão se aplicaNão se aplicaNão se aplicaNão se aplicaPonta",Mercado_Receita!$J$2:$J$601)+SUMIF(Mercado_Receita!$S$2:$S$601,"44531A4AzulNão se aplicaNão se aplicaAPENão se aplicaPonta",Mercado_Receita!$J$2:$J$601)</f>
        <v>0</v>
      </c>
      <c r="O2" s="12">
        <f>SUMIF(Mercado_Receita!$S$2:$S$601,"44562A4AzulNão se aplicaNão se aplicaNão se aplicaNão se aplicaPonta",Mercado_Receita!$J$2:$J$601)+SUMIF(Mercado_Receita!$S$2:$S$601,"44562A4AzulNão se aplicaNão se aplicaAPENão se aplicaPonta",Mercado_Receita!$J$2:$J$601)</f>
        <v>0</v>
      </c>
      <c r="P2" s="12">
        <f>SUMIF(Mercado_Receita!$S$2:$S$601,"44593A4AzulNão se aplicaNão se aplicaNão se aplicaNão se aplicaPonta",Mercado_Receita!$J$2:$J$601)+SUMIF(Mercado_Receita!$S$2:$S$601,"44593A4AzulNão se aplicaNão se aplicaAPENão se aplicaPonta",Mercado_Receita!$J$2:$J$601)</f>
        <v>75</v>
      </c>
      <c r="Q2" s="12">
        <f>SUMIF(Mercado_Receita!$S$2:$S$601,"44621A4AzulNão se aplicaNão se aplicaNão se aplicaNão se aplicaPonta",Mercado_Receita!$J$2:$J$601)+SUMIF(Mercado_Receita!$S$2:$S$601,"44621A4AzulNão se aplicaNão se aplicaAPENão se aplicaPonta",Mercado_Receita!$J$2:$J$601)</f>
        <v>12</v>
      </c>
      <c r="R2" s="12">
        <f>SUMIF(Mercado_Receita!$S$2:$S$601,"44652A4AzulNão se aplicaNão se aplicaNão se aplicaNão se aplicaPonta",Mercado_Receita!$J$2:$J$601)+SUMIF(Mercado_Receita!$S$2:$S$601,"44652A4AzulNão se aplicaNão se aplicaAPENão se aplicaPonta",Mercado_Receita!$J$2:$J$601)</f>
        <v>11</v>
      </c>
      <c r="S2" s="12">
        <f>SUMIF(Mercado_Receita!$S$2:$S$601,"44682A4AzulNão se aplicaNão se aplicaNão se aplicaNão se aplicaPonta",Mercado_Receita!$J$2:$J$601)+SUMIF(Mercado_Receita!$S$2:$S$601,"44682A4AzulNão se aplicaNão se aplicaAPENão se aplicaPonta",Mercado_Receita!$J$2:$J$601)</f>
        <v>80</v>
      </c>
      <c r="T2" s="12">
        <f>SUMIF(Mercado_Receita!$S$2:$S$601,"44713A4AzulNão se aplicaNão se aplicaNão se aplicaNão se aplicaPonta",Mercado_Receita!$J$2:$J$601)+SUMIF(Mercado_Receita!$S$2:$S$601,"44713A4AzulNão se aplicaNão se aplicaAPENão se aplicaPonta",Mercado_Receita!$J$2:$J$601)</f>
        <v>272</v>
      </c>
      <c r="U2" s="12">
        <f t="shared" ref="U2:U48" si="0">SUM(I2:T2)</f>
        <v>450</v>
      </c>
      <c r="V2" s="12"/>
      <c r="W2" s="12"/>
    </row>
    <row r="3" spans="1:30" ht="11.25" customHeight="1" x14ac:dyDescent="0.25">
      <c r="A3" s="88"/>
      <c r="B3" s="88"/>
      <c r="C3" s="88"/>
      <c r="D3" s="88"/>
      <c r="E3" s="88"/>
      <c r="F3" s="88"/>
      <c r="G3" s="12" t="s">
        <v>76</v>
      </c>
      <c r="H3" s="12" t="s">
        <v>74</v>
      </c>
      <c r="I3" s="12">
        <f>SUMIF(Mercado_Receita!$S$2:$S$601,"44378A4AzulNão se aplicaNão se aplicaNão se aplicaNão se aplicaFora ponta",Mercado_Receita!$J$2:$J$601)+SUMIF(Mercado_Receita!$S$2:$S$601,"44378A4AzulNão se aplicaNão se aplicaAPENão se aplicaFora ponta",Mercado_Receita!$J$2:$J$601)</f>
        <v>0</v>
      </c>
      <c r="J3" s="12">
        <f>SUMIF(Mercado_Receita!$S$2:$S$601,"44409A4AzulNão se aplicaNão se aplicaNão se aplicaNão se aplicaFora ponta",Mercado_Receita!$J$2:$J$601)+SUMIF(Mercado_Receita!$S$2:$S$601,"44409A4AzulNão se aplicaNão se aplicaAPENão se aplicaFora ponta",Mercado_Receita!$J$2:$J$601)</f>
        <v>0</v>
      </c>
      <c r="K3" s="12">
        <f>SUMIF(Mercado_Receita!$S$2:$S$601,"44440A4AzulNão se aplicaNão se aplicaNão se aplicaNão se aplicaFora ponta",Mercado_Receita!$J$2:$J$601)+SUMIF(Mercado_Receita!$S$2:$S$601,"44440A4AzulNão se aplicaNão se aplicaAPENão se aplicaFora ponta",Mercado_Receita!$J$2:$J$601)</f>
        <v>0</v>
      </c>
      <c r="L3" s="12">
        <f>SUMIF(Mercado_Receita!$S$2:$S$601,"44470A4AzulNão se aplicaNão se aplicaNão se aplicaNão se aplicaFora ponta",Mercado_Receita!$J$2:$J$601)+SUMIF(Mercado_Receita!$S$2:$S$601,"44470A4AzulNão se aplicaNão se aplicaAPENão se aplicaFora ponta",Mercado_Receita!$J$2:$J$601)</f>
        <v>0</v>
      </c>
      <c r="M3" s="12">
        <f>SUMIF(Mercado_Receita!$S$2:$S$601,"44501A4AzulNão se aplicaNão se aplicaNão se aplicaNão se aplicaFora ponta",Mercado_Receita!$J$2:$J$601)+SUMIF(Mercado_Receita!$S$2:$S$601,"44501A4AzulNão se aplicaNão se aplicaAPENão se aplicaFora ponta",Mercado_Receita!$J$2:$J$601)</f>
        <v>0</v>
      </c>
      <c r="N3" s="12">
        <f>SUMIF(Mercado_Receita!$S$2:$S$601,"44531A4AzulNão se aplicaNão se aplicaNão se aplicaNão se aplicaFora ponta",Mercado_Receita!$J$2:$J$601)+SUMIF(Mercado_Receita!$S$2:$S$601,"44531A4AzulNão se aplicaNão se aplicaAPENão se aplicaFora ponta",Mercado_Receita!$J$2:$J$601)</f>
        <v>0</v>
      </c>
      <c r="O3" s="12">
        <f>SUMIF(Mercado_Receita!$S$2:$S$601,"44562A4AzulNão se aplicaNão se aplicaNão se aplicaNão se aplicaFora ponta",Mercado_Receita!$J$2:$J$601)+SUMIF(Mercado_Receita!$S$2:$S$601,"44562A4AzulNão se aplicaNão se aplicaAPENão se aplicaFora ponta",Mercado_Receita!$J$2:$J$601)</f>
        <v>0</v>
      </c>
      <c r="P3" s="12">
        <f>SUMIF(Mercado_Receita!$S$2:$S$601,"44593A4AzulNão se aplicaNão se aplicaNão se aplicaNão se aplicaFora ponta",Mercado_Receita!$J$2:$J$601)+SUMIF(Mercado_Receita!$S$2:$S$601,"44593A4AzulNão se aplicaNão se aplicaAPENão se aplicaFora ponta",Mercado_Receita!$J$2:$J$601)</f>
        <v>75</v>
      </c>
      <c r="Q3" s="12">
        <f>SUMIF(Mercado_Receita!$S$2:$S$601,"44621A4AzulNão se aplicaNão se aplicaNão se aplicaNão se aplicaFora ponta",Mercado_Receita!$J$2:$J$601)+SUMIF(Mercado_Receita!$S$2:$S$601,"44621A4AzulNão se aplicaNão se aplicaAPENão se aplicaFora ponta",Mercado_Receita!$J$2:$J$601)</f>
        <v>64</v>
      </c>
      <c r="R3" s="12">
        <f>SUMIF(Mercado_Receita!$S$2:$S$601,"44652A4AzulNão se aplicaNão se aplicaNão se aplicaNão se aplicaFora ponta",Mercado_Receita!$J$2:$J$601)+SUMIF(Mercado_Receita!$S$2:$S$601,"44652A4AzulNão se aplicaNão se aplicaAPENão se aplicaFora ponta",Mercado_Receita!$J$2:$J$601)</f>
        <v>65</v>
      </c>
      <c r="S3" s="12">
        <f>SUMIF(Mercado_Receita!$S$2:$S$601,"44682A4AzulNão se aplicaNão se aplicaNão se aplicaNão se aplicaFora ponta",Mercado_Receita!$J$2:$J$601)+SUMIF(Mercado_Receita!$S$2:$S$601,"44682A4AzulNão se aplicaNão se aplicaAPENão se aplicaFora ponta",Mercado_Receita!$J$2:$J$601)</f>
        <v>93</v>
      </c>
      <c r="T3" s="12">
        <f>SUMIF(Mercado_Receita!$S$2:$S$601,"44713A4AzulNão se aplicaNão se aplicaNão se aplicaNão se aplicaFora ponta",Mercado_Receita!$J$2:$J$601)+SUMIF(Mercado_Receita!$S$2:$S$601,"44713A4AzulNão se aplicaNão se aplicaAPENão se aplicaFora ponta",Mercado_Receita!$J$2:$J$601)</f>
        <v>656</v>
      </c>
      <c r="U3" s="12">
        <f t="shared" si="0"/>
        <v>953</v>
      </c>
      <c r="V3" s="12"/>
      <c r="W3" s="12"/>
    </row>
    <row r="4" spans="1:30" ht="11.25" customHeight="1" x14ac:dyDescent="0.25">
      <c r="A4" s="88"/>
      <c r="B4" s="88"/>
      <c r="C4" s="88"/>
      <c r="D4" s="88"/>
      <c r="E4" s="88"/>
      <c r="F4" s="88"/>
      <c r="G4" s="12" t="s">
        <v>77</v>
      </c>
      <c r="H4" s="12" t="s">
        <v>71</v>
      </c>
      <c r="I4" s="12">
        <f>SUMIF(Mercado_Receita!$S$2:$S$601,"44378A4AzulNão se aplicaNão se aplicaNão se aplicaNão se aplicaPonta",Mercado_Receita!$L$2:$L$601)+SUMIF(Mercado_Receita!$S$2:$S$601,"44378A4AzulNão se aplicaNão se aplicaNão se aplicaNão se aplicaFora ponta",Mercado_Receita!$L$2:$L$601)+SUMIF(Mercado_Receita!$S$2:$S$601,"44378A4AzulNão se aplicaNão se aplicaNão se aplicaNão se aplicaIntermediário",Mercado_Receita!$L$2:$L$601)+SUMIF(Mercado_Receita!$S$2:$S$601,"44378A4AzulNão se aplicaNão se aplicaNão se aplicaNão se aplicaNão se aplica",Mercado_Receita!$L$2:$L$601)</f>
        <v>0</v>
      </c>
      <c r="J4" s="12">
        <f>SUMIF(Mercado_Receita!$S$2:$S$601,"44409A4AzulNão se aplicaNão se aplicaNão se aplicaNão se aplicaPonta",Mercado_Receita!$L$2:$L$601)+SUMIF(Mercado_Receita!$S$2:$S$601,"44409A4AzulNão se aplicaNão se aplicaNão se aplicaNão se aplicaFora ponta",Mercado_Receita!$L$2:$L$601)+SUMIF(Mercado_Receita!$S$2:$S$601,"44409A4AzulNão se aplicaNão se aplicaNão se aplicaNão se aplicaIntermediário",Mercado_Receita!$L$2:$L$601)+SUMIF(Mercado_Receita!$S$2:$S$601,"44409A4AzulNão se aplicaNão se aplicaNão se aplicaNão se aplicaNão se aplica",Mercado_Receita!$L$2:$L$601)</f>
        <v>0</v>
      </c>
      <c r="K4" s="12">
        <f>SUMIF(Mercado_Receita!$S$2:$S$601,"44440A4AzulNão se aplicaNão se aplicaNão se aplicaNão se aplicaPonta",Mercado_Receita!$L$2:$L$601)+SUMIF(Mercado_Receita!$S$2:$S$601,"44440A4AzulNão se aplicaNão se aplicaNão se aplicaNão se aplicaFora ponta",Mercado_Receita!$L$2:$L$601)+SUMIF(Mercado_Receita!$S$2:$S$601,"44440A4AzulNão se aplicaNão se aplicaNão se aplicaNão se aplicaIntermediário",Mercado_Receita!$L$2:$L$601)+SUMIF(Mercado_Receita!$S$2:$S$601,"44440A4AzulNão se aplicaNão se aplicaNão se aplicaNão se aplicaNão se aplica",Mercado_Receita!$L$2:$L$601)</f>
        <v>0</v>
      </c>
      <c r="L4" s="12">
        <f>SUMIF(Mercado_Receita!$S$2:$S$601,"44470A4AzulNão se aplicaNão se aplicaNão se aplicaNão se aplicaPonta",Mercado_Receita!$L$2:$L$601)+SUMIF(Mercado_Receita!$S$2:$S$601,"44470A4AzulNão se aplicaNão se aplicaNão se aplicaNão se aplicaFora ponta",Mercado_Receita!$L$2:$L$601)+SUMIF(Mercado_Receita!$S$2:$S$601,"44470A4AzulNão se aplicaNão se aplicaNão se aplicaNão se aplicaIntermediário",Mercado_Receita!$L$2:$L$601)+SUMIF(Mercado_Receita!$S$2:$S$601,"44470A4AzulNão se aplicaNão se aplicaNão se aplicaNão se aplicaNão se aplica",Mercado_Receita!$L$2:$L$601)</f>
        <v>0</v>
      </c>
      <c r="M4" s="12">
        <f>SUMIF(Mercado_Receita!$S$2:$S$601,"44501A4AzulNão se aplicaNão se aplicaNão se aplicaNão se aplicaPonta",Mercado_Receita!$L$2:$L$601)+SUMIF(Mercado_Receita!$S$2:$S$601,"44501A4AzulNão se aplicaNão se aplicaNão se aplicaNão se aplicaFora ponta",Mercado_Receita!$L$2:$L$601)+SUMIF(Mercado_Receita!$S$2:$S$601,"44501A4AzulNão se aplicaNão se aplicaNão se aplicaNão se aplicaIntermediário",Mercado_Receita!$L$2:$L$601)+SUMIF(Mercado_Receita!$S$2:$S$601,"44501A4AzulNão se aplicaNão se aplicaNão se aplicaNão se aplicaNão se aplica",Mercado_Receita!$L$2:$L$601)</f>
        <v>0</v>
      </c>
      <c r="N4" s="12">
        <f>SUMIF(Mercado_Receita!$S$2:$S$601,"44531A4AzulNão se aplicaNão se aplicaNão se aplicaNão se aplicaPonta",Mercado_Receita!$L$2:$L$601)+SUMIF(Mercado_Receita!$S$2:$S$601,"44531A4AzulNão se aplicaNão se aplicaNão se aplicaNão se aplicaFora ponta",Mercado_Receita!$L$2:$L$601)+SUMIF(Mercado_Receita!$S$2:$S$601,"44531A4AzulNão se aplicaNão se aplicaNão se aplicaNão se aplicaIntermediário",Mercado_Receita!$L$2:$L$601)+SUMIF(Mercado_Receita!$S$2:$S$601,"44531A4AzulNão se aplicaNão se aplicaNão se aplicaNão se aplicaNão se aplica",Mercado_Receita!$L$2:$L$601)</f>
        <v>0</v>
      </c>
      <c r="O4" s="12">
        <f>SUMIF(Mercado_Receita!$S$2:$S$601,"44562A4AzulNão se aplicaNão se aplicaNão se aplicaNão se aplicaPonta",Mercado_Receita!$L$2:$L$601)+SUMIF(Mercado_Receita!$S$2:$S$601,"44562A4AzulNão se aplicaNão se aplicaNão se aplicaNão se aplicaFora ponta",Mercado_Receita!$L$2:$L$601)+SUMIF(Mercado_Receita!$S$2:$S$601,"44562A4AzulNão se aplicaNão se aplicaNão se aplicaNão se aplicaIntermediário",Mercado_Receita!$L$2:$L$601)+SUMIF(Mercado_Receita!$S$2:$S$601,"44562A4AzulNão se aplicaNão se aplicaNão se aplicaNão se aplicaNão se aplica",Mercado_Receita!$L$2:$L$601)</f>
        <v>0</v>
      </c>
      <c r="P4" s="12">
        <f>SUMIF(Mercado_Receita!$S$2:$S$601,"44593A4AzulNão se aplicaNão se aplicaNão se aplicaNão se aplicaPonta",Mercado_Receita!$L$2:$L$601)+SUMIF(Mercado_Receita!$S$2:$S$601,"44593A4AzulNão se aplicaNão se aplicaNão se aplicaNão se aplicaFora ponta",Mercado_Receita!$L$2:$L$601)+SUMIF(Mercado_Receita!$S$2:$S$601,"44593A4AzulNão se aplicaNão se aplicaNão se aplicaNão se aplicaIntermediário",Mercado_Receita!$L$2:$L$601)+SUMIF(Mercado_Receita!$S$2:$S$601,"44593A4AzulNão se aplicaNão se aplicaNão se aplicaNão se aplicaNão se aplica",Mercado_Receita!$L$2:$L$601)</f>
        <v>0</v>
      </c>
      <c r="Q4" s="12">
        <f>SUMIF(Mercado_Receita!$S$2:$S$601,"44621A4AzulNão se aplicaNão se aplicaNão se aplicaNão se aplicaPonta",Mercado_Receita!$L$2:$L$601)+SUMIF(Mercado_Receita!$S$2:$S$601,"44621A4AzulNão se aplicaNão se aplicaNão se aplicaNão se aplicaFora ponta",Mercado_Receita!$L$2:$L$601)+SUMIF(Mercado_Receita!$S$2:$S$601,"44621A4AzulNão se aplicaNão se aplicaNão se aplicaNão se aplicaIntermediário",Mercado_Receita!$L$2:$L$601)+SUMIF(Mercado_Receita!$S$2:$S$601,"44621A4AzulNão se aplicaNão se aplicaNão se aplicaNão se aplicaNão se aplica",Mercado_Receita!$L$2:$L$601)</f>
        <v>0</v>
      </c>
      <c r="R4" s="12">
        <f>SUMIF(Mercado_Receita!$S$2:$S$601,"44652A4AzulNão se aplicaNão se aplicaNão se aplicaNão se aplicaPonta",Mercado_Receita!$L$2:$L$601)+SUMIF(Mercado_Receita!$S$2:$S$601,"44652A4AzulNão se aplicaNão se aplicaNão se aplicaNão se aplicaFora ponta",Mercado_Receita!$L$2:$L$601)+SUMIF(Mercado_Receita!$S$2:$S$601,"44652A4AzulNão se aplicaNão se aplicaNão se aplicaNão se aplicaIntermediário",Mercado_Receita!$L$2:$L$601)+SUMIF(Mercado_Receita!$S$2:$S$601,"44652A4AzulNão se aplicaNão se aplicaNão se aplicaNão se aplicaNão se aplica",Mercado_Receita!$L$2:$L$601)</f>
        <v>0</v>
      </c>
      <c r="S4" s="12">
        <f>SUMIF(Mercado_Receita!$S$2:$S$601,"44682A4AzulNão se aplicaNão se aplicaNão se aplicaNão se aplicaPonta",Mercado_Receita!$L$2:$L$601)+SUMIF(Mercado_Receita!$S$2:$S$601,"44682A4AzulNão se aplicaNão se aplicaNão se aplicaNão se aplicaFora ponta",Mercado_Receita!$L$2:$L$601)+SUMIF(Mercado_Receita!$S$2:$S$601,"44682A4AzulNão se aplicaNão se aplicaNão se aplicaNão se aplicaIntermediário",Mercado_Receita!$L$2:$L$601)+SUMIF(Mercado_Receita!$S$2:$S$601,"44682A4AzulNão se aplicaNão se aplicaNão se aplicaNão se aplicaNão se aplica",Mercado_Receita!$L$2:$L$601)</f>
        <v>11.997999999999999</v>
      </c>
      <c r="T4" s="12">
        <f>SUMIF(Mercado_Receita!$S$2:$S$601,"44713A4AzulNão se aplicaNão se aplicaNão se aplicaNão se aplicaPonta",Mercado_Receita!$L$2:$L$601)+SUMIF(Mercado_Receita!$S$2:$S$601,"44713A4AzulNão se aplicaNão se aplicaNão se aplicaNão se aplicaFora ponta",Mercado_Receita!$L$2:$L$601)+SUMIF(Mercado_Receita!$S$2:$S$601,"44713A4AzulNão se aplicaNão se aplicaNão se aplicaNão se aplicaIntermediário",Mercado_Receita!$L$2:$L$601)+SUMIF(Mercado_Receita!$S$2:$S$601,"44713A4AzulNão se aplicaNão se aplicaNão se aplicaNão se aplicaNão se aplica",Mercado_Receita!$L$2:$L$601)</f>
        <v>248.58800000000002</v>
      </c>
      <c r="U4" s="12">
        <f t="shared" si="0"/>
        <v>260.58600000000001</v>
      </c>
      <c r="V4" s="12"/>
      <c r="W4" s="12"/>
    </row>
    <row r="5" spans="1:30" ht="11.25" customHeight="1" x14ac:dyDescent="0.25">
      <c r="A5" s="88"/>
      <c r="B5" s="88"/>
      <c r="C5" s="88"/>
      <c r="D5" s="88"/>
      <c r="E5" s="13" t="s">
        <v>78</v>
      </c>
      <c r="F5" s="13" t="s">
        <v>25</v>
      </c>
      <c r="G5" s="12" t="s">
        <v>77</v>
      </c>
      <c r="H5" s="12" t="s">
        <v>71</v>
      </c>
      <c r="I5" s="12">
        <f>SUMIF(Mercado_Receita!$S$2:$S$601,"44378A4AzulNão se aplicaNão se aplicaAPENão se aplicaPonta",Mercado_Receita!$L$2:$L$601)+SUMIF(Mercado_Receita!$S$2:$S$601,"44378A4AzulNão se aplicaNão se aplicaAPENão se aplicaFora ponta",Mercado_Receita!$L$2:$L$601)+SUMIF(Mercado_Receita!$S$2:$S$601,"44378A4AzulNão se aplicaNão se aplicaAPENão se aplicaIntermediário",Mercado_Receita!$L$2:$L$601)+SUMIF(Mercado_Receita!$S$2:$S$601,"44378A4AzulNão se aplicaNão se aplicaAPENão se aplicaNão se aplica",Mercado_Receita!$L$2:$L$601)</f>
        <v>0</v>
      </c>
      <c r="J5" s="12">
        <f>SUMIF(Mercado_Receita!$S$2:$S$601,"44409A4AzulNão se aplicaNão se aplicaAPENão se aplicaPonta",Mercado_Receita!$L$2:$L$601)+SUMIF(Mercado_Receita!$S$2:$S$601,"44409A4AzulNão se aplicaNão se aplicaAPENão se aplicaFora ponta",Mercado_Receita!$L$2:$L$601)+SUMIF(Mercado_Receita!$S$2:$S$601,"44409A4AzulNão se aplicaNão se aplicaAPENão se aplicaIntermediário",Mercado_Receita!$L$2:$L$601)+SUMIF(Mercado_Receita!$S$2:$S$601,"44409A4AzulNão se aplicaNão se aplicaAPENão se aplicaNão se aplica",Mercado_Receita!$L$2:$L$601)</f>
        <v>0</v>
      </c>
      <c r="K5" s="12">
        <f>SUMIF(Mercado_Receita!$S$2:$S$601,"44440A4AzulNão se aplicaNão se aplicaAPENão se aplicaPonta",Mercado_Receita!$L$2:$L$601)+SUMIF(Mercado_Receita!$S$2:$S$601,"44440A4AzulNão se aplicaNão se aplicaAPENão se aplicaFora ponta",Mercado_Receita!$L$2:$L$601)+SUMIF(Mercado_Receita!$S$2:$S$601,"44440A4AzulNão se aplicaNão se aplicaAPENão se aplicaIntermediário",Mercado_Receita!$L$2:$L$601)+SUMIF(Mercado_Receita!$S$2:$S$601,"44440A4AzulNão se aplicaNão se aplicaAPENão se aplicaNão se aplica",Mercado_Receita!$L$2:$L$601)</f>
        <v>0</v>
      </c>
      <c r="L5" s="12">
        <f>SUMIF(Mercado_Receita!$S$2:$S$601,"44470A4AzulNão se aplicaNão se aplicaAPENão se aplicaPonta",Mercado_Receita!$L$2:$L$601)+SUMIF(Mercado_Receita!$S$2:$S$601,"44470A4AzulNão se aplicaNão se aplicaAPENão se aplicaFora ponta",Mercado_Receita!$L$2:$L$601)+SUMIF(Mercado_Receita!$S$2:$S$601,"44470A4AzulNão se aplicaNão se aplicaAPENão se aplicaIntermediário",Mercado_Receita!$L$2:$L$601)+SUMIF(Mercado_Receita!$S$2:$S$601,"44470A4AzulNão se aplicaNão se aplicaAPENão se aplicaNão se aplica",Mercado_Receita!$L$2:$L$601)</f>
        <v>0</v>
      </c>
      <c r="M5" s="12">
        <f>SUMIF(Mercado_Receita!$S$2:$S$601,"44501A4AzulNão se aplicaNão se aplicaAPENão se aplicaPonta",Mercado_Receita!$L$2:$L$601)+SUMIF(Mercado_Receita!$S$2:$S$601,"44501A4AzulNão se aplicaNão se aplicaAPENão se aplicaFora ponta",Mercado_Receita!$L$2:$L$601)+SUMIF(Mercado_Receita!$S$2:$S$601,"44501A4AzulNão se aplicaNão se aplicaAPENão se aplicaIntermediário",Mercado_Receita!$L$2:$L$601)+SUMIF(Mercado_Receita!$S$2:$S$601,"44501A4AzulNão se aplicaNão se aplicaAPENão se aplicaNão se aplica",Mercado_Receita!$L$2:$L$601)</f>
        <v>0</v>
      </c>
      <c r="N5" s="12">
        <f>SUMIF(Mercado_Receita!$S$2:$S$601,"44531A4AzulNão se aplicaNão se aplicaAPENão se aplicaPonta",Mercado_Receita!$L$2:$L$601)+SUMIF(Mercado_Receita!$S$2:$S$601,"44531A4AzulNão se aplicaNão se aplicaAPENão se aplicaFora ponta",Mercado_Receita!$L$2:$L$601)+SUMIF(Mercado_Receita!$S$2:$S$601,"44531A4AzulNão se aplicaNão se aplicaAPENão se aplicaIntermediário",Mercado_Receita!$L$2:$L$601)+SUMIF(Mercado_Receita!$S$2:$S$601,"44531A4AzulNão se aplicaNão se aplicaAPENão se aplicaNão se aplica",Mercado_Receita!$L$2:$L$601)</f>
        <v>0</v>
      </c>
      <c r="O5" s="12">
        <f>SUMIF(Mercado_Receita!$S$2:$S$601,"44562A4AzulNão se aplicaNão se aplicaAPENão se aplicaPonta",Mercado_Receita!$L$2:$L$601)+SUMIF(Mercado_Receita!$S$2:$S$601,"44562A4AzulNão se aplicaNão se aplicaAPENão se aplicaFora ponta",Mercado_Receita!$L$2:$L$601)+SUMIF(Mercado_Receita!$S$2:$S$601,"44562A4AzulNão se aplicaNão se aplicaAPENão se aplicaIntermediário",Mercado_Receita!$L$2:$L$601)+SUMIF(Mercado_Receita!$S$2:$S$601,"44562A4AzulNão se aplicaNão se aplicaAPENão se aplicaNão se aplica",Mercado_Receita!$L$2:$L$601)</f>
        <v>0</v>
      </c>
      <c r="P5" s="12">
        <f>SUMIF(Mercado_Receita!$S$2:$S$601,"44593A4AzulNão se aplicaNão se aplicaAPENão se aplicaPonta",Mercado_Receita!$L$2:$L$601)+SUMIF(Mercado_Receita!$S$2:$S$601,"44593A4AzulNão se aplicaNão se aplicaAPENão se aplicaFora ponta",Mercado_Receita!$L$2:$L$601)+SUMIF(Mercado_Receita!$S$2:$S$601,"44593A4AzulNão se aplicaNão se aplicaAPENão se aplicaIntermediário",Mercado_Receita!$L$2:$L$601)+SUMIF(Mercado_Receita!$S$2:$S$601,"44593A4AzulNão se aplicaNão se aplicaAPENão se aplicaNão se aplica",Mercado_Receita!$L$2:$L$601)</f>
        <v>0</v>
      </c>
      <c r="Q5" s="12">
        <f>SUMIF(Mercado_Receita!$S$2:$S$601,"44621A4AzulNão se aplicaNão se aplicaAPENão se aplicaPonta",Mercado_Receita!$L$2:$L$601)+SUMIF(Mercado_Receita!$S$2:$S$601,"44621A4AzulNão se aplicaNão se aplicaAPENão se aplicaFora ponta",Mercado_Receita!$L$2:$L$601)+SUMIF(Mercado_Receita!$S$2:$S$601,"44621A4AzulNão se aplicaNão se aplicaAPENão se aplicaIntermediário",Mercado_Receita!$L$2:$L$601)+SUMIF(Mercado_Receita!$S$2:$S$601,"44621A4AzulNão se aplicaNão se aplicaAPENão se aplicaNão se aplica",Mercado_Receita!$L$2:$L$601)</f>
        <v>0</v>
      </c>
      <c r="R5" s="12">
        <f>SUMIF(Mercado_Receita!$S$2:$S$601,"44652A4AzulNão se aplicaNão se aplicaAPENão se aplicaPonta",Mercado_Receita!$L$2:$L$601)+SUMIF(Mercado_Receita!$S$2:$S$601,"44652A4AzulNão se aplicaNão se aplicaAPENão se aplicaFora ponta",Mercado_Receita!$L$2:$L$601)+SUMIF(Mercado_Receita!$S$2:$S$601,"44652A4AzulNão se aplicaNão se aplicaAPENão se aplicaIntermediário",Mercado_Receita!$L$2:$L$601)+SUMIF(Mercado_Receita!$S$2:$S$601,"44652A4AzulNão se aplicaNão se aplicaAPENão se aplicaNão se aplica",Mercado_Receita!$L$2:$L$601)</f>
        <v>0</v>
      </c>
      <c r="S5" s="12">
        <f>SUMIF(Mercado_Receita!$S$2:$S$601,"44682A4AzulNão se aplicaNão se aplicaAPENão se aplicaPonta",Mercado_Receita!$L$2:$L$601)+SUMIF(Mercado_Receita!$S$2:$S$601,"44682A4AzulNão se aplicaNão se aplicaAPENão se aplicaFora ponta",Mercado_Receita!$L$2:$L$601)+SUMIF(Mercado_Receita!$S$2:$S$601,"44682A4AzulNão se aplicaNão se aplicaAPENão se aplicaIntermediário",Mercado_Receita!$L$2:$L$601)+SUMIF(Mercado_Receita!$S$2:$S$601,"44682A4AzulNão se aplicaNão se aplicaAPENão se aplicaNão se aplica",Mercado_Receita!$L$2:$L$601)</f>
        <v>0</v>
      </c>
      <c r="T5" s="12">
        <f>SUMIF(Mercado_Receita!$S$2:$S$601,"44713A4AzulNão se aplicaNão se aplicaAPENão se aplicaPonta",Mercado_Receita!$L$2:$L$601)+SUMIF(Mercado_Receita!$S$2:$S$601,"44713A4AzulNão se aplicaNão se aplicaAPENão se aplicaFora ponta",Mercado_Receita!$L$2:$L$601)+SUMIF(Mercado_Receita!$S$2:$S$601,"44713A4AzulNão se aplicaNão se aplicaAPENão se aplicaIntermediário",Mercado_Receita!$L$2:$L$601)+SUMIF(Mercado_Receita!$S$2:$S$601,"44713A4AzulNão se aplicaNão se aplicaAPENão se aplicaNão se aplica",Mercado_Receita!$L$2:$L$601)</f>
        <v>0</v>
      </c>
      <c r="U5" s="12">
        <f t="shared" si="0"/>
        <v>0</v>
      </c>
      <c r="V5" s="12"/>
      <c r="W5" s="12"/>
    </row>
    <row r="6" spans="1:30" ht="11.25" customHeight="1" x14ac:dyDescent="0.25">
      <c r="A6" s="88"/>
      <c r="B6" s="13" t="s">
        <v>79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74</v>
      </c>
      <c r="I6" s="12">
        <f>SUMIF(Mercado_Receita!$S$2:$S$601,"44378A4GeraçãoNão se aplicaNão se aplicaNão se aplicaNão se aplicaNão se aplica",Mercado_Receita!$J$2:$J$601)+SUMIF(Mercado_Receita!$S$2:$S$601,"44378A4GeraçãoNão se aplicaNão se aplicaAPENão se aplicaNão se aplica",Mercado_Receita!$J$2:$J$601)</f>
        <v>0</v>
      </c>
      <c r="J6" s="12">
        <f>SUMIF(Mercado_Receita!$S$2:$S$601,"44409A4GeraçãoNão se aplicaNão se aplicaNão se aplicaNão se aplicaNão se aplica",Mercado_Receita!$J$2:$J$601)+SUMIF(Mercado_Receita!$S$2:$S$601,"44409A4GeraçãoNão se aplicaNão se aplicaAPENão se aplicaNão se aplica",Mercado_Receita!$J$2:$J$601)</f>
        <v>0</v>
      </c>
      <c r="K6" s="12">
        <f>SUMIF(Mercado_Receita!$S$2:$S$601,"44440A4GeraçãoNão se aplicaNão se aplicaNão se aplicaNão se aplicaNão se aplica",Mercado_Receita!$J$2:$J$601)+SUMIF(Mercado_Receita!$S$2:$S$601,"44440A4GeraçãoNão se aplicaNão se aplicaAPENão se aplicaNão se aplica",Mercado_Receita!$J$2:$J$601)</f>
        <v>0</v>
      </c>
      <c r="L6" s="12">
        <f>SUMIF(Mercado_Receita!$S$2:$S$601,"44470A4GeraçãoNão se aplicaNão se aplicaNão se aplicaNão se aplicaNão se aplica",Mercado_Receita!$J$2:$J$601)+SUMIF(Mercado_Receita!$S$2:$S$601,"44470A4GeraçãoNão se aplicaNão se aplicaAPENão se aplicaNão se aplica",Mercado_Receita!$J$2:$J$601)</f>
        <v>0</v>
      </c>
      <c r="M6" s="12">
        <f>SUMIF(Mercado_Receita!$S$2:$S$601,"44501A4GeraçãoNão se aplicaNão se aplicaNão se aplicaNão se aplicaNão se aplica",Mercado_Receita!$J$2:$J$601)+SUMIF(Mercado_Receita!$S$2:$S$601,"44501A4GeraçãoNão se aplicaNão se aplicaAPENão se aplicaNão se aplica",Mercado_Receita!$J$2:$J$601)</f>
        <v>0</v>
      </c>
      <c r="N6" s="12">
        <f>SUMIF(Mercado_Receita!$S$2:$S$601,"44531A4GeraçãoNão se aplicaNão se aplicaNão se aplicaNão se aplicaNão se aplica",Mercado_Receita!$J$2:$J$601)+SUMIF(Mercado_Receita!$S$2:$S$601,"44531A4GeraçãoNão se aplicaNão se aplicaAPENão se aplicaNão se aplica",Mercado_Receita!$J$2:$J$601)</f>
        <v>0</v>
      </c>
      <c r="O6" s="12">
        <f>SUMIF(Mercado_Receita!$S$2:$S$601,"44562A4GeraçãoNão se aplicaNão se aplicaNão se aplicaNão se aplicaNão se aplica",Mercado_Receita!$J$2:$J$601)+SUMIF(Mercado_Receita!$S$2:$S$601,"44562A4GeraçãoNão se aplicaNão se aplicaAPENão se aplicaNão se aplica",Mercado_Receita!$J$2:$J$601)</f>
        <v>0</v>
      </c>
      <c r="P6" s="12">
        <f>SUMIF(Mercado_Receita!$S$2:$S$601,"44593A4GeraçãoNão se aplicaNão se aplicaNão se aplicaNão se aplicaNão se aplica",Mercado_Receita!$J$2:$J$601)+SUMIF(Mercado_Receita!$S$2:$S$601,"44593A4GeraçãoNão se aplicaNão se aplicaAPENão se aplicaNão se aplica",Mercado_Receita!$J$2:$J$601)</f>
        <v>0</v>
      </c>
      <c r="Q6" s="12">
        <f>SUMIF(Mercado_Receita!$S$2:$S$601,"44621A4GeraçãoNão se aplicaNão se aplicaNão se aplicaNão se aplicaNão se aplica",Mercado_Receita!$J$2:$J$601)+SUMIF(Mercado_Receita!$S$2:$S$601,"44621A4GeraçãoNão se aplicaNão se aplicaAPENão se aplicaNão se aplica",Mercado_Receita!$J$2:$J$601)</f>
        <v>0</v>
      </c>
      <c r="R6" s="12">
        <f>SUMIF(Mercado_Receita!$S$2:$S$601,"44652A4GeraçãoNão se aplicaNão se aplicaNão se aplicaNão se aplicaNão se aplica",Mercado_Receita!$J$2:$J$601)+SUMIF(Mercado_Receita!$S$2:$S$601,"44652A4GeraçãoNão se aplicaNão se aplicaAPENão se aplicaNão se aplica",Mercado_Receita!$J$2:$J$601)</f>
        <v>0</v>
      </c>
      <c r="S6" s="12">
        <f>SUMIF(Mercado_Receita!$S$2:$S$601,"44682A4GeraçãoNão se aplicaNão se aplicaNão se aplicaNão se aplicaNão se aplica",Mercado_Receita!$J$2:$J$601)+SUMIF(Mercado_Receita!$S$2:$S$601,"44682A4GeraçãoNão se aplicaNão se aplicaAPENão se aplicaNão se aplica",Mercado_Receita!$J$2:$J$601)</f>
        <v>0</v>
      </c>
      <c r="T6" s="12">
        <f>SUMIF(Mercado_Receita!$S$2:$S$601,"44713A4GeraçãoNão se aplicaNão se aplicaNão se aplicaNão se aplicaNão se aplica",Mercado_Receita!$J$2:$J$601)+SUMIF(Mercado_Receita!$S$2:$S$601,"44713A4GeraçãoNão se aplicaNão se aplicaAPENão se aplicaNão se aplica",Mercado_Receita!$J$2:$J$601)</f>
        <v>0</v>
      </c>
      <c r="U6" s="12">
        <f t="shared" si="0"/>
        <v>0</v>
      </c>
      <c r="V6" s="12"/>
      <c r="W6" s="12"/>
    </row>
    <row r="7" spans="1:30" ht="11.25" customHeight="1" x14ac:dyDescent="0.25">
      <c r="A7" s="88"/>
      <c r="B7" s="87" t="s">
        <v>36</v>
      </c>
      <c r="C7" s="87" t="s">
        <v>25</v>
      </c>
      <c r="D7" s="87" t="s">
        <v>25</v>
      </c>
      <c r="E7" s="87" t="s">
        <v>25</v>
      </c>
      <c r="F7" s="87" t="s">
        <v>25</v>
      </c>
      <c r="G7" s="12" t="s">
        <v>9</v>
      </c>
      <c r="H7" s="12" t="s">
        <v>74</v>
      </c>
      <c r="I7" s="12">
        <f>SUMIF(Mercado_Receita!$S$2:$S$601,"44378A4VerdeNão se aplicaNão se aplicaNão se aplicaNão se aplicaNão se aplica",Mercado_Receita!$J$2:$J$601)+SUMIF(Mercado_Receita!$S$2:$S$601,"44378A4VerdeNão se aplicaNão se aplicaAPENão se aplicaNão se aplica",Mercado_Receita!$J$2:$J$601)</f>
        <v>7111</v>
      </c>
      <c r="J7" s="12">
        <f>SUMIF(Mercado_Receita!$S$2:$S$601,"44409A4VerdeNão se aplicaNão se aplicaNão se aplicaNão se aplicaNão se aplica",Mercado_Receita!$J$2:$J$601)+SUMIF(Mercado_Receita!$S$2:$S$601,"44409A4VerdeNão se aplicaNão se aplicaAPENão se aplicaNão se aplica",Mercado_Receita!$J$2:$J$601)</f>
        <v>7731</v>
      </c>
      <c r="K7" s="12">
        <f>SUMIF(Mercado_Receita!$S$2:$S$601,"44440A4VerdeNão se aplicaNão se aplicaNão se aplicaNão se aplicaNão se aplica",Mercado_Receita!$J$2:$J$601)+SUMIF(Mercado_Receita!$S$2:$S$601,"44440A4VerdeNão se aplicaNão se aplicaAPENão se aplicaNão se aplica",Mercado_Receita!$J$2:$J$601)</f>
        <v>6971</v>
      </c>
      <c r="L7" s="12">
        <f>SUMIF(Mercado_Receita!$S$2:$S$601,"44470A4VerdeNão se aplicaNão se aplicaNão se aplicaNão se aplicaNão se aplica",Mercado_Receita!$J$2:$J$601)+SUMIF(Mercado_Receita!$S$2:$S$601,"44470A4VerdeNão se aplicaNão se aplicaAPENão se aplicaNão se aplica",Mercado_Receita!$J$2:$J$601)</f>
        <v>7232</v>
      </c>
      <c r="M7" s="12">
        <f>SUMIF(Mercado_Receita!$S$2:$S$601,"44501A4VerdeNão se aplicaNão se aplicaNão se aplicaNão se aplicaNão se aplica",Mercado_Receita!$J$2:$J$601)+SUMIF(Mercado_Receita!$S$2:$S$601,"44501A4VerdeNão se aplicaNão se aplicaAPENão se aplicaNão se aplica",Mercado_Receita!$J$2:$J$601)</f>
        <v>9770</v>
      </c>
      <c r="N7" s="12">
        <f>SUMIF(Mercado_Receita!$S$2:$S$601,"44531A4VerdeNão se aplicaNão se aplicaNão se aplicaNão se aplicaNão se aplica",Mercado_Receita!$J$2:$J$601)+SUMIF(Mercado_Receita!$S$2:$S$601,"44531A4VerdeNão se aplicaNão se aplicaAPENão se aplicaNão se aplica",Mercado_Receita!$J$2:$J$601)</f>
        <v>9789</v>
      </c>
      <c r="O7" s="12">
        <f>SUMIF(Mercado_Receita!$S$2:$S$601,"44562A4VerdeNão se aplicaNão se aplicaNão se aplicaNão se aplicaNão se aplica",Mercado_Receita!$J$2:$J$601)+SUMIF(Mercado_Receita!$S$2:$S$601,"44562A4VerdeNão se aplicaNão se aplicaAPENão se aplicaNão se aplica",Mercado_Receita!$J$2:$J$601)</f>
        <v>10360</v>
      </c>
      <c r="P7" s="12">
        <f>SUMIF(Mercado_Receita!$S$2:$S$601,"44593A4VerdeNão se aplicaNão se aplicaNão se aplicaNão se aplicaNão se aplica",Mercado_Receita!$J$2:$J$601)+SUMIF(Mercado_Receita!$S$2:$S$601,"44593A4VerdeNão se aplicaNão se aplicaAPENão se aplicaNão se aplica",Mercado_Receita!$J$2:$J$601)</f>
        <v>11764</v>
      </c>
      <c r="Q7" s="12">
        <f>SUMIF(Mercado_Receita!$S$2:$S$601,"44621A4VerdeNão se aplicaNão se aplicaNão se aplicaNão se aplicaNão se aplica",Mercado_Receita!$J$2:$J$601)+SUMIF(Mercado_Receita!$S$2:$S$601,"44621A4VerdeNão se aplicaNão se aplicaAPENão se aplicaNão se aplica",Mercado_Receita!$J$2:$J$601)</f>
        <v>10682</v>
      </c>
      <c r="R7" s="12">
        <f>SUMIF(Mercado_Receita!$S$2:$S$601,"44652A4VerdeNão se aplicaNão se aplicaNão se aplicaNão se aplicaNão se aplica",Mercado_Receita!$J$2:$J$601)+SUMIF(Mercado_Receita!$S$2:$S$601,"44652A4VerdeNão se aplicaNão se aplicaAPENão se aplicaNão se aplica",Mercado_Receita!$J$2:$J$601)</f>
        <v>13962</v>
      </c>
      <c r="S7" s="12">
        <f>SUMIF(Mercado_Receita!$S$2:$S$601,"44682A4VerdeNão se aplicaNão se aplicaNão se aplicaNão se aplicaNão se aplica",Mercado_Receita!$J$2:$J$601)+SUMIF(Mercado_Receita!$S$2:$S$601,"44682A4VerdeNão se aplicaNão se aplicaAPENão se aplicaNão se aplica",Mercado_Receita!$J$2:$J$601)</f>
        <v>6052</v>
      </c>
      <c r="T7" s="12">
        <f>SUMIF(Mercado_Receita!$S$2:$S$601,"44713A4VerdeNão se aplicaNão se aplicaNão se aplicaNão se aplicaNão se aplica",Mercado_Receita!$J$2:$J$601)+SUMIF(Mercado_Receita!$S$2:$S$601,"44713A4VerdeNão se aplicaNão se aplicaAPENão se aplicaNão se aplica",Mercado_Receita!$J$2:$J$601)</f>
        <v>7941</v>
      </c>
      <c r="U7" s="12">
        <f t="shared" si="0"/>
        <v>109365</v>
      </c>
      <c r="V7" s="12"/>
      <c r="W7" s="12"/>
    </row>
    <row r="8" spans="1:30" ht="11.25" customHeight="1" x14ac:dyDescent="0.25">
      <c r="A8" s="88"/>
      <c r="B8" s="88"/>
      <c r="C8" s="88"/>
      <c r="D8" s="88"/>
      <c r="E8" s="88"/>
      <c r="F8" s="88"/>
      <c r="G8" s="12" t="s">
        <v>72</v>
      </c>
      <c r="H8" s="12" t="s">
        <v>71</v>
      </c>
      <c r="I8" s="12">
        <f>SUMIF(Mercado_Receita!$S$2:$S$601,"44378A4VerdeNão se aplicaNão se aplicaNão se aplicaNão se aplicaPonta",Mercado_Receita!$L$2:$L$601)</f>
        <v>22.695999999999998</v>
      </c>
      <c r="J8" s="12">
        <f>SUMIF(Mercado_Receita!$S$2:$S$601,"44409A4VerdeNão se aplicaNão se aplicaNão se aplicaNão se aplicaPonta",Mercado_Receita!$L$2:$L$601)</f>
        <v>38.707000000000001</v>
      </c>
      <c r="K8" s="12">
        <f>SUMIF(Mercado_Receita!$S$2:$S$601,"44440A4VerdeNão se aplicaNão se aplicaNão se aplicaNão se aplicaPonta",Mercado_Receita!$L$2:$L$601)</f>
        <v>37.525000000000006</v>
      </c>
      <c r="L8" s="12">
        <f>SUMIF(Mercado_Receita!$S$2:$S$601,"44470A4VerdeNão se aplicaNão se aplicaNão se aplicaNão se aplicaPonta",Mercado_Receita!$L$2:$L$601)</f>
        <v>36.834999999999994</v>
      </c>
      <c r="M8" s="12">
        <f>SUMIF(Mercado_Receita!$S$2:$S$601,"44501A4VerdeNão se aplicaNão se aplicaNão se aplicaNão se aplicaPonta",Mercado_Receita!$L$2:$L$601)</f>
        <v>84.888999999999996</v>
      </c>
      <c r="N8" s="12">
        <f>SUMIF(Mercado_Receita!$S$2:$S$601,"44531A4VerdeNão se aplicaNão se aplicaNão se aplicaNão se aplicaPonta",Mercado_Receita!$L$2:$L$601)</f>
        <v>101.37299999999999</v>
      </c>
      <c r="O8" s="12">
        <f>SUMIF(Mercado_Receita!$S$2:$S$601,"44562A4VerdeNão se aplicaNão se aplicaNão se aplicaNão se aplicaPonta",Mercado_Receita!$L$2:$L$601)</f>
        <v>124.33399999999999</v>
      </c>
      <c r="P8" s="12">
        <f>SUMIF(Mercado_Receita!$S$2:$S$601,"44593A4VerdeNão se aplicaNão se aplicaNão se aplicaNão se aplicaPonta",Mercado_Receita!$L$2:$L$601)</f>
        <v>101.378</v>
      </c>
      <c r="Q8" s="12">
        <f>SUMIF(Mercado_Receita!$S$2:$S$601,"44621A4VerdeNão se aplicaNão se aplicaNão se aplicaNão se aplicaPonta",Mercado_Receita!$L$2:$L$601)</f>
        <v>90.18</v>
      </c>
      <c r="R8" s="12">
        <f>SUMIF(Mercado_Receita!$S$2:$S$601,"44652A4VerdeNão se aplicaNão se aplicaNão se aplicaNão se aplicaPonta",Mercado_Receita!$L$2:$L$601)</f>
        <v>114.88</v>
      </c>
      <c r="S8" s="12">
        <f>SUMIF(Mercado_Receita!$S$2:$S$601,"44682A4VerdeNão se aplicaNão se aplicaNão se aplicaNão se aplicaPonta",Mercado_Receita!$L$2:$L$601)</f>
        <v>119.13199999999999</v>
      </c>
      <c r="T8" s="12">
        <f>SUMIF(Mercado_Receita!$S$2:$S$601,"44713A4VerdeNão se aplicaNão se aplicaNão se aplicaNão se aplicaPonta",Mercado_Receita!$L$2:$L$601)</f>
        <v>59.447000000000003</v>
      </c>
      <c r="U8" s="12">
        <f t="shared" si="0"/>
        <v>931.37599999999986</v>
      </c>
      <c r="V8" s="12"/>
      <c r="W8" s="12"/>
    </row>
    <row r="9" spans="1:30" ht="11.25" customHeight="1" x14ac:dyDescent="0.25">
      <c r="A9" s="88"/>
      <c r="B9" s="88"/>
      <c r="C9" s="88"/>
      <c r="D9" s="88"/>
      <c r="E9" s="88"/>
      <c r="F9" s="88"/>
      <c r="G9" s="12" t="s">
        <v>73</v>
      </c>
      <c r="H9" s="12" t="s">
        <v>71</v>
      </c>
      <c r="I9" s="12">
        <f>SUMIF(Mercado_Receita!$S$2:$S$601,"44378A4VerdeNão se aplicaNão se aplicaNão se aplicaNão se aplicaFora ponta",Mercado_Receita!$L$2:$L$601)</f>
        <v>561.76300000000003</v>
      </c>
      <c r="J9" s="12">
        <f>SUMIF(Mercado_Receita!$S$2:$S$601,"44409A4VerdeNão se aplicaNão se aplicaNão se aplicaNão se aplicaFora ponta",Mercado_Receita!$L$2:$L$601)</f>
        <v>811.01599999999996</v>
      </c>
      <c r="K9" s="12">
        <f>SUMIF(Mercado_Receita!$S$2:$S$601,"44440A4VerdeNão se aplicaNão se aplicaNão se aplicaNão se aplicaFora ponta",Mercado_Receita!$L$2:$L$601)</f>
        <v>695.18200000000002</v>
      </c>
      <c r="L9" s="12">
        <f>SUMIF(Mercado_Receita!$S$2:$S$601,"44470A4VerdeNão se aplicaNão se aplicaNão se aplicaNão se aplicaFora ponta",Mercado_Receita!$L$2:$L$601)</f>
        <v>756.83</v>
      </c>
      <c r="M9" s="12">
        <f>SUMIF(Mercado_Receita!$S$2:$S$601,"44501A4VerdeNão se aplicaNão se aplicaNão se aplicaNão se aplicaFora ponta",Mercado_Receita!$L$2:$L$601)</f>
        <v>1503.6170000000002</v>
      </c>
      <c r="N9" s="12">
        <f>SUMIF(Mercado_Receita!$S$2:$S$601,"44531A4VerdeNão se aplicaNão se aplicaNão se aplicaNão se aplicaFora ponta",Mercado_Receita!$L$2:$L$601)</f>
        <v>1637.962</v>
      </c>
      <c r="O9" s="12">
        <f>SUMIF(Mercado_Receita!$S$2:$S$601,"44562A4VerdeNão se aplicaNão se aplicaNão se aplicaNão se aplicaFora ponta",Mercado_Receita!$L$2:$L$601)</f>
        <v>1760.0100000000002</v>
      </c>
      <c r="P9" s="12">
        <f>SUMIF(Mercado_Receita!$S$2:$S$601,"44593A4VerdeNão se aplicaNão se aplicaNão se aplicaNão se aplicaFora ponta",Mercado_Receita!$L$2:$L$601)</f>
        <v>1580.0940000000001</v>
      </c>
      <c r="Q9" s="12">
        <f>SUMIF(Mercado_Receita!$S$2:$S$601,"44621A4VerdeNão se aplicaNão se aplicaNão se aplicaNão se aplicaFora ponta",Mercado_Receita!$L$2:$L$601)</f>
        <v>1228.4669999999999</v>
      </c>
      <c r="R9" s="12">
        <f>SUMIF(Mercado_Receita!$S$2:$S$601,"44652A4VerdeNão se aplicaNão se aplicaNão se aplicaNão se aplicaFora ponta",Mercado_Receita!$L$2:$L$601)</f>
        <v>1586.2190000000001</v>
      </c>
      <c r="S9" s="12">
        <f>SUMIF(Mercado_Receita!$S$2:$S$601,"44682A4VerdeNão se aplicaNão se aplicaNão se aplicaNão se aplicaFora ponta",Mercado_Receita!$L$2:$L$601)</f>
        <v>1394.8659999999998</v>
      </c>
      <c r="T9" s="12">
        <f>SUMIF(Mercado_Receita!$S$2:$S$601,"44713A4VerdeNão se aplicaNão se aplicaNão se aplicaNão se aplicaFora ponta",Mercado_Receita!$L$2:$L$601)</f>
        <v>967.36999999999989</v>
      </c>
      <c r="U9" s="12">
        <f t="shared" si="0"/>
        <v>14483.396000000004</v>
      </c>
      <c r="V9" s="12"/>
      <c r="W9" s="12"/>
    </row>
    <row r="10" spans="1:30" ht="11.25" customHeight="1" x14ac:dyDescent="0.25">
      <c r="A10" s="88"/>
      <c r="B10" s="88"/>
      <c r="C10" s="88"/>
      <c r="D10" s="88"/>
      <c r="E10" s="87" t="s">
        <v>78</v>
      </c>
      <c r="F10" s="87" t="s">
        <v>25</v>
      </c>
      <c r="G10" s="12" t="s">
        <v>72</v>
      </c>
      <c r="H10" s="12" t="s">
        <v>71</v>
      </c>
      <c r="I10" s="12">
        <f>SUMIF(Mercado_Receita!$S$2:$S$601,"44378A4VerdeNão se aplicaNão se aplicaAPENão se aplicaPonta",Mercado_Receita!$L$2:$L$601)</f>
        <v>0</v>
      </c>
      <c r="J10" s="12">
        <f>SUMIF(Mercado_Receita!$S$2:$S$601,"44409A4VerdeNão se aplicaNão se aplicaAPENão se aplicaPonta",Mercado_Receita!$L$2:$L$601)</f>
        <v>0</v>
      </c>
      <c r="K10" s="12">
        <f>SUMIF(Mercado_Receita!$S$2:$S$601,"44440A4VerdeNão se aplicaNão se aplicaAPENão se aplicaPonta",Mercado_Receita!$L$2:$L$601)</f>
        <v>0</v>
      </c>
      <c r="L10" s="12">
        <f>SUMIF(Mercado_Receita!$S$2:$S$601,"44470A4VerdeNão se aplicaNão se aplicaAPENão se aplicaPonta",Mercado_Receita!$L$2:$L$601)</f>
        <v>0</v>
      </c>
      <c r="M10" s="12">
        <f>SUMIF(Mercado_Receita!$S$2:$S$601,"44501A4VerdeNão se aplicaNão se aplicaAPENão se aplicaPonta",Mercado_Receita!$L$2:$L$601)</f>
        <v>0</v>
      </c>
      <c r="N10" s="12">
        <f>SUMIF(Mercado_Receita!$S$2:$S$601,"44531A4VerdeNão se aplicaNão se aplicaAPENão se aplicaPonta",Mercado_Receita!$L$2:$L$601)</f>
        <v>0</v>
      </c>
      <c r="O10" s="12">
        <f>SUMIF(Mercado_Receita!$S$2:$S$601,"44562A4VerdeNão se aplicaNão se aplicaAPENão se aplicaPonta",Mercado_Receita!$L$2:$L$601)</f>
        <v>0</v>
      </c>
      <c r="P10" s="12">
        <f>SUMIF(Mercado_Receita!$S$2:$S$601,"44593A4VerdeNão se aplicaNão se aplicaAPENão se aplicaPonta",Mercado_Receita!$L$2:$L$601)</f>
        <v>0</v>
      </c>
      <c r="Q10" s="12">
        <f>SUMIF(Mercado_Receita!$S$2:$S$601,"44621A4VerdeNão se aplicaNão se aplicaAPENão se aplicaPonta",Mercado_Receita!$L$2:$L$601)</f>
        <v>0</v>
      </c>
      <c r="R10" s="12">
        <f>SUMIF(Mercado_Receita!$S$2:$S$601,"44652A4VerdeNão se aplicaNão se aplicaAPENão se aplicaPonta",Mercado_Receita!$L$2:$L$601)</f>
        <v>0</v>
      </c>
      <c r="S10" s="12">
        <f>SUMIF(Mercado_Receita!$S$2:$S$601,"44682A4VerdeNão se aplicaNão se aplicaAPENão se aplicaPonta",Mercado_Receita!$L$2:$L$601)</f>
        <v>0</v>
      </c>
      <c r="T10" s="12">
        <f>SUMIF(Mercado_Receita!$S$2:$S$601,"44713A4VerdeNão se aplicaNão se aplicaAPENão se aplicaPonta",Mercado_Receita!$L$2:$L$601)</f>
        <v>0</v>
      </c>
      <c r="U10" s="12">
        <f t="shared" si="0"/>
        <v>0</v>
      </c>
      <c r="V10" s="12"/>
      <c r="W10" s="12"/>
    </row>
    <row r="11" spans="1:30" ht="11.25" customHeight="1" x14ac:dyDescent="0.25">
      <c r="A11" s="88"/>
      <c r="B11" s="88"/>
      <c r="C11" s="88"/>
      <c r="D11" s="88"/>
      <c r="E11" s="88"/>
      <c r="F11" s="88"/>
      <c r="G11" s="12" t="s">
        <v>73</v>
      </c>
      <c r="H11" s="12" t="s">
        <v>71</v>
      </c>
      <c r="I11" s="12">
        <f>SUMIF(Mercado_Receita!$S$2:$S$601,"44378A4VerdeNão se aplicaNão se aplicaAPENão se aplicaFora ponta",Mercado_Receita!$L$2:$L$601)</f>
        <v>0</v>
      </c>
      <c r="J11" s="12">
        <f>SUMIF(Mercado_Receita!$S$2:$S$601,"44409A4VerdeNão se aplicaNão se aplicaAPENão se aplicaFora ponta",Mercado_Receita!$L$2:$L$601)</f>
        <v>0</v>
      </c>
      <c r="K11" s="12">
        <f>SUMIF(Mercado_Receita!$S$2:$S$601,"44440A4VerdeNão se aplicaNão se aplicaAPENão se aplicaFora ponta",Mercado_Receita!$L$2:$L$601)</f>
        <v>0</v>
      </c>
      <c r="L11" s="12">
        <f>SUMIF(Mercado_Receita!$S$2:$S$601,"44470A4VerdeNão se aplicaNão se aplicaAPENão se aplicaFora ponta",Mercado_Receita!$L$2:$L$601)</f>
        <v>0</v>
      </c>
      <c r="M11" s="12">
        <f>SUMIF(Mercado_Receita!$S$2:$S$601,"44501A4VerdeNão se aplicaNão se aplicaAPENão se aplicaFora ponta",Mercado_Receita!$L$2:$L$601)</f>
        <v>0</v>
      </c>
      <c r="N11" s="12">
        <f>SUMIF(Mercado_Receita!$S$2:$S$601,"44531A4VerdeNão se aplicaNão se aplicaAPENão se aplicaFora ponta",Mercado_Receita!$L$2:$L$601)</f>
        <v>0</v>
      </c>
      <c r="O11" s="12">
        <f>SUMIF(Mercado_Receita!$S$2:$S$601,"44562A4VerdeNão se aplicaNão se aplicaAPENão se aplicaFora ponta",Mercado_Receita!$L$2:$L$601)</f>
        <v>0</v>
      </c>
      <c r="P11" s="12">
        <f>SUMIF(Mercado_Receita!$S$2:$S$601,"44593A4VerdeNão se aplicaNão se aplicaAPENão se aplicaFora ponta",Mercado_Receita!$L$2:$L$601)</f>
        <v>0</v>
      </c>
      <c r="Q11" s="12">
        <f>SUMIF(Mercado_Receita!$S$2:$S$601,"44621A4VerdeNão se aplicaNão se aplicaAPENão se aplicaFora ponta",Mercado_Receita!$L$2:$L$601)</f>
        <v>0</v>
      </c>
      <c r="R11" s="12">
        <f>SUMIF(Mercado_Receita!$S$2:$S$601,"44652A4VerdeNão se aplicaNão se aplicaAPENão se aplicaFora ponta",Mercado_Receita!$L$2:$L$601)</f>
        <v>0</v>
      </c>
      <c r="S11" s="12">
        <f>SUMIF(Mercado_Receita!$S$2:$S$601,"44682A4VerdeNão se aplicaNão se aplicaAPENão se aplicaFora ponta",Mercado_Receita!$L$2:$L$601)</f>
        <v>0</v>
      </c>
      <c r="T11" s="12">
        <f>SUMIF(Mercado_Receita!$S$2:$S$601,"44713A4VerdeNão se aplicaNão se aplicaAPENão se aplicaFora ponta",Mercado_Receita!$L$2:$L$601)</f>
        <v>0</v>
      </c>
      <c r="U11" s="12">
        <f t="shared" si="0"/>
        <v>0</v>
      </c>
      <c r="V11" s="12"/>
      <c r="W11" s="12"/>
    </row>
    <row r="12" spans="1:30" ht="11.25" customHeight="1" x14ac:dyDescent="0.25">
      <c r="A12" s="87" t="s">
        <v>80</v>
      </c>
      <c r="B12" s="87" t="s">
        <v>79</v>
      </c>
      <c r="C12" s="87" t="s">
        <v>25</v>
      </c>
      <c r="D12" s="87" t="s">
        <v>25</v>
      </c>
      <c r="E12" s="13" t="s">
        <v>81</v>
      </c>
      <c r="F12" s="13" t="s">
        <v>25</v>
      </c>
      <c r="G12" s="12" t="s">
        <v>9</v>
      </c>
      <c r="H12" s="12" t="s">
        <v>74</v>
      </c>
      <c r="I12" s="12">
        <f>SUMIF(Mercado_Receita!$S$2:$S$601,"44378BGeraçãoNão se aplicaNão se aplicaTIPO 01Não se aplicaNão se aplica",Mercado_Receita!$J$2:$J$601)+SUMIF(Mercado_Receita!$S$2:$S$601,"44378BGeraçãoNão se aplicaNão se aplicaAPENão se aplicaNão se aplica",Mercado_Receita!$J$2:$J$601)</f>
        <v>0</v>
      </c>
      <c r="J12" s="12">
        <f>SUMIF(Mercado_Receita!$S$2:$S$601,"44409BGeraçãoNão se aplicaNão se aplicaTIPO 01Não se aplicaNão se aplica",Mercado_Receita!$J$2:$J$601)+SUMIF(Mercado_Receita!$S$2:$S$601,"44409BGeraçãoNão se aplicaNão se aplicaAPENão se aplicaNão se aplica",Mercado_Receita!$J$2:$J$601)</f>
        <v>0</v>
      </c>
      <c r="K12" s="12">
        <f>SUMIF(Mercado_Receita!$S$2:$S$601,"44440BGeraçãoNão se aplicaNão se aplicaTIPO 01Não se aplicaNão se aplica",Mercado_Receita!$J$2:$J$601)+SUMIF(Mercado_Receita!$S$2:$S$601,"44440BGeraçãoNão se aplicaNão se aplicaAPENão se aplicaNão se aplica",Mercado_Receita!$J$2:$J$601)</f>
        <v>0</v>
      </c>
      <c r="L12" s="12">
        <f>SUMIF(Mercado_Receita!$S$2:$S$601,"44470BGeraçãoNão se aplicaNão se aplicaTIPO 01Não se aplicaNão se aplica",Mercado_Receita!$J$2:$J$601)+SUMIF(Mercado_Receita!$S$2:$S$601,"44470BGeraçãoNão se aplicaNão se aplicaAPENão se aplicaNão se aplica",Mercado_Receita!$J$2:$J$601)</f>
        <v>0</v>
      </c>
      <c r="M12" s="12">
        <f>SUMIF(Mercado_Receita!$S$2:$S$601,"44501BGeraçãoNão se aplicaNão se aplicaTIPO 01Não se aplicaNão se aplica",Mercado_Receita!$J$2:$J$601)+SUMIF(Mercado_Receita!$S$2:$S$601,"44501BGeraçãoNão se aplicaNão se aplicaAPENão se aplicaNão se aplica",Mercado_Receita!$J$2:$J$601)</f>
        <v>0</v>
      </c>
      <c r="N12" s="12">
        <f>SUMIF(Mercado_Receita!$S$2:$S$601,"44531BGeraçãoNão se aplicaNão se aplicaTIPO 01Não se aplicaNão se aplica",Mercado_Receita!$J$2:$J$601)+SUMIF(Mercado_Receita!$S$2:$S$601,"44531BGeraçãoNão se aplicaNão se aplicaAPENão se aplicaNão se aplica",Mercado_Receita!$J$2:$J$601)</f>
        <v>0</v>
      </c>
      <c r="O12" s="12">
        <f>SUMIF(Mercado_Receita!$S$2:$S$601,"44562BGeraçãoNão se aplicaNão se aplicaTIPO 01Não se aplicaNão se aplica",Mercado_Receita!$J$2:$J$601)+SUMIF(Mercado_Receita!$S$2:$S$601,"44562BGeraçãoNão se aplicaNão se aplicaAPENão se aplicaNão se aplica",Mercado_Receita!$J$2:$J$601)</f>
        <v>0</v>
      </c>
      <c r="P12" s="12">
        <f>SUMIF(Mercado_Receita!$S$2:$S$601,"44593BGeraçãoNão se aplicaNão se aplicaTIPO 01Não se aplicaNão se aplica",Mercado_Receita!$J$2:$J$601)+SUMIF(Mercado_Receita!$S$2:$S$601,"44593BGeraçãoNão se aplicaNão se aplicaAPENão se aplicaNão se aplica",Mercado_Receita!$J$2:$J$601)</f>
        <v>0</v>
      </c>
      <c r="Q12" s="12">
        <f>SUMIF(Mercado_Receita!$S$2:$S$601,"44621BGeraçãoNão se aplicaNão se aplicaTIPO 01Não se aplicaNão se aplica",Mercado_Receita!$J$2:$J$601)+SUMIF(Mercado_Receita!$S$2:$S$601,"44621BGeraçãoNão se aplicaNão se aplicaAPENão se aplicaNão se aplica",Mercado_Receita!$J$2:$J$601)</f>
        <v>0</v>
      </c>
      <c r="R12" s="12">
        <f>SUMIF(Mercado_Receita!$S$2:$S$601,"44652BGeraçãoNão se aplicaNão se aplicaTIPO 01Não se aplicaNão se aplica",Mercado_Receita!$J$2:$J$601)+SUMIF(Mercado_Receita!$S$2:$S$601,"44652BGeraçãoNão se aplicaNão se aplicaAPENão se aplicaNão se aplica",Mercado_Receita!$J$2:$J$601)</f>
        <v>0</v>
      </c>
      <c r="S12" s="12">
        <f>SUMIF(Mercado_Receita!$S$2:$S$601,"44682BGeraçãoNão se aplicaNão se aplicaTIPO 01Não se aplicaNão se aplica",Mercado_Receita!$J$2:$J$601)+SUMIF(Mercado_Receita!$S$2:$S$601,"44682BGeraçãoNão se aplicaNão se aplicaAPENão se aplicaNão se aplica",Mercado_Receita!$J$2:$J$601)</f>
        <v>0</v>
      </c>
      <c r="T12" s="12">
        <f>SUMIF(Mercado_Receita!$S$2:$S$601,"44713BGeraçãoNão se aplicaNão se aplicaTIPO 01Não se aplicaNão se aplica",Mercado_Receita!$J$2:$J$601)+SUMIF(Mercado_Receita!$S$2:$S$601,"44713BGeraçãoNão se aplicaNão se aplicaAPENão se aplicaNão se aplica",Mercado_Receita!$J$2:$J$601)</f>
        <v>0</v>
      </c>
      <c r="U12" s="12">
        <f t="shared" si="0"/>
        <v>0</v>
      </c>
      <c r="V12" s="12"/>
      <c r="W12" s="12"/>
    </row>
    <row r="13" spans="1:30" ht="11.25" customHeight="1" x14ac:dyDescent="0.25">
      <c r="A13" s="88"/>
      <c r="B13" s="88"/>
      <c r="C13" s="88"/>
      <c r="D13" s="88"/>
      <c r="E13" s="13" t="s">
        <v>82</v>
      </c>
      <c r="F13" s="13" t="s">
        <v>25</v>
      </c>
      <c r="G13" s="12" t="s">
        <v>9</v>
      </c>
      <c r="H13" s="12" t="s">
        <v>74</v>
      </c>
      <c r="I13" s="12">
        <f>SUMIF(Mercado_Receita!$S$2:$S$601,"44378BGeraçãoNão se aplicaNão se aplicaTIPO 02Não se aplicaNão se aplica",Mercado_Receita!$J$2:$J$601)+SUMIF(Mercado_Receita!$S$2:$S$601,"44378BGeraçãoNão se aplicaNão se aplicaAPENão se aplicaNão se aplica",Mercado_Receita!$J$2:$J$601)</f>
        <v>0</v>
      </c>
      <c r="J13" s="12">
        <f>SUMIF(Mercado_Receita!$S$2:$S$601,"44409BGeraçãoNão se aplicaNão se aplicaTIPO 02Não se aplicaNão se aplica",Mercado_Receita!$J$2:$J$601)+SUMIF(Mercado_Receita!$S$2:$S$601,"44409BGeraçãoNão se aplicaNão se aplicaAPENão se aplicaNão se aplica",Mercado_Receita!$J$2:$J$601)</f>
        <v>0</v>
      </c>
      <c r="K13" s="12">
        <f>SUMIF(Mercado_Receita!$S$2:$S$601,"44440BGeraçãoNão se aplicaNão se aplicaTIPO 02Não se aplicaNão se aplica",Mercado_Receita!$J$2:$J$601)+SUMIF(Mercado_Receita!$S$2:$S$601,"44440BGeraçãoNão se aplicaNão se aplicaAPENão se aplicaNão se aplica",Mercado_Receita!$J$2:$J$601)</f>
        <v>0</v>
      </c>
      <c r="L13" s="12">
        <f>SUMIF(Mercado_Receita!$S$2:$S$601,"44470BGeraçãoNão se aplicaNão se aplicaTIPO 02Não se aplicaNão se aplica",Mercado_Receita!$J$2:$J$601)+SUMIF(Mercado_Receita!$S$2:$S$601,"44470BGeraçãoNão se aplicaNão se aplicaAPENão se aplicaNão se aplica",Mercado_Receita!$J$2:$J$601)</f>
        <v>0</v>
      </c>
      <c r="M13" s="12">
        <f>SUMIF(Mercado_Receita!$S$2:$S$601,"44501BGeraçãoNão se aplicaNão se aplicaTIPO 02Não se aplicaNão se aplica",Mercado_Receita!$J$2:$J$601)+SUMIF(Mercado_Receita!$S$2:$S$601,"44501BGeraçãoNão se aplicaNão se aplicaAPENão se aplicaNão se aplica",Mercado_Receita!$J$2:$J$601)</f>
        <v>0</v>
      </c>
      <c r="N13" s="12">
        <f>SUMIF(Mercado_Receita!$S$2:$S$601,"44531BGeraçãoNão se aplicaNão se aplicaTIPO 02Não se aplicaNão se aplica",Mercado_Receita!$J$2:$J$601)+SUMIF(Mercado_Receita!$S$2:$S$601,"44531BGeraçãoNão se aplicaNão se aplicaAPENão se aplicaNão se aplica",Mercado_Receita!$J$2:$J$601)</f>
        <v>0</v>
      </c>
      <c r="O13" s="12">
        <f>SUMIF(Mercado_Receita!$S$2:$S$601,"44562BGeraçãoNão se aplicaNão se aplicaTIPO 02Não se aplicaNão se aplica",Mercado_Receita!$J$2:$J$601)+SUMIF(Mercado_Receita!$S$2:$S$601,"44562BGeraçãoNão se aplicaNão se aplicaAPENão se aplicaNão se aplica",Mercado_Receita!$J$2:$J$601)</f>
        <v>0</v>
      </c>
      <c r="P13" s="12">
        <f>SUMIF(Mercado_Receita!$S$2:$S$601,"44593BGeraçãoNão se aplicaNão se aplicaTIPO 02Não se aplicaNão se aplica",Mercado_Receita!$J$2:$J$601)+SUMIF(Mercado_Receita!$S$2:$S$601,"44593BGeraçãoNão se aplicaNão se aplicaAPENão se aplicaNão se aplica",Mercado_Receita!$J$2:$J$601)</f>
        <v>0</v>
      </c>
      <c r="Q13" s="12">
        <f>SUMIF(Mercado_Receita!$S$2:$S$601,"44621BGeraçãoNão se aplicaNão se aplicaTIPO 02Não se aplicaNão se aplica",Mercado_Receita!$J$2:$J$601)+SUMIF(Mercado_Receita!$S$2:$S$601,"44621BGeraçãoNão se aplicaNão se aplicaAPENão se aplicaNão se aplica",Mercado_Receita!$J$2:$J$601)</f>
        <v>0</v>
      </c>
      <c r="R13" s="12">
        <f>SUMIF(Mercado_Receita!$S$2:$S$601,"44652BGeraçãoNão se aplicaNão se aplicaTIPO 02Não se aplicaNão se aplica",Mercado_Receita!$J$2:$J$601)+SUMIF(Mercado_Receita!$S$2:$S$601,"44652BGeraçãoNão se aplicaNão se aplicaAPENão se aplicaNão se aplica",Mercado_Receita!$J$2:$J$601)</f>
        <v>0</v>
      </c>
      <c r="S13" s="12">
        <f>SUMIF(Mercado_Receita!$S$2:$S$601,"44682BGeraçãoNão se aplicaNão se aplicaTIPO 02Não se aplicaNão se aplica",Mercado_Receita!$J$2:$J$601)+SUMIF(Mercado_Receita!$S$2:$S$601,"44682BGeraçãoNão se aplicaNão se aplicaAPENão se aplicaNão se aplica",Mercado_Receita!$J$2:$J$601)</f>
        <v>0</v>
      </c>
      <c r="T13" s="12">
        <f>SUMIF(Mercado_Receita!$S$2:$S$601,"44713BGeraçãoNão se aplicaNão se aplicaTIPO 02Não se aplicaNão se aplica",Mercado_Receita!$J$2:$J$601)+SUMIF(Mercado_Receita!$S$2:$S$601,"44713BGeraçãoNão se aplicaNão se aplicaAPENão se aplicaNão se aplica",Mercado_Receita!$J$2:$J$601)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87" t="s">
        <v>22</v>
      </c>
      <c r="B14" s="87" t="s">
        <v>85</v>
      </c>
      <c r="C14" s="87" t="s">
        <v>24</v>
      </c>
      <c r="D14" s="87" t="s">
        <v>24</v>
      </c>
      <c r="E14" s="87" t="s">
        <v>25</v>
      </c>
      <c r="F14" s="87" t="s">
        <v>25</v>
      </c>
      <c r="G14" s="12" t="s">
        <v>72</v>
      </c>
      <c r="H14" s="12" t="s">
        <v>71</v>
      </c>
      <c r="I14" s="12">
        <f>SUMIF(Mercado_Receita!$S$2:$S$601,"44378B1BrancaResidencialResidencialNão se aplicaNão se aplicaPonta",Mercado_Receita!$L$2:$L$601)</f>
        <v>0</v>
      </c>
      <c r="J14" s="12">
        <f>SUMIF(Mercado_Receita!$S$2:$S$601,"44409B1BrancaResidencialResidencialNão se aplicaNão se aplicaPonta",Mercado_Receita!$L$2:$L$601)</f>
        <v>0</v>
      </c>
      <c r="K14" s="12">
        <f>SUMIF(Mercado_Receita!$S$2:$S$601,"44440B1BrancaResidencialResidencialNão se aplicaNão se aplicaPonta",Mercado_Receita!$L$2:$L$601)</f>
        <v>0</v>
      </c>
      <c r="L14" s="12">
        <f>SUMIF(Mercado_Receita!$S$2:$S$601,"44470B1BrancaResidencialResidencialNão se aplicaNão se aplicaPonta",Mercado_Receita!$L$2:$L$601)</f>
        <v>0</v>
      </c>
      <c r="M14" s="12">
        <f>SUMIF(Mercado_Receita!$S$2:$S$601,"44501B1BrancaResidencialResidencialNão se aplicaNão se aplicaPonta",Mercado_Receita!$L$2:$L$601)</f>
        <v>0</v>
      </c>
      <c r="N14" s="12">
        <f>SUMIF(Mercado_Receita!$S$2:$S$601,"44531B1BrancaResidencialResidencialNão se aplicaNão se aplicaPonta",Mercado_Receita!$L$2:$L$601)</f>
        <v>0</v>
      </c>
      <c r="O14" s="12">
        <f>SUMIF(Mercado_Receita!$S$2:$S$601,"44562B1BrancaResidencialResidencialNão se aplicaNão se aplicaPonta",Mercado_Receita!$L$2:$L$601)</f>
        <v>0</v>
      </c>
      <c r="P14" s="12">
        <f>SUMIF(Mercado_Receita!$S$2:$S$601,"44593B1BrancaResidencialResidencialNão se aplicaNão se aplicaPonta",Mercado_Receita!$L$2:$L$601)</f>
        <v>0</v>
      </c>
      <c r="Q14" s="12">
        <f>SUMIF(Mercado_Receita!$S$2:$S$601,"44621B1BrancaResidencialResidencialNão se aplicaNão se aplicaPonta",Mercado_Receita!$L$2:$L$601)</f>
        <v>0</v>
      </c>
      <c r="R14" s="12">
        <f>SUMIF(Mercado_Receita!$S$2:$S$601,"44652B1BrancaResidencialResidencialNão se aplicaNão se aplicaPonta",Mercado_Receita!$L$2:$L$601)</f>
        <v>0</v>
      </c>
      <c r="S14" s="12">
        <f>SUMIF(Mercado_Receita!$S$2:$S$601,"44682B1BrancaResidencialResidencialNão se aplicaNão se aplicaPonta",Mercado_Receita!$L$2:$L$601)</f>
        <v>0</v>
      </c>
      <c r="T14" s="12">
        <f>SUMIF(Mercado_Receita!$S$2:$S$601,"44713B1BrancaResidencialResidencialNão se aplicaNão se aplicaPonta",Mercado_Receita!$L$2:$L$601)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88"/>
      <c r="B15" s="88"/>
      <c r="C15" s="88"/>
      <c r="D15" s="88"/>
      <c r="E15" s="88"/>
      <c r="F15" s="88"/>
      <c r="G15" s="12" t="s">
        <v>83</v>
      </c>
      <c r="H15" s="12" t="s">
        <v>71</v>
      </c>
      <c r="I15" s="12">
        <f>SUMIF(Mercado_Receita!$S$2:$S$601,"44378B1BrancaResidencialResidencialNão se aplicaNão se aplicaIntermediário",Mercado_Receita!$L$2:$L$601)</f>
        <v>0</v>
      </c>
      <c r="J15" s="12">
        <f>SUMIF(Mercado_Receita!$S$2:$S$601,"44409B1BrancaResidencialResidencialNão se aplicaNão se aplicaIntermediário",Mercado_Receita!$L$2:$L$601)</f>
        <v>0</v>
      </c>
      <c r="K15" s="12">
        <f>SUMIF(Mercado_Receita!$S$2:$S$601,"44440B1BrancaResidencialResidencialNão se aplicaNão se aplicaIntermediário",Mercado_Receita!$L$2:$L$601)</f>
        <v>0</v>
      </c>
      <c r="L15" s="12">
        <f>SUMIF(Mercado_Receita!$S$2:$S$601,"44470B1BrancaResidencialResidencialNão se aplicaNão se aplicaIntermediário",Mercado_Receita!$L$2:$L$601)</f>
        <v>0</v>
      </c>
      <c r="M15" s="12">
        <f>SUMIF(Mercado_Receita!$S$2:$S$601,"44501B1BrancaResidencialResidencialNão se aplicaNão se aplicaIntermediário",Mercado_Receita!$L$2:$L$601)</f>
        <v>0</v>
      </c>
      <c r="N15" s="12">
        <f>SUMIF(Mercado_Receita!$S$2:$S$601,"44531B1BrancaResidencialResidencialNão se aplicaNão se aplicaIntermediário",Mercado_Receita!$L$2:$L$601)</f>
        <v>0</v>
      </c>
      <c r="O15" s="12">
        <f>SUMIF(Mercado_Receita!$S$2:$S$601,"44562B1BrancaResidencialResidencialNão se aplicaNão se aplicaIntermediário",Mercado_Receita!$L$2:$L$601)</f>
        <v>0</v>
      </c>
      <c r="P15" s="12">
        <f>SUMIF(Mercado_Receita!$S$2:$S$601,"44593B1BrancaResidencialResidencialNão se aplicaNão se aplicaIntermediário",Mercado_Receita!$L$2:$L$601)</f>
        <v>0</v>
      </c>
      <c r="Q15" s="12">
        <f>SUMIF(Mercado_Receita!$S$2:$S$601,"44621B1BrancaResidencialResidencialNão se aplicaNão se aplicaIntermediário",Mercado_Receita!$L$2:$L$601)</f>
        <v>0</v>
      </c>
      <c r="R15" s="12">
        <f>SUMIF(Mercado_Receita!$S$2:$S$601,"44652B1BrancaResidencialResidencialNão se aplicaNão se aplicaIntermediário",Mercado_Receita!$L$2:$L$601)</f>
        <v>0</v>
      </c>
      <c r="S15" s="12">
        <f>SUMIF(Mercado_Receita!$S$2:$S$601,"44682B1BrancaResidencialResidencialNão se aplicaNão se aplicaIntermediário",Mercado_Receita!$L$2:$L$601)</f>
        <v>0</v>
      </c>
      <c r="T15" s="12">
        <f>SUMIF(Mercado_Receita!$S$2:$S$601,"44713B1BrancaResidencialResidencialNão se aplicaNão se aplicaIntermediário",Mercado_Receita!$L$2:$L$601)</f>
        <v>0</v>
      </c>
      <c r="U15" s="12">
        <f t="shared" si="0"/>
        <v>0</v>
      </c>
      <c r="V15" s="12"/>
      <c r="W15" s="12"/>
    </row>
    <row r="16" spans="1:30" ht="11.25" customHeight="1" x14ac:dyDescent="0.25">
      <c r="A16" s="88"/>
      <c r="B16" s="88"/>
      <c r="C16" s="88"/>
      <c r="D16" s="88"/>
      <c r="E16" s="88"/>
      <c r="F16" s="88"/>
      <c r="G16" s="12" t="s">
        <v>73</v>
      </c>
      <c r="H16" s="12" t="s">
        <v>71</v>
      </c>
      <c r="I16" s="12">
        <f>SUMIF(Mercado_Receita!$S$2:$S$601,"44378B1BrancaResidencialResidencialNão se aplicaNão se aplicaFora ponta",Mercado_Receita!$L$2:$L$601)</f>
        <v>0</v>
      </c>
      <c r="J16" s="12">
        <f>SUMIF(Mercado_Receita!$S$2:$S$601,"44409B1BrancaResidencialResidencialNão se aplicaNão se aplicaFora ponta",Mercado_Receita!$L$2:$L$601)</f>
        <v>0</v>
      </c>
      <c r="K16" s="12">
        <f>SUMIF(Mercado_Receita!$S$2:$S$601,"44440B1BrancaResidencialResidencialNão se aplicaNão se aplicaFora ponta",Mercado_Receita!$L$2:$L$601)</f>
        <v>0</v>
      </c>
      <c r="L16" s="12">
        <f>SUMIF(Mercado_Receita!$S$2:$S$601,"44470B1BrancaResidencialResidencialNão se aplicaNão se aplicaFora ponta",Mercado_Receita!$L$2:$L$601)</f>
        <v>0</v>
      </c>
      <c r="M16" s="12">
        <f>SUMIF(Mercado_Receita!$S$2:$S$601,"44501B1BrancaResidencialResidencialNão se aplicaNão se aplicaFora ponta",Mercado_Receita!$L$2:$L$601)</f>
        <v>0</v>
      </c>
      <c r="N16" s="12">
        <f>SUMIF(Mercado_Receita!$S$2:$S$601,"44531B1BrancaResidencialResidencialNão se aplicaNão se aplicaFora ponta",Mercado_Receita!$L$2:$L$601)</f>
        <v>0</v>
      </c>
      <c r="O16" s="12">
        <f>SUMIF(Mercado_Receita!$S$2:$S$601,"44562B1BrancaResidencialResidencialNão se aplicaNão se aplicaFora ponta",Mercado_Receita!$L$2:$L$601)</f>
        <v>0</v>
      </c>
      <c r="P16" s="12">
        <f>SUMIF(Mercado_Receita!$S$2:$S$601,"44593B1BrancaResidencialResidencialNão se aplicaNão se aplicaFora ponta",Mercado_Receita!$L$2:$L$601)</f>
        <v>0</v>
      </c>
      <c r="Q16" s="12">
        <f>SUMIF(Mercado_Receita!$S$2:$S$601,"44621B1BrancaResidencialResidencialNão se aplicaNão se aplicaFora ponta",Mercado_Receita!$L$2:$L$601)</f>
        <v>0</v>
      </c>
      <c r="R16" s="12">
        <f>SUMIF(Mercado_Receita!$S$2:$S$601,"44652B1BrancaResidencialResidencialNão se aplicaNão se aplicaFora ponta",Mercado_Receita!$L$2:$L$601)</f>
        <v>0</v>
      </c>
      <c r="S16" s="12">
        <f>SUMIF(Mercado_Receita!$S$2:$S$601,"44682B1BrancaResidencialResidencialNão se aplicaNão se aplicaFora ponta",Mercado_Receita!$L$2:$L$601)</f>
        <v>0</v>
      </c>
      <c r="T16" s="12">
        <f>SUMIF(Mercado_Receita!$S$2:$S$601,"44713B1BrancaResidencialResidencialNão se aplicaNão se aplicaFora ponta",Mercado_Receita!$L$2:$L$601)</f>
        <v>0</v>
      </c>
      <c r="U16" s="12">
        <f t="shared" si="0"/>
        <v>0</v>
      </c>
      <c r="V16" s="12"/>
      <c r="W16" s="12"/>
    </row>
    <row r="17" spans="1:23" ht="11.25" customHeight="1" x14ac:dyDescent="0.25">
      <c r="A17" s="88"/>
      <c r="B17" s="87" t="s">
        <v>23</v>
      </c>
      <c r="C17" s="87" t="s">
        <v>24</v>
      </c>
      <c r="D17" s="13" t="s">
        <v>24</v>
      </c>
      <c r="E17" s="13" t="s">
        <v>25</v>
      </c>
      <c r="F17" s="13" t="s">
        <v>25</v>
      </c>
      <c r="G17" s="12" t="s">
        <v>77</v>
      </c>
      <c r="H17" s="12" t="s">
        <v>71</v>
      </c>
      <c r="I17" s="12">
        <f>SUMIF(Mercado_Receita!$S$2:$S$601,"44378B1ConvencionalResidencialResidencialNão se aplicaNão se aplicaPonta",Mercado_Receita!$L$2:$L$601)+SUMIF(Mercado_Receita!$S$2:$S$601,"44378B1ConvencionalResidencialResidencialNão se aplicaNão se aplicaFora ponta",Mercado_Receita!$L$2:$L$601)+SUMIF(Mercado_Receita!$S$2:$S$601,"44378B1ConvencionalResidencialResidencialNão se aplicaNão se aplicaIntermediário",Mercado_Receita!$L$2:$L$601)+SUMIF(Mercado_Receita!$S$2:$S$601,"44378B1ConvencionalResidencialResidencialNão se aplicaNão se aplicaNão se aplica",Mercado_Receita!$L$2:$L$601)</f>
        <v>1036.346</v>
      </c>
      <c r="J17" s="12">
        <f>SUMIF(Mercado_Receita!$S$2:$S$601,"44409B1ConvencionalResidencialResidencialNão se aplicaNão se aplicaPonta",Mercado_Receita!$L$2:$L$601)+SUMIF(Mercado_Receita!$S$2:$S$601,"44409B1ConvencionalResidencialResidencialNão se aplicaNão se aplicaFora ponta",Mercado_Receita!$L$2:$L$601)+SUMIF(Mercado_Receita!$S$2:$S$601,"44409B1ConvencionalResidencialResidencialNão se aplicaNão se aplicaIntermediário",Mercado_Receita!$L$2:$L$601)+SUMIF(Mercado_Receita!$S$2:$S$601,"44409B1ConvencionalResidencialResidencialNão se aplicaNão se aplicaNão se aplica",Mercado_Receita!$L$2:$L$601)</f>
        <v>1048.0170000000001</v>
      </c>
      <c r="K17" s="12">
        <f>SUMIF(Mercado_Receita!$S$2:$S$601,"44440B1ConvencionalResidencialResidencialNão se aplicaNão se aplicaPonta",Mercado_Receita!$L$2:$L$601)+SUMIF(Mercado_Receita!$S$2:$S$601,"44440B1ConvencionalResidencialResidencialNão se aplicaNão se aplicaFora ponta",Mercado_Receita!$L$2:$L$601)+SUMIF(Mercado_Receita!$S$2:$S$601,"44440B1ConvencionalResidencialResidencialNão se aplicaNão se aplicaIntermediário",Mercado_Receita!$L$2:$L$601)+SUMIF(Mercado_Receita!$S$2:$S$601,"44440B1ConvencionalResidencialResidencialNão se aplicaNão se aplicaNão se aplica",Mercado_Receita!$L$2:$L$601)</f>
        <v>1062.0989999999999</v>
      </c>
      <c r="L17" s="12">
        <f>SUMIF(Mercado_Receita!$S$2:$S$601,"44470B1ConvencionalResidencialResidencialNão se aplicaNão se aplicaPonta",Mercado_Receita!$L$2:$L$601)+SUMIF(Mercado_Receita!$S$2:$S$601,"44470B1ConvencionalResidencialResidencialNão se aplicaNão se aplicaFora ponta",Mercado_Receita!$L$2:$L$601)+SUMIF(Mercado_Receita!$S$2:$S$601,"44470B1ConvencionalResidencialResidencialNão se aplicaNão se aplicaIntermediário",Mercado_Receita!$L$2:$L$601)+SUMIF(Mercado_Receita!$S$2:$S$601,"44470B1ConvencionalResidencialResidencialNão se aplicaNão se aplicaNão se aplica",Mercado_Receita!$L$2:$L$601)</f>
        <v>1027.1089999999999</v>
      </c>
      <c r="M17" s="12">
        <f>SUMIF(Mercado_Receita!$S$2:$S$601,"44501B1ConvencionalResidencialResidencialNão se aplicaNão se aplicaPonta",Mercado_Receita!$L$2:$L$601)+SUMIF(Mercado_Receita!$S$2:$S$601,"44501B1ConvencionalResidencialResidencialNão se aplicaNão se aplicaFora ponta",Mercado_Receita!$L$2:$L$601)+SUMIF(Mercado_Receita!$S$2:$S$601,"44501B1ConvencionalResidencialResidencialNão se aplicaNão se aplicaIntermediário",Mercado_Receita!$L$2:$L$601)+SUMIF(Mercado_Receita!$S$2:$S$601,"44501B1ConvencionalResidencialResidencialNão se aplicaNão se aplicaNão se aplica",Mercado_Receita!$L$2:$L$601)</f>
        <v>1139.431</v>
      </c>
      <c r="N17" s="12">
        <f>SUMIF(Mercado_Receita!$S$2:$S$601,"44531B1ConvencionalResidencialResidencialNão se aplicaNão se aplicaPonta",Mercado_Receita!$L$2:$L$601)+SUMIF(Mercado_Receita!$S$2:$S$601,"44531B1ConvencionalResidencialResidencialNão se aplicaNão se aplicaFora ponta",Mercado_Receita!$L$2:$L$601)+SUMIF(Mercado_Receita!$S$2:$S$601,"44531B1ConvencionalResidencialResidencialNão se aplicaNão se aplicaIntermediário",Mercado_Receita!$L$2:$L$601)+SUMIF(Mercado_Receita!$S$2:$S$601,"44531B1ConvencionalResidencialResidencialNão se aplicaNão se aplicaNão se aplica",Mercado_Receita!$L$2:$L$601)</f>
        <v>1141.5360000000001</v>
      </c>
      <c r="O17" s="12">
        <f>SUMIF(Mercado_Receita!$S$2:$S$601,"44562B1ConvencionalResidencialResidencialNão se aplicaNão se aplicaPonta",Mercado_Receita!$L$2:$L$601)+SUMIF(Mercado_Receita!$S$2:$S$601,"44562B1ConvencionalResidencialResidencialNão se aplicaNão se aplicaFora ponta",Mercado_Receita!$L$2:$L$601)+SUMIF(Mercado_Receita!$S$2:$S$601,"44562B1ConvencionalResidencialResidencialNão se aplicaNão se aplicaIntermediário",Mercado_Receita!$L$2:$L$601)+SUMIF(Mercado_Receita!$S$2:$S$601,"44562B1ConvencionalResidencialResidencialNão se aplicaNão se aplicaNão se aplica",Mercado_Receita!$L$2:$L$601)</f>
        <v>1438.7950000000001</v>
      </c>
      <c r="P17" s="12">
        <f>SUMIF(Mercado_Receita!$S$2:$S$601,"44593B1ConvencionalResidencialResidencialNão se aplicaNão se aplicaPonta",Mercado_Receita!$L$2:$L$601)+SUMIF(Mercado_Receita!$S$2:$S$601,"44593B1ConvencionalResidencialResidencialNão se aplicaNão se aplicaFora ponta",Mercado_Receita!$L$2:$L$601)+SUMIF(Mercado_Receita!$S$2:$S$601,"44593B1ConvencionalResidencialResidencialNão se aplicaNão se aplicaIntermediário",Mercado_Receita!$L$2:$L$601)+SUMIF(Mercado_Receita!$S$2:$S$601,"44593B1ConvencionalResidencialResidencialNão se aplicaNão se aplicaNão se aplica",Mercado_Receita!$L$2:$L$601)</f>
        <v>1506.2329999999999</v>
      </c>
      <c r="Q17" s="12">
        <f>SUMIF(Mercado_Receita!$S$2:$S$601,"44621B1ConvencionalResidencialResidencialNão se aplicaNão se aplicaPonta",Mercado_Receita!$L$2:$L$601)+SUMIF(Mercado_Receita!$S$2:$S$601,"44621B1ConvencionalResidencialResidencialNão se aplicaNão se aplicaFora ponta",Mercado_Receita!$L$2:$L$601)+SUMIF(Mercado_Receita!$S$2:$S$601,"44621B1ConvencionalResidencialResidencialNão se aplicaNão se aplicaIntermediário",Mercado_Receita!$L$2:$L$601)+SUMIF(Mercado_Receita!$S$2:$S$601,"44621B1ConvencionalResidencialResidencialNão se aplicaNão se aplicaNão se aplica",Mercado_Receita!$L$2:$L$601)</f>
        <v>1335.174</v>
      </c>
      <c r="R17" s="12">
        <f>SUMIF(Mercado_Receita!$S$2:$S$601,"44652B1ConvencionalResidencialResidencialNão se aplicaNão se aplicaPonta",Mercado_Receita!$L$2:$L$601)+SUMIF(Mercado_Receita!$S$2:$S$601,"44652B1ConvencionalResidencialResidencialNão se aplicaNão se aplicaFora ponta",Mercado_Receita!$L$2:$L$601)+SUMIF(Mercado_Receita!$S$2:$S$601,"44652B1ConvencionalResidencialResidencialNão se aplicaNão se aplicaIntermediário",Mercado_Receita!$L$2:$L$601)+SUMIF(Mercado_Receita!$S$2:$S$601,"44652B1ConvencionalResidencialResidencialNão se aplicaNão se aplicaNão se aplica",Mercado_Receita!$L$2:$L$601)</f>
        <v>1068.0309999999997</v>
      </c>
      <c r="S17" s="12">
        <f>SUMIF(Mercado_Receita!$S$2:$S$601,"44682B1ConvencionalResidencialResidencialNão se aplicaNão se aplicaPonta",Mercado_Receita!$L$2:$L$601)+SUMIF(Mercado_Receita!$S$2:$S$601,"44682B1ConvencionalResidencialResidencialNão se aplicaNão se aplicaFora ponta",Mercado_Receita!$L$2:$L$601)+SUMIF(Mercado_Receita!$S$2:$S$601,"44682B1ConvencionalResidencialResidencialNão se aplicaNão se aplicaIntermediário",Mercado_Receita!$L$2:$L$601)+SUMIF(Mercado_Receita!$S$2:$S$601,"44682B1ConvencionalResidencialResidencialNão se aplicaNão se aplicaNão se aplica",Mercado_Receita!$L$2:$L$601)</f>
        <v>1017.5329999999999</v>
      </c>
      <c r="T17" s="12">
        <f>SUMIF(Mercado_Receita!$S$2:$S$601,"44713B1ConvencionalResidencialResidencialNão se aplicaNão se aplicaPonta",Mercado_Receita!$L$2:$L$601)+SUMIF(Mercado_Receita!$S$2:$S$601,"44713B1ConvencionalResidencialResidencialNão se aplicaNão se aplicaFora ponta",Mercado_Receita!$L$2:$L$601)+SUMIF(Mercado_Receita!$S$2:$S$601,"44713B1ConvencionalResidencialResidencialNão se aplicaNão se aplicaIntermediário",Mercado_Receita!$L$2:$L$601)+SUMIF(Mercado_Receita!$S$2:$S$601,"44713B1ConvencionalResidencialResidencialNão se aplicaNão se aplicaNão se aplica",Mercado_Receita!$L$2:$L$601)</f>
        <v>997.09400000000005</v>
      </c>
      <c r="U17" s="12">
        <f t="shared" si="0"/>
        <v>13817.398000000001</v>
      </c>
      <c r="V17" s="12"/>
      <c r="W17" s="12"/>
    </row>
    <row r="18" spans="1:23" ht="11.25" customHeight="1" x14ac:dyDescent="0.25">
      <c r="A18" s="88"/>
      <c r="B18" s="88"/>
      <c r="C18" s="88"/>
      <c r="D18" s="13" t="s">
        <v>29</v>
      </c>
      <c r="E18" s="13" t="s">
        <v>25</v>
      </c>
      <c r="F18" s="13" t="s">
        <v>25</v>
      </c>
      <c r="G18" s="12" t="s">
        <v>77</v>
      </c>
      <c r="H18" s="12" t="s">
        <v>71</v>
      </c>
      <c r="I18" s="12">
        <f>SUMIF(Mercado_Receita!$S$2:$S$601,"44378B1ConvencionalResidencialResidencial baixa renda – faixa 01Não se aplicaNão se aplicaPonta",Mercado_Receita!$L$2:$L$601)+SUMIF(Mercado_Receita!$S$2:$S$601,"44378B1ConvencionalResidencialResidencial baixa renda – faixa 01Não se aplicaNão se aplicaFora ponta",Mercado_Receita!$L$2:$L$601)+SUMIF(Mercado_Receita!$S$2:$S$601,"44378B1ConvencionalResidencialResidencial baixa renda – faixa 01Não se aplicaNão se aplicaIntermediário",Mercado_Receita!$L$2:$L$601)+SUMIF(Mercado_Receita!$S$2:$S$601,"44378B1ConvencionalResidencialResidencial baixa renda – faixa 01Não se aplicaNão se aplicaNão se aplica",Mercado_Receita!$L$2:$L$601)</f>
        <v>8.129999999999999</v>
      </c>
      <c r="J18" s="12">
        <f>SUMIF(Mercado_Receita!$S$2:$S$601,"44409B1ConvencionalResidencialResidencial baixa renda – faixa 01Não se aplicaNão se aplicaPonta",Mercado_Receita!$L$2:$L$601)+SUMIF(Mercado_Receita!$S$2:$S$601,"44409B1ConvencionalResidencialResidencial baixa renda – faixa 01Não se aplicaNão se aplicaFora ponta",Mercado_Receita!$L$2:$L$601)+SUMIF(Mercado_Receita!$S$2:$S$601,"44409B1ConvencionalResidencialResidencial baixa renda – faixa 01Não se aplicaNão se aplicaIntermediário",Mercado_Receita!$L$2:$L$601)+SUMIF(Mercado_Receita!$S$2:$S$601,"44409B1ConvencionalResidencialResidencial baixa renda – faixa 01Não se aplicaNão se aplicaNão se aplica",Mercado_Receita!$L$2:$L$601)</f>
        <v>8.5960000000000001</v>
      </c>
      <c r="K18" s="12">
        <f>SUMIF(Mercado_Receita!$S$2:$S$601,"44440B1ConvencionalResidencialResidencial baixa renda – faixa 01Não se aplicaNão se aplicaPonta",Mercado_Receita!$L$2:$L$601)+SUMIF(Mercado_Receita!$S$2:$S$601,"44440B1ConvencionalResidencialResidencial baixa renda – faixa 01Não se aplicaNão se aplicaFora ponta",Mercado_Receita!$L$2:$L$601)+SUMIF(Mercado_Receita!$S$2:$S$601,"44440B1ConvencionalResidencialResidencial baixa renda – faixa 01Não se aplicaNão se aplicaIntermediário",Mercado_Receita!$L$2:$L$601)+SUMIF(Mercado_Receita!$S$2:$S$601,"44440B1ConvencionalResidencialResidencial baixa renda – faixa 01Não se aplicaNão se aplicaNão se aplica",Mercado_Receita!$L$2:$L$601)</f>
        <v>8.5659999999999989</v>
      </c>
      <c r="L18" s="12">
        <f>SUMIF(Mercado_Receita!$S$2:$S$601,"44470B1ConvencionalResidencialResidencial baixa renda – faixa 01Não se aplicaNão se aplicaPonta",Mercado_Receita!$L$2:$L$601)+SUMIF(Mercado_Receita!$S$2:$S$601,"44470B1ConvencionalResidencialResidencial baixa renda – faixa 01Não se aplicaNão se aplicaFora ponta",Mercado_Receita!$L$2:$L$601)+SUMIF(Mercado_Receita!$S$2:$S$601,"44470B1ConvencionalResidencialResidencial baixa renda – faixa 01Não se aplicaNão se aplicaIntermediário",Mercado_Receita!$L$2:$L$601)+SUMIF(Mercado_Receita!$S$2:$S$601,"44470B1ConvencionalResidencialResidencial baixa renda – faixa 01Não se aplicaNão se aplicaNão se aplica",Mercado_Receita!$L$2:$L$601)</f>
        <v>8.7240000000000002</v>
      </c>
      <c r="M18" s="12">
        <f>SUMIF(Mercado_Receita!$S$2:$S$601,"44501B1ConvencionalResidencialResidencial baixa renda – faixa 01Não se aplicaNão se aplicaPonta",Mercado_Receita!$L$2:$L$601)+SUMIF(Mercado_Receita!$S$2:$S$601,"44501B1ConvencionalResidencialResidencial baixa renda – faixa 01Não se aplicaNão se aplicaFora ponta",Mercado_Receita!$L$2:$L$601)+SUMIF(Mercado_Receita!$S$2:$S$601,"44501B1ConvencionalResidencialResidencial baixa renda – faixa 01Não se aplicaNão se aplicaIntermediário",Mercado_Receita!$L$2:$L$601)+SUMIF(Mercado_Receita!$S$2:$S$601,"44501B1ConvencionalResidencialResidencial baixa renda – faixa 01Não se aplicaNão se aplicaNão se aplica",Mercado_Receita!$L$2:$L$601)</f>
        <v>8.7900000000000009</v>
      </c>
      <c r="N18" s="12">
        <f>SUMIF(Mercado_Receita!$S$2:$S$601,"44531B1ConvencionalResidencialResidencial baixa renda – faixa 01Não se aplicaNão se aplicaPonta",Mercado_Receita!$L$2:$L$601)+SUMIF(Mercado_Receita!$S$2:$S$601,"44531B1ConvencionalResidencialResidencial baixa renda – faixa 01Não se aplicaNão se aplicaFora ponta",Mercado_Receita!$L$2:$L$601)+SUMIF(Mercado_Receita!$S$2:$S$601,"44531B1ConvencionalResidencialResidencial baixa renda – faixa 01Não se aplicaNão se aplicaIntermediário",Mercado_Receita!$L$2:$L$601)+SUMIF(Mercado_Receita!$S$2:$S$601,"44531B1ConvencionalResidencialResidencial baixa renda – faixa 01Não se aplicaNão se aplicaNão se aplica",Mercado_Receita!$L$2:$L$601)</f>
        <v>9.120000000000001</v>
      </c>
      <c r="O18" s="12">
        <f>SUMIF(Mercado_Receita!$S$2:$S$601,"44562B1ConvencionalResidencialResidencial baixa renda – faixa 01Não se aplicaNão se aplicaPonta",Mercado_Receita!$L$2:$L$601)+SUMIF(Mercado_Receita!$S$2:$S$601,"44562B1ConvencionalResidencialResidencial baixa renda – faixa 01Não se aplicaNão se aplicaFora ponta",Mercado_Receita!$L$2:$L$601)+SUMIF(Mercado_Receita!$S$2:$S$601,"44562B1ConvencionalResidencialResidencial baixa renda – faixa 01Não se aplicaNão se aplicaIntermediário",Mercado_Receita!$L$2:$L$601)+SUMIF(Mercado_Receita!$S$2:$S$601,"44562B1ConvencionalResidencialResidencial baixa renda – faixa 01Não se aplicaNão se aplicaNão se aplica",Mercado_Receita!$L$2:$L$601)</f>
        <v>9.2700000000000014</v>
      </c>
      <c r="P18" s="12">
        <f>SUMIF(Mercado_Receita!$S$2:$S$601,"44593B1ConvencionalResidencialResidencial baixa renda – faixa 01Não se aplicaNão se aplicaPonta",Mercado_Receita!$L$2:$L$601)+SUMIF(Mercado_Receita!$S$2:$S$601,"44593B1ConvencionalResidencialResidencial baixa renda – faixa 01Não se aplicaNão se aplicaFora ponta",Mercado_Receita!$L$2:$L$601)+SUMIF(Mercado_Receita!$S$2:$S$601,"44593B1ConvencionalResidencialResidencial baixa renda – faixa 01Não se aplicaNão se aplicaIntermediário",Mercado_Receita!$L$2:$L$601)+SUMIF(Mercado_Receita!$S$2:$S$601,"44593B1ConvencionalResidencialResidencial baixa renda – faixa 01Não se aplicaNão se aplicaNão se aplica",Mercado_Receita!$L$2:$L$601)</f>
        <v>9.42</v>
      </c>
      <c r="Q18" s="12">
        <f>SUMIF(Mercado_Receita!$S$2:$S$601,"44621B1ConvencionalResidencialResidencial baixa renda – faixa 01Não se aplicaNão se aplicaPonta",Mercado_Receita!$L$2:$L$601)+SUMIF(Mercado_Receita!$S$2:$S$601,"44621B1ConvencionalResidencialResidencial baixa renda – faixa 01Não se aplicaNão se aplicaFora ponta",Mercado_Receita!$L$2:$L$601)+SUMIF(Mercado_Receita!$S$2:$S$601,"44621B1ConvencionalResidencialResidencial baixa renda – faixa 01Não se aplicaNão se aplicaIntermediário",Mercado_Receita!$L$2:$L$601)+SUMIF(Mercado_Receita!$S$2:$S$601,"44621B1ConvencionalResidencialResidencial baixa renda – faixa 01Não se aplicaNão se aplicaNão se aplica",Mercado_Receita!$L$2:$L$601)</f>
        <v>9.7200000000000006</v>
      </c>
      <c r="R18" s="12">
        <f>SUMIF(Mercado_Receita!$S$2:$S$601,"44652B1ConvencionalResidencialResidencial baixa renda – faixa 01Não se aplicaNão se aplicaPonta",Mercado_Receita!$L$2:$L$601)+SUMIF(Mercado_Receita!$S$2:$S$601,"44652B1ConvencionalResidencialResidencial baixa renda – faixa 01Não se aplicaNão se aplicaFora ponta",Mercado_Receita!$L$2:$L$601)+SUMIF(Mercado_Receita!$S$2:$S$601,"44652B1ConvencionalResidencialResidencial baixa renda – faixa 01Não se aplicaNão se aplicaIntermediário",Mercado_Receita!$L$2:$L$601)+SUMIF(Mercado_Receita!$S$2:$S$601,"44652B1ConvencionalResidencialResidencial baixa renda – faixa 01Não se aplicaNão se aplicaNão se aplica",Mercado_Receita!$L$2:$L$601)</f>
        <v>23.036999999999999</v>
      </c>
      <c r="S18" s="12">
        <f>SUMIF(Mercado_Receita!$S$2:$S$601,"44682B1ConvencionalResidencialResidencial baixa renda – faixa 01Não se aplicaNão se aplicaPonta",Mercado_Receita!$L$2:$L$601)+SUMIF(Mercado_Receita!$S$2:$S$601,"44682B1ConvencionalResidencialResidencial baixa renda – faixa 01Não se aplicaNão se aplicaFora ponta",Mercado_Receita!$L$2:$L$601)+SUMIF(Mercado_Receita!$S$2:$S$601,"44682B1ConvencionalResidencialResidencial baixa renda – faixa 01Não se aplicaNão se aplicaIntermediário",Mercado_Receita!$L$2:$L$601)+SUMIF(Mercado_Receita!$S$2:$S$601,"44682B1ConvencionalResidencialResidencial baixa renda – faixa 01Não se aplicaNão se aplicaNão se aplica",Mercado_Receita!$L$2:$L$601)</f>
        <v>23.656000000000002</v>
      </c>
      <c r="T18" s="12">
        <f>SUMIF(Mercado_Receita!$S$2:$S$601,"44713B1ConvencionalResidencialResidencial baixa renda – faixa 01Não se aplicaNão se aplicaPonta",Mercado_Receita!$L$2:$L$601)+SUMIF(Mercado_Receita!$S$2:$S$601,"44713B1ConvencionalResidencialResidencial baixa renda – faixa 01Não se aplicaNão se aplicaFora ponta",Mercado_Receita!$L$2:$L$601)+SUMIF(Mercado_Receita!$S$2:$S$601,"44713B1ConvencionalResidencialResidencial baixa renda – faixa 01Não se aplicaNão se aplicaIntermediário",Mercado_Receita!$L$2:$L$601)+SUMIF(Mercado_Receita!$S$2:$S$601,"44713B1ConvencionalResidencialResidencial baixa renda – faixa 01Não se aplicaNão se aplicaNão se aplica",Mercado_Receita!$L$2:$L$601)</f>
        <v>25.193000000000001</v>
      </c>
      <c r="U18" s="12">
        <f t="shared" si="0"/>
        <v>152.22200000000001</v>
      </c>
      <c r="V18" s="12"/>
      <c r="W18" s="12"/>
    </row>
    <row r="19" spans="1:23" ht="11.25" customHeight="1" x14ac:dyDescent="0.25">
      <c r="A19" s="88"/>
      <c r="B19" s="88"/>
      <c r="C19" s="88"/>
      <c r="D19" s="13" t="s">
        <v>30</v>
      </c>
      <c r="E19" s="13" t="s">
        <v>25</v>
      </c>
      <c r="F19" s="13" t="s">
        <v>25</v>
      </c>
      <c r="G19" s="12" t="s">
        <v>77</v>
      </c>
      <c r="H19" s="12" t="s">
        <v>71</v>
      </c>
      <c r="I19" s="12">
        <f>SUMIF(Mercado_Receita!$S$2:$S$601,"44378B1ConvencionalResidencialResidencial baixa renda – faixa 02Não se aplicaNão se aplicaPonta",Mercado_Receita!$L$2:$L$601)+SUMIF(Mercado_Receita!$S$2:$S$601,"44378B1ConvencionalResidencialResidencial baixa renda – faixa 02Não se aplicaNão se aplicaFora ponta",Mercado_Receita!$L$2:$L$601)+SUMIF(Mercado_Receita!$S$2:$S$601,"44378B1ConvencionalResidencialResidencial baixa renda – faixa 02Não se aplicaNão se aplicaIntermediário",Mercado_Receita!$L$2:$L$601)+SUMIF(Mercado_Receita!$S$2:$S$601,"44378B1ConvencionalResidencialResidencial baixa renda – faixa 02Não se aplicaNão se aplicaNão se aplica",Mercado_Receita!$L$2:$L$601)</f>
        <v>13.380999999999998</v>
      </c>
      <c r="J19" s="12">
        <f>SUMIF(Mercado_Receita!$S$2:$S$601,"44409B1ConvencionalResidencialResidencial baixa renda – faixa 02Não se aplicaNão se aplicaPonta",Mercado_Receita!$L$2:$L$601)+SUMIF(Mercado_Receita!$S$2:$S$601,"44409B1ConvencionalResidencialResidencial baixa renda – faixa 02Não se aplicaNão se aplicaFora ponta",Mercado_Receita!$L$2:$L$601)+SUMIF(Mercado_Receita!$S$2:$S$601,"44409B1ConvencionalResidencialResidencial baixa renda – faixa 02Não se aplicaNão se aplicaIntermediário",Mercado_Receita!$L$2:$L$601)+SUMIF(Mercado_Receita!$S$2:$S$601,"44409B1ConvencionalResidencialResidencial baixa renda – faixa 02Não se aplicaNão se aplicaNão se aplica",Mercado_Receita!$L$2:$L$601)</f>
        <v>14.515000000000001</v>
      </c>
      <c r="K19" s="12">
        <f>SUMIF(Mercado_Receita!$S$2:$S$601,"44440B1ConvencionalResidencialResidencial baixa renda – faixa 02Não se aplicaNão se aplicaPonta",Mercado_Receita!$L$2:$L$601)+SUMIF(Mercado_Receita!$S$2:$S$601,"44440B1ConvencionalResidencialResidencial baixa renda – faixa 02Não se aplicaNão se aplicaFora ponta",Mercado_Receita!$L$2:$L$601)+SUMIF(Mercado_Receita!$S$2:$S$601,"44440B1ConvencionalResidencialResidencial baixa renda – faixa 02Não se aplicaNão se aplicaIntermediário",Mercado_Receita!$L$2:$L$601)+SUMIF(Mercado_Receita!$S$2:$S$601,"44440B1ConvencionalResidencialResidencial baixa renda – faixa 02Não se aplicaNão se aplicaNão se aplica",Mercado_Receita!$L$2:$L$601)</f>
        <v>15.055999999999999</v>
      </c>
      <c r="L19" s="12">
        <f>SUMIF(Mercado_Receita!$S$2:$S$601,"44470B1ConvencionalResidencialResidencial baixa renda – faixa 02Não se aplicaNão se aplicaPonta",Mercado_Receita!$L$2:$L$601)+SUMIF(Mercado_Receita!$S$2:$S$601,"44470B1ConvencionalResidencialResidencial baixa renda – faixa 02Não se aplicaNão se aplicaFora ponta",Mercado_Receita!$L$2:$L$601)+SUMIF(Mercado_Receita!$S$2:$S$601,"44470B1ConvencionalResidencialResidencial baixa renda – faixa 02Não se aplicaNão se aplicaIntermediário",Mercado_Receita!$L$2:$L$601)+SUMIF(Mercado_Receita!$S$2:$S$601,"44470B1ConvencionalResidencialResidencial baixa renda – faixa 02Não se aplicaNão se aplicaNão se aplica",Mercado_Receita!$L$2:$L$601)</f>
        <v>15.439</v>
      </c>
      <c r="M19" s="12">
        <f>SUMIF(Mercado_Receita!$S$2:$S$601,"44501B1ConvencionalResidencialResidencial baixa renda – faixa 02Não se aplicaNão se aplicaPonta",Mercado_Receita!$L$2:$L$601)+SUMIF(Mercado_Receita!$S$2:$S$601,"44501B1ConvencionalResidencialResidencial baixa renda – faixa 02Não se aplicaNão se aplicaFora ponta",Mercado_Receita!$L$2:$L$601)+SUMIF(Mercado_Receita!$S$2:$S$601,"44501B1ConvencionalResidencialResidencial baixa renda – faixa 02Não se aplicaNão se aplicaIntermediário",Mercado_Receita!$L$2:$L$601)+SUMIF(Mercado_Receita!$S$2:$S$601,"44501B1ConvencionalResidencialResidencial baixa renda – faixa 02Não se aplicaNão se aplicaNão se aplica",Mercado_Receita!$L$2:$L$601)</f>
        <v>16.486000000000001</v>
      </c>
      <c r="N19" s="12">
        <f>SUMIF(Mercado_Receita!$S$2:$S$601,"44531B1ConvencionalResidencialResidencial baixa renda – faixa 02Não se aplicaNão se aplicaPonta",Mercado_Receita!$L$2:$L$601)+SUMIF(Mercado_Receita!$S$2:$S$601,"44531B1ConvencionalResidencialResidencial baixa renda – faixa 02Não se aplicaNão se aplicaFora ponta",Mercado_Receita!$L$2:$L$601)+SUMIF(Mercado_Receita!$S$2:$S$601,"44531B1ConvencionalResidencialResidencial baixa renda – faixa 02Não se aplicaNão se aplicaIntermediário",Mercado_Receita!$L$2:$L$601)+SUMIF(Mercado_Receita!$S$2:$S$601,"44531B1ConvencionalResidencialResidencial baixa renda – faixa 02Não se aplicaNão se aplicaNão se aplica",Mercado_Receita!$L$2:$L$601)</f>
        <v>17.509</v>
      </c>
      <c r="O19" s="12">
        <f>SUMIF(Mercado_Receita!$S$2:$S$601,"44562B1ConvencionalResidencialResidencial baixa renda – faixa 02Não se aplicaNão se aplicaPonta",Mercado_Receita!$L$2:$L$601)+SUMIF(Mercado_Receita!$S$2:$S$601,"44562B1ConvencionalResidencialResidencial baixa renda – faixa 02Não se aplicaNão se aplicaFora ponta",Mercado_Receita!$L$2:$L$601)+SUMIF(Mercado_Receita!$S$2:$S$601,"44562B1ConvencionalResidencialResidencial baixa renda – faixa 02Não se aplicaNão se aplicaIntermediário",Mercado_Receita!$L$2:$L$601)+SUMIF(Mercado_Receita!$S$2:$S$601,"44562B1ConvencionalResidencialResidencial baixa renda – faixa 02Não se aplicaNão se aplicaNão se aplica",Mercado_Receita!$L$2:$L$601)</f>
        <v>18.545999999999999</v>
      </c>
      <c r="P19" s="12">
        <f>SUMIF(Mercado_Receita!$S$2:$S$601,"44593B1ConvencionalResidencialResidencial baixa renda – faixa 02Não se aplicaNão se aplicaPonta",Mercado_Receita!$L$2:$L$601)+SUMIF(Mercado_Receita!$S$2:$S$601,"44593B1ConvencionalResidencialResidencial baixa renda – faixa 02Não se aplicaNão se aplicaFora ponta",Mercado_Receita!$L$2:$L$601)+SUMIF(Mercado_Receita!$S$2:$S$601,"44593B1ConvencionalResidencialResidencial baixa renda – faixa 02Não se aplicaNão se aplicaIntermediário",Mercado_Receita!$L$2:$L$601)+SUMIF(Mercado_Receita!$S$2:$S$601,"44593B1ConvencionalResidencialResidencial baixa renda – faixa 02Não se aplicaNão se aplicaNão se aplica",Mercado_Receita!$L$2:$L$601)</f>
        <v>19.137</v>
      </c>
      <c r="Q19" s="12">
        <f>SUMIF(Mercado_Receita!$S$2:$S$601,"44621B1ConvencionalResidencialResidencial baixa renda – faixa 02Não se aplicaNão se aplicaPonta",Mercado_Receita!$L$2:$L$601)+SUMIF(Mercado_Receita!$S$2:$S$601,"44621B1ConvencionalResidencialResidencial baixa renda – faixa 02Não se aplicaNão se aplicaFora ponta",Mercado_Receita!$L$2:$L$601)+SUMIF(Mercado_Receita!$S$2:$S$601,"44621B1ConvencionalResidencialResidencial baixa renda – faixa 02Não se aplicaNão se aplicaIntermediário",Mercado_Receita!$L$2:$L$601)+SUMIF(Mercado_Receita!$S$2:$S$601,"44621B1ConvencionalResidencialResidencial baixa renda – faixa 02Não se aplicaNão se aplicaNão se aplica",Mercado_Receita!$L$2:$L$601)</f>
        <v>19.541</v>
      </c>
      <c r="R19" s="12">
        <f>SUMIF(Mercado_Receita!$S$2:$S$601,"44652B1ConvencionalResidencialResidencial baixa renda – faixa 02Não se aplicaNão se aplicaPonta",Mercado_Receita!$L$2:$L$601)+SUMIF(Mercado_Receita!$S$2:$S$601,"44652B1ConvencionalResidencialResidencial baixa renda – faixa 02Não se aplicaNão se aplicaFora ponta",Mercado_Receita!$L$2:$L$601)+SUMIF(Mercado_Receita!$S$2:$S$601,"44652B1ConvencionalResidencialResidencial baixa renda – faixa 02Não se aplicaNão se aplicaIntermediário",Mercado_Receita!$L$2:$L$601)+SUMIF(Mercado_Receita!$S$2:$S$601,"44652B1ConvencionalResidencialResidencial baixa renda – faixa 02Não se aplicaNão se aplicaNão se aplica",Mercado_Receita!$L$2:$L$601)</f>
        <v>40.335999999999999</v>
      </c>
      <c r="S19" s="12">
        <f>SUMIF(Mercado_Receita!$S$2:$S$601,"44682B1ConvencionalResidencialResidencial baixa renda – faixa 02Não se aplicaNão se aplicaPonta",Mercado_Receita!$L$2:$L$601)+SUMIF(Mercado_Receita!$S$2:$S$601,"44682B1ConvencionalResidencialResidencial baixa renda – faixa 02Não se aplicaNão se aplicaFora ponta",Mercado_Receita!$L$2:$L$601)+SUMIF(Mercado_Receita!$S$2:$S$601,"44682B1ConvencionalResidencialResidencial baixa renda – faixa 02Não se aplicaNão se aplicaIntermediário",Mercado_Receita!$L$2:$L$601)+SUMIF(Mercado_Receita!$S$2:$S$601,"44682B1ConvencionalResidencialResidencial baixa renda – faixa 02Não se aplicaNão se aplicaNão se aplica",Mercado_Receita!$L$2:$L$601)</f>
        <v>40.542000000000002</v>
      </c>
      <c r="T19" s="12">
        <f>SUMIF(Mercado_Receita!$S$2:$S$601,"44713B1ConvencionalResidencialResidencial baixa renda – faixa 02Não se aplicaNão se aplicaPonta",Mercado_Receita!$L$2:$L$601)+SUMIF(Mercado_Receita!$S$2:$S$601,"44713B1ConvencionalResidencialResidencial baixa renda – faixa 02Não se aplicaNão se aplicaFora ponta",Mercado_Receita!$L$2:$L$601)+SUMIF(Mercado_Receita!$S$2:$S$601,"44713B1ConvencionalResidencialResidencial baixa renda – faixa 02Não se aplicaNão se aplicaIntermediário",Mercado_Receita!$L$2:$L$601)+SUMIF(Mercado_Receita!$S$2:$S$601,"44713B1ConvencionalResidencialResidencial baixa renda – faixa 02Não se aplicaNão se aplicaNão se aplica",Mercado_Receita!$L$2:$L$601)</f>
        <v>41.134</v>
      </c>
      <c r="U19" s="12">
        <f t="shared" si="0"/>
        <v>271.62199999999996</v>
      </c>
      <c r="V19" s="12"/>
      <c r="W19" s="12"/>
    </row>
    <row r="20" spans="1:23" ht="11.25" customHeight="1" x14ac:dyDescent="0.25">
      <c r="A20" s="88"/>
      <c r="B20" s="88"/>
      <c r="C20" s="88"/>
      <c r="D20" s="13" t="s">
        <v>31</v>
      </c>
      <c r="E20" s="13" t="s">
        <v>25</v>
      </c>
      <c r="F20" s="13" t="s">
        <v>25</v>
      </c>
      <c r="G20" s="12" t="s">
        <v>77</v>
      </c>
      <c r="H20" s="12" t="s">
        <v>71</v>
      </c>
      <c r="I20" s="12">
        <f>SUMIF(Mercado_Receita!$S$2:$S$601,"44378B1ConvencionalResidencialResidencial baixa renda – faixa 03Não se aplicaNão se aplicaPonta",Mercado_Receita!$L$2:$L$601)+SUMIF(Mercado_Receita!$S$2:$S$601,"44378B1ConvencionalResidencialResidencial baixa renda – faixa 03Não se aplicaNão se aplicaFora ponta",Mercado_Receita!$L$2:$L$601)+SUMIF(Mercado_Receita!$S$2:$S$601,"44378B1ConvencionalResidencialResidencial baixa renda – faixa 03Não se aplicaNão se aplicaIntermediário",Mercado_Receita!$L$2:$L$601)+SUMIF(Mercado_Receita!$S$2:$S$601,"44378B1ConvencionalResidencialResidencial baixa renda – faixa 03Não se aplicaNão se aplicaNão se aplica",Mercado_Receita!$L$2:$L$601)</f>
        <v>8.3789999999999996</v>
      </c>
      <c r="J20" s="12">
        <f>SUMIF(Mercado_Receita!$S$2:$S$601,"44409B1ConvencionalResidencialResidencial baixa renda – faixa 03Não se aplicaNão se aplicaPonta",Mercado_Receita!$L$2:$L$601)+SUMIF(Mercado_Receita!$S$2:$S$601,"44409B1ConvencionalResidencialResidencial baixa renda – faixa 03Não se aplicaNão se aplicaFora ponta",Mercado_Receita!$L$2:$L$601)+SUMIF(Mercado_Receita!$S$2:$S$601,"44409B1ConvencionalResidencialResidencial baixa renda – faixa 03Não se aplicaNão se aplicaIntermediário",Mercado_Receita!$L$2:$L$601)+SUMIF(Mercado_Receita!$S$2:$S$601,"44409B1ConvencionalResidencialResidencial baixa renda – faixa 03Não se aplicaNão se aplicaNão se aplica",Mercado_Receita!$L$2:$L$601)</f>
        <v>9.2449999999999992</v>
      </c>
      <c r="K20" s="12">
        <f>SUMIF(Mercado_Receita!$S$2:$S$601,"44440B1ConvencionalResidencialResidencial baixa renda – faixa 03Não se aplicaNão se aplicaPonta",Mercado_Receita!$L$2:$L$601)+SUMIF(Mercado_Receita!$S$2:$S$601,"44440B1ConvencionalResidencialResidencial baixa renda – faixa 03Não se aplicaNão se aplicaFora ponta",Mercado_Receita!$L$2:$L$601)+SUMIF(Mercado_Receita!$S$2:$S$601,"44440B1ConvencionalResidencialResidencial baixa renda – faixa 03Não se aplicaNão se aplicaIntermediário",Mercado_Receita!$L$2:$L$601)+SUMIF(Mercado_Receita!$S$2:$S$601,"44440B1ConvencionalResidencialResidencial baixa renda – faixa 03Não se aplicaNão se aplicaNão se aplica",Mercado_Receita!$L$2:$L$601)</f>
        <v>10.483000000000001</v>
      </c>
      <c r="L20" s="12">
        <f>SUMIF(Mercado_Receita!$S$2:$S$601,"44470B1ConvencionalResidencialResidencial baixa renda – faixa 03Não se aplicaNão se aplicaPonta",Mercado_Receita!$L$2:$L$601)+SUMIF(Mercado_Receita!$S$2:$S$601,"44470B1ConvencionalResidencialResidencial baixa renda – faixa 03Não se aplicaNão se aplicaFora ponta",Mercado_Receita!$L$2:$L$601)+SUMIF(Mercado_Receita!$S$2:$S$601,"44470B1ConvencionalResidencialResidencial baixa renda – faixa 03Não se aplicaNão se aplicaIntermediário",Mercado_Receita!$L$2:$L$601)+SUMIF(Mercado_Receita!$S$2:$S$601,"44470B1ConvencionalResidencialResidencial baixa renda – faixa 03Não se aplicaNão se aplicaNão se aplica",Mercado_Receita!$L$2:$L$601)</f>
        <v>10.374000000000001</v>
      </c>
      <c r="M20" s="12">
        <f>SUMIF(Mercado_Receita!$S$2:$S$601,"44501B1ConvencionalResidencialResidencial baixa renda – faixa 03Não se aplicaNão se aplicaPonta",Mercado_Receita!$L$2:$L$601)+SUMIF(Mercado_Receita!$S$2:$S$601,"44501B1ConvencionalResidencialResidencial baixa renda – faixa 03Não se aplicaNão se aplicaFora ponta",Mercado_Receita!$L$2:$L$601)+SUMIF(Mercado_Receita!$S$2:$S$601,"44501B1ConvencionalResidencialResidencial baixa renda – faixa 03Não se aplicaNão se aplicaIntermediário",Mercado_Receita!$L$2:$L$601)+SUMIF(Mercado_Receita!$S$2:$S$601,"44501B1ConvencionalResidencialResidencial baixa renda – faixa 03Não se aplicaNão se aplicaNão se aplica",Mercado_Receita!$L$2:$L$601)</f>
        <v>12.676</v>
      </c>
      <c r="N20" s="12">
        <f>SUMIF(Mercado_Receita!$S$2:$S$601,"44531B1ConvencionalResidencialResidencial baixa renda – faixa 03Não se aplicaNão se aplicaPonta",Mercado_Receita!$L$2:$L$601)+SUMIF(Mercado_Receita!$S$2:$S$601,"44531B1ConvencionalResidencialResidencial baixa renda – faixa 03Não se aplicaNão se aplicaFora ponta",Mercado_Receita!$L$2:$L$601)+SUMIF(Mercado_Receita!$S$2:$S$601,"44531B1ConvencionalResidencialResidencial baixa renda – faixa 03Não se aplicaNão se aplicaIntermediário",Mercado_Receita!$L$2:$L$601)+SUMIF(Mercado_Receita!$S$2:$S$601,"44531B1ConvencionalResidencialResidencial baixa renda – faixa 03Não se aplicaNão se aplicaNão se aplica",Mercado_Receita!$L$2:$L$601)</f>
        <v>13.223000000000001</v>
      </c>
      <c r="O20" s="12">
        <f>SUMIF(Mercado_Receita!$S$2:$S$601,"44562B1ConvencionalResidencialResidencial baixa renda – faixa 03Não se aplicaNão se aplicaPonta",Mercado_Receita!$L$2:$L$601)+SUMIF(Mercado_Receita!$S$2:$S$601,"44562B1ConvencionalResidencialResidencial baixa renda – faixa 03Não se aplicaNão se aplicaFora ponta",Mercado_Receita!$L$2:$L$601)+SUMIF(Mercado_Receita!$S$2:$S$601,"44562B1ConvencionalResidencialResidencial baixa renda – faixa 03Não se aplicaNão se aplicaIntermediário",Mercado_Receita!$L$2:$L$601)+SUMIF(Mercado_Receita!$S$2:$S$601,"44562B1ConvencionalResidencialResidencial baixa renda – faixa 03Não se aplicaNão se aplicaNão se aplica",Mercado_Receita!$L$2:$L$601)</f>
        <v>17.148</v>
      </c>
      <c r="P20" s="12">
        <f>SUMIF(Mercado_Receita!$S$2:$S$601,"44593B1ConvencionalResidencialResidencial baixa renda – faixa 03Não se aplicaNão se aplicaPonta",Mercado_Receita!$L$2:$L$601)+SUMIF(Mercado_Receita!$S$2:$S$601,"44593B1ConvencionalResidencialResidencial baixa renda – faixa 03Não se aplicaNão se aplicaFora ponta",Mercado_Receita!$L$2:$L$601)+SUMIF(Mercado_Receita!$S$2:$S$601,"44593B1ConvencionalResidencialResidencial baixa renda – faixa 03Não se aplicaNão se aplicaIntermediário",Mercado_Receita!$L$2:$L$601)+SUMIF(Mercado_Receita!$S$2:$S$601,"44593B1ConvencionalResidencialResidencial baixa renda – faixa 03Não se aplicaNão se aplicaNão se aplica",Mercado_Receita!$L$2:$L$601)</f>
        <v>18.954999999999998</v>
      </c>
      <c r="Q20" s="12">
        <f>SUMIF(Mercado_Receita!$S$2:$S$601,"44621B1ConvencionalResidencialResidencial baixa renda – faixa 03Não se aplicaNão se aplicaPonta",Mercado_Receita!$L$2:$L$601)+SUMIF(Mercado_Receita!$S$2:$S$601,"44621B1ConvencionalResidencialResidencial baixa renda – faixa 03Não se aplicaNão se aplicaFora ponta",Mercado_Receita!$L$2:$L$601)+SUMIF(Mercado_Receita!$S$2:$S$601,"44621B1ConvencionalResidencialResidencial baixa renda – faixa 03Não se aplicaNão se aplicaIntermediário",Mercado_Receita!$L$2:$L$601)+SUMIF(Mercado_Receita!$S$2:$S$601,"44621B1ConvencionalResidencialResidencial baixa renda – faixa 03Não se aplicaNão se aplicaNão se aplica",Mercado_Receita!$L$2:$L$601)</f>
        <v>18.23</v>
      </c>
      <c r="R20" s="12">
        <f>SUMIF(Mercado_Receita!$S$2:$S$601,"44652B1ConvencionalResidencialResidencial baixa renda – faixa 03Não se aplicaNão se aplicaPonta",Mercado_Receita!$L$2:$L$601)+SUMIF(Mercado_Receita!$S$2:$S$601,"44652B1ConvencionalResidencialResidencial baixa renda – faixa 03Não se aplicaNão se aplicaFora ponta",Mercado_Receita!$L$2:$L$601)+SUMIF(Mercado_Receita!$S$2:$S$601,"44652B1ConvencionalResidencialResidencial baixa renda – faixa 03Não se aplicaNão se aplicaIntermediário",Mercado_Receita!$L$2:$L$601)+SUMIF(Mercado_Receita!$S$2:$S$601,"44652B1ConvencionalResidencialResidencial baixa renda – faixa 03Não se aplicaNão se aplicaNão se aplica",Mercado_Receita!$L$2:$L$601)</f>
        <v>28.111999999999998</v>
      </c>
      <c r="S20" s="12">
        <f>SUMIF(Mercado_Receita!$S$2:$S$601,"44682B1ConvencionalResidencialResidencial baixa renda – faixa 03Não se aplicaNão se aplicaPonta",Mercado_Receita!$L$2:$L$601)+SUMIF(Mercado_Receita!$S$2:$S$601,"44682B1ConvencionalResidencialResidencial baixa renda – faixa 03Não se aplicaNão se aplicaFora ponta",Mercado_Receita!$L$2:$L$601)+SUMIF(Mercado_Receita!$S$2:$S$601,"44682B1ConvencionalResidencialResidencial baixa renda – faixa 03Não se aplicaNão se aplicaIntermediário",Mercado_Receita!$L$2:$L$601)+SUMIF(Mercado_Receita!$S$2:$S$601,"44682B1ConvencionalResidencialResidencial baixa renda – faixa 03Não se aplicaNão se aplicaNão se aplica",Mercado_Receita!$L$2:$L$601)</f>
        <v>25.003999999999998</v>
      </c>
      <c r="T20" s="12">
        <f>SUMIF(Mercado_Receita!$S$2:$S$601,"44713B1ConvencionalResidencialResidencial baixa renda – faixa 03Não se aplicaNão se aplicaPonta",Mercado_Receita!$L$2:$L$601)+SUMIF(Mercado_Receita!$S$2:$S$601,"44713B1ConvencionalResidencialResidencial baixa renda – faixa 03Não se aplicaNão se aplicaFora ponta",Mercado_Receita!$L$2:$L$601)+SUMIF(Mercado_Receita!$S$2:$S$601,"44713B1ConvencionalResidencialResidencial baixa renda – faixa 03Não se aplicaNão se aplicaIntermediário",Mercado_Receita!$L$2:$L$601)+SUMIF(Mercado_Receita!$S$2:$S$601,"44713B1ConvencionalResidencialResidencial baixa renda – faixa 03Não se aplicaNão se aplicaNão se aplica",Mercado_Receita!$L$2:$L$601)</f>
        <v>23.893000000000001</v>
      </c>
      <c r="U20" s="12">
        <f t="shared" si="0"/>
        <v>195.72200000000001</v>
      </c>
      <c r="V20" s="12"/>
      <c r="W20" s="12"/>
    </row>
    <row r="21" spans="1:23" ht="11.25" customHeight="1" x14ac:dyDescent="0.25">
      <c r="A21" s="88"/>
      <c r="B21" s="88"/>
      <c r="C21" s="88"/>
      <c r="D21" s="13" t="s">
        <v>32</v>
      </c>
      <c r="E21" s="13" t="s">
        <v>25</v>
      </c>
      <c r="F21" s="13" t="s">
        <v>25</v>
      </c>
      <c r="G21" s="12" t="s">
        <v>77</v>
      </c>
      <c r="H21" s="12" t="s">
        <v>71</v>
      </c>
      <c r="I21" s="12">
        <f>SUMIF(Mercado_Receita!$S$2:$S$601,"44378B1ConvencionalResidencialResidencial baixa renda – faixa 04Não se aplicaNão se aplicaPonta",Mercado_Receita!$L$2:$L$601)+SUMIF(Mercado_Receita!$S$2:$S$601,"44378B1ConvencionalResidencialResidencial baixa renda – faixa 04Não se aplicaNão se aplicaFora ponta",Mercado_Receita!$L$2:$L$601)+SUMIF(Mercado_Receita!$S$2:$S$601,"44378B1ConvencionalResidencialResidencial baixa renda – faixa 04Não se aplicaNão se aplicaIntermediário",Mercado_Receita!$L$2:$L$601)+SUMIF(Mercado_Receita!$S$2:$S$601,"44378B1ConvencionalResidencialResidencial baixa renda – faixa 04Não se aplicaNão se aplicaNão se aplica",Mercado_Receita!$L$2:$L$601)</f>
        <v>1.22</v>
      </c>
      <c r="J21" s="12">
        <f>SUMIF(Mercado_Receita!$S$2:$S$601,"44409B1ConvencionalResidencialResidencial baixa renda – faixa 04Não se aplicaNão se aplicaPonta",Mercado_Receita!$L$2:$L$601)+SUMIF(Mercado_Receita!$S$2:$S$601,"44409B1ConvencionalResidencialResidencial baixa renda – faixa 04Não se aplicaNão se aplicaFora ponta",Mercado_Receita!$L$2:$L$601)+SUMIF(Mercado_Receita!$S$2:$S$601,"44409B1ConvencionalResidencialResidencial baixa renda – faixa 04Não se aplicaNão se aplicaIntermediário",Mercado_Receita!$L$2:$L$601)+SUMIF(Mercado_Receita!$S$2:$S$601,"44409B1ConvencionalResidencialResidencial baixa renda – faixa 04Não se aplicaNão se aplicaNão se aplica",Mercado_Receita!$L$2:$L$601)</f>
        <v>1.6419999999999999</v>
      </c>
      <c r="K21" s="12">
        <f>SUMIF(Mercado_Receita!$S$2:$S$601,"44440B1ConvencionalResidencialResidencial baixa renda – faixa 04Não se aplicaNão se aplicaPonta",Mercado_Receita!$L$2:$L$601)+SUMIF(Mercado_Receita!$S$2:$S$601,"44440B1ConvencionalResidencialResidencial baixa renda – faixa 04Não se aplicaNão se aplicaFora ponta",Mercado_Receita!$L$2:$L$601)+SUMIF(Mercado_Receita!$S$2:$S$601,"44440B1ConvencionalResidencialResidencial baixa renda – faixa 04Não se aplicaNão se aplicaIntermediário",Mercado_Receita!$L$2:$L$601)+SUMIF(Mercado_Receita!$S$2:$S$601,"44440B1ConvencionalResidencialResidencial baixa renda – faixa 04Não se aplicaNão se aplicaNão se aplica",Mercado_Receita!$L$2:$L$601)</f>
        <v>2.2559999999999998</v>
      </c>
      <c r="L21" s="12">
        <f>SUMIF(Mercado_Receita!$S$2:$S$601,"44470B1ConvencionalResidencialResidencial baixa renda – faixa 04Não se aplicaNão se aplicaPonta",Mercado_Receita!$L$2:$L$601)+SUMIF(Mercado_Receita!$S$2:$S$601,"44470B1ConvencionalResidencialResidencial baixa renda – faixa 04Não se aplicaNão se aplicaFora ponta",Mercado_Receita!$L$2:$L$601)+SUMIF(Mercado_Receita!$S$2:$S$601,"44470B1ConvencionalResidencialResidencial baixa renda – faixa 04Não se aplicaNão se aplicaIntermediário",Mercado_Receita!$L$2:$L$601)+SUMIF(Mercado_Receita!$S$2:$S$601,"44470B1ConvencionalResidencialResidencial baixa renda – faixa 04Não se aplicaNão se aplicaNão se aplica",Mercado_Receita!$L$2:$L$601)</f>
        <v>1.8440000000000001</v>
      </c>
      <c r="M21" s="12">
        <f>SUMIF(Mercado_Receita!$S$2:$S$601,"44501B1ConvencionalResidencialResidencial baixa renda – faixa 04Não se aplicaNão se aplicaPonta",Mercado_Receita!$L$2:$L$601)+SUMIF(Mercado_Receita!$S$2:$S$601,"44501B1ConvencionalResidencialResidencial baixa renda – faixa 04Não se aplicaNão se aplicaFora ponta",Mercado_Receita!$L$2:$L$601)+SUMIF(Mercado_Receita!$S$2:$S$601,"44501B1ConvencionalResidencialResidencial baixa renda – faixa 04Não se aplicaNão se aplicaIntermediário",Mercado_Receita!$L$2:$L$601)+SUMIF(Mercado_Receita!$S$2:$S$601,"44501B1ConvencionalResidencialResidencial baixa renda – faixa 04Não se aplicaNão se aplicaNão se aplica",Mercado_Receita!$L$2:$L$601)</f>
        <v>3.5609999999999999</v>
      </c>
      <c r="N21" s="12">
        <f>SUMIF(Mercado_Receita!$S$2:$S$601,"44531B1ConvencionalResidencialResidencial baixa renda – faixa 04Não se aplicaNão se aplicaPonta",Mercado_Receita!$L$2:$L$601)+SUMIF(Mercado_Receita!$S$2:$S$601,"44531B1ConvencionalResidencialResidencial baixa renda – faixa 04Não se aplicaNão se aplicaFora ponta",Mercado_Receita!$L$2:$L$601)+SUMIF(Mercado_Receita!$S$2:$S$601,"44531B1ConvencionalResidencialResidencial baixa renda – faixa 04Não se aplicaNão se aplicaIntermediário",Mercado_Receita!$L$2:$L$601)+SUMIF(Mercado_Receita!$S$2:$S$601,"44531B1ConvencionalResidencialResidencial baixa renda – faixa 04Não se aplicaNão se aplicaNão se aplica",Mercado_Receita!$L$2:$L$601)</f>
        <v>4.069</v>
      </c>
      <c r="O21" s="12">
        <f>SUMIF(Mercado_Receita!$S$2:$S$601,"44562B1ConvencionalResidencialResidencial baixa renda – faixa 04Não se aplicaNão se aplicaPonta",Mercado_Receita!$L$2:$L$601)+SUMIF(Mercado_Receita!$S$2:$S$601,"44562B1ConvencionalResidencialResidencial baixa renda – faixa 04Não se aplicaNão se aplicaFora ponta",Mercado_Receita!$L$2:$L$601)+SUMIF(Mercado_Receita!$S$2:$S$601,"44562B1ConvencionalResidencialResidencial baixa renda – faixa 04Não se aplicaNão se aplicaIntermediário",Mercado_Receita!$L$2:$L$601)+SUMIF(Mercado_Receita!$S$2:$S$601,"44562B1ConvencionalResidencialResidencial baixa renda – faixa 04Não se aplicaNão se aplicaNão se aplica",Mercado_Receita!$L$2:$L$601)</f>
        <v>8.4060000000000006</v>
      </c>
      <c r="P21" s="12">
        <f>SUMIF(Mercado_Receita!$S$2:$S$601,"44593B1ConvencionalResidencialResidencial baixa renda – faixa 04Não se aplicaNão se aplicaPonta",Mercado_Receita!$L$2:$L$601)+SUMIF(Mercado_Receita!$S$2:$S$601,"44593B1ConvencionalResidencialResidencial baixa renda – faixa 04Não se aplicaNão se aplicaFora ponta",Mercado_Receita!$L$2:$L$601)+SUMIF(Mercado_Receita!$S$2:$S$601,"44593B1ConvencionalResidencialResidencial baixa renda – faixa 04Não se aplicaNão se aplicaIntermediário",Mercado_Receita!$L$2:$L$601)+SUMIF(Mercado_Receita!$S$2:$S$601,"44593B1ConvencionalResidencialResidencial baixa renda – faixa 04Não se aplicaNão se aplicaNão se aplica",Mercado_Receita!$L$2:$L$601)</f>
        <v>9.0579999999999998</v>
      </c>
      <c r="Q21" s="12">
        <f>SUMIF(Mercado_Receita!$S$2:$S$601,"44621B1ConvencionalResidencialResidencial baixa renda – faixa 04Não se aplicaNão se aplicaPonta",Mercado_Receita!$L$2:$L$601)+SUMIF(Mercado_Receita!$S$2:$S$601,"44621B1ConvencionalResidencialResidencial baixa renda – faixa 04Não se aplicaNão se aplicaFora ponta",Mercado_Receita!$L$2:$L$601)+SUMIF(Mercado_Receita!$S$2:$S$601,"44621B1ConvencionalResidencialResidencial baixa renda – faixa 04Não se aplicaNão se aplicaIntermediário",Mercado_Receita!$L$2:$L$601)+SUMIF(Mercado_Receita!$S$2:$S$601,"44621B1ConvencionalResidencialResidencial baixa renda – faixa 04Não se aplicaNão se aplicaNão se aplica",Mercado_Receita!$L$2:$L$601)</f>
        <v>5.7720000000000002</v>
      </c>
      <c r="R21" s="12">
        <f>SUMIF(Mercado_Receita!$S$2:$S$601,"44652B1ConvencionalResidencialResidencial baixa renda – faixa 04Não se aplicaNão se aplicaPonta",Mercado_Receita!$L$2:$L$601)+SUMIF(Mercado_Receita!$S$2:$S$601,"44652B1ConvencionalResidencialResidencial baixa renda – faixa 04Não se aplicaNão se aplicaFora ponta",Mercado_Receita!$L$2:$L$601)+SUMIF(Mercado_Receita!$S$2:$S$601,"44652B1ConvencionalResidencialResidencial baixa renda – faixa 04Não se aplicaNão se aplicaIntermediário",Mercado_Receita!$L$2:$L$601)+SUMIF(Mercado_Receita!$S$2:$S$601,"44652B1ConvencionalResidencialResidencial baixa renda – faixa 04Não se aplicaNão se aplicaNão se aplica",Mercado_Receita!$L$2:$L$601)</f>
        <v>7.0389999999999997</v>
      </c>
      <c r="S21" s="12">
        <f>SUMIF(Mercado_Receita!$S$2:$S$601,"44682B1ConvencionalResidencialResidencial baixa renda – faixa 04Não se aplicaNão se aplicaPonta",Mercado_Receita!$L$2:$L$601)+SUMIF(Mercado_Receita!$S$2:$S$601,"44682B1ConvencionalResidencialResidencial baixa renda – faixa 04Não se aplicaNão se aplicaFora ponta",Mercado_Receita!$L$2:$L$601)+SUMIF(Mercado_Receita!$S$2:$S$601,"44682B1ConvencionalResidencialResidencial baixa renda – faixa 04Não se aplicaNão se aplicaIntermediário",Mercado_Receita!$L$2:$L$601)+SUMIF(Mercado_Receita!$S$2:$S$601,"44682B1ConvencionalResidencialResidencial baixa renda – faixa 04Não se aplicaNão se aplicaNão se aplica",Mercado_Receita!$L$2:$L$601)</f>
        <v>5.6019999999999994</v>
      </c>
      <c r="T21" s="12">
        <f>SUMIF(Mercado_Receita!$S$2:$S$601,"44713B1ConvencionalResidencialResidencial baixa renda – faixa 04Não se aplicaNão se aplicaPonta",Mercado_Receita!$L$2:$L$601)+SUMIF(Mercado_Receita!$S$2:$S$601,"44713B1ConvencionalResidencialResidencial baixa renda – faixa 04Não se aplicaNão se aplicaFora ponta",Mercado_Receita!$L$2:$L$601)+SUMIF(Mercado_Receita!$S$2:$S$601,"44713B1ConvencionalResidencialResidencial baixa renda – faixa 04Não se aplicaNão se aplicaIntermediário",Mercado_Receita!$L$2:$L$601)+SUMIF(Mercado_Receita!$S$2:$S$601,"44713B1ConvencionalResidencialResidencial baixa renda – faixa 04Não se aplicaNão se aplicaNão se aplica",Mercado_Receita!$L$2:$L$601)</f>
        <v>5.8520000000000003</v>
      </c>
      <c r="U21" s="12">
        <f t="shared" si="0"/>
        <v>56.320999999999998</v>
      </c>
      <c r="V21" s="12"/>
      <c r="W21" s="12"/>
    </row>
    <row r="22" spans="1:23" ht="11.25" customHeight="1" x14ac:dyDescent="0.25">
      <c r="A22" s="88"/>
      <c r="B22" s="87" t="s">
        <v>87</v>
      </c>
      <c r="C22" s="87" t="s">
        <v>24</v>
      </c>
      <c r="D22" s="13" t="s">
        <v>24</v>
      </c>
      <c r="E22" s="13" t="s">
        <v>25</v>
      </c>
      <c r="F22" s="13" t="s">
        <v>25</v>
      </c>
      <c r="G22" s="12" t="s">
        <v>77</v>
      </c>
      <c r="H22" s="12" t="s">
        <v>71</v>
      </c>
      <c r="I22" s="12">
        <f>SUMIF(Mercado_Receita!$S$2:$S$601,"44378B1Convencional pré-pagamentoResidencialResidencialNão se aplicaNão se aplicaPonta",Mercado_Receita!$L$2:$L$601)+SUMIF(Mercado_Receita!$S$2:$S$601,"44378B1Convencional pré-pagamentoResidencialResidencialNão se aplicaNão se aplicaFora ponta",Mercado_Receita!$L$2:$L$601)+SUMIF(Mercado_Receita!$S$2:$S$601,"44378B1Convencional pré-pagamentoResidencialResidencialNão se aplicaNão se aplicaIntermediário",Mercado_Receita!$L$2:$L$601)+SUMIF(Mercado_Receita!$S$2:$S$601,"44378B1Convencional pré-pagamentoResidencialResidencialNão se aplicaNão se aplicaNão se aplica",Mercado_Receita!$L$2:$L$601)</f>
        <v>0</v>
      </c>
      <c r="J22" s="12">
        <f>SUMIF(Mercado_Receita!$S$2:$S$601,"44409B1Convencional pré-pagamentoResidencialResidencialNão se aplicaNão se aplicaPonta",Mercado_Receita!$L$2:$L$601)+SUMIF(Mercado_Receita!$S$2:$S$601,"44409B1Convencional pré-pagamentoResidencialResidencialNão se aplicaNão se aplicaFora ponta",Mercado_Receita!$L$2:$L$601)+SUMIF(Mercado_Receita!$S$2:$S$601,"44409B1Convencional pré-pagamentoResidencialResidencialNão se aplicaNão se aplicaIntermediário",Mercado_Receita!$L$2:$L$601)+SUMIF(Mercado_Receita!$S$2:$S$601,"44409B1Convencional pré-pagamentoResidencialResidencialNão se aplicaNão se aplicaNão se aplica",Mercado_Receita!$L$2:$L$601)</f>
        <v>0</v>
      </c>
      <c r="K22" s="12">
        <f>SUMIF(Mercado_Receita!$S$2:$S$601,"44440B1Convencional pré-pagamentoResidencialResidencialNão se aplicaNão se aplicaPonta",Mercado_Receita!$L$2:$L$601)+SUMIF(Mercado_Receita!$S$2:$S$601,"44440B1Convencional pré-pagamentoResidencialResidencialNão se aplicaNão se aplicaFora ponta",Mercado_Receita!$L$2:$L$601)+SUMIF(Mercado_Receita!$S$2:$S$601,"44440B1Convencional pré-pagamentoResidencialResidencialNão se aplicaNão se aplicaIntermediário",Mercado_Receita!$L$2:$L$601)+SUMIF(Mercado_Receita!$S$2:$S$601,"44440B1Convencional pré-pagamentoResidencialResidencialNão se aplicaNão se aplicaNão se aplica",Mercado_Receita!$L$2:$L$601)</f>
        <v>0</v>
      </c>
      <c r="L22" s="12">
        <f>SUMIF(Mercado_Receita!$S$2:$S$601,"44470B1Convencional pré-pagamentoResidencialResidencialNão se aplicaNão se aplicaPonta",Mercado_Receita!$L$2:$L$601)+SUMIF(Mercado_Receita!$S$2:$S$601,"44470B1Convencional pré-pagamentoResidencialResidencialNão se aplicaNão se aplicaFora ponta",Mercado_Receita!$L$2:$L$601)+SUMIF(Mercado_Receita!$S$2:$S$601,"44470B1Convencional pré-pagamentoResidencialResidencialNão se aplicaNão se aplicaIntermediário",Mercado_Receita!$L$2:$L$601)+SUMIF(Mercado_Receita!$S$2:$S$601,"44470B1Convencional pré-pagamentoResidencialResidencialNão se aplicaNão se aplicaNão se aplica",Mercado_Receita!$L$2:$L$601)</f>
        <v>0</v>
      </c>
      <c r="M22" s="12">
        <f>SUMIF(Mercado_Receita!$S$2:$S$601,"44501B1Convencional pré-pagamentoResidencialResidencialNão se aplicaNão se aplicaPonta",Mercado_Receita!$L$2:$L$601)+SUMIF(Mercado_Receita!$S$2:$S$601,"44501B1Convencional pré-pagamentoResidencialResidencialNão se aplicaNão se aplicaFora ponta",Mercado_Receita!$L$2:$L$601)+SUMIF(Mercado_Receita!$S$2:$S$601,"44501B1Convencional pré-pagamentoResidencialResidencialNão se aplicaNão se aplicaIntermediário",Mercado_Receita!$L$2:$L$601)+SUMIF(Mercado_Receita!$S$2:$S$601,"44501B1Convencional pré-pagamentoResidencialResidencialNão se aplicaNão se aplicaNão se aplica",Mercado_Receita!$L$2:$L$601)</f>
        <v>0</v>
      </c>
      <c r="N22" s="12">
        <f>SUMIF(Mercado_Receita!$S$2:$S$601,"44531B1Convencional pré-pagamentoResidencialResidencialNão se aplicaNão se aplicaPonta",Mercado_Receita!$L$2:$L$601)+SUMIF(Mercado_Receita!$S$2:$S$601,"44531B1Convencional pré-pagamentoResidencialResidencialNão se aplicaNão se aplicaFora ponta",Mercado_Receita!$L$2:$L$601)+SUMIF(Mercado_Receita!$S$2:$S$601,"44531B1Convencional pré-pagamentoResidencialResidencialNão se aplicaNão se aplicaIntermediário",Mercado_Receita!$L$2:$L$601)+SUMIF(Mercado_Receita!$S$2:$S$601,"44531B1Convencional pré-pagamentoResidencialResidencialNão se aplicaNão se aplicaNão se aplica",Mercado_Receita!$L$2:$L$601)</f>
        <v>0</v>
      </c>
      <c r="O22" s="12">
        <f>SUMIF(Mercado_Receita!$S$2:$S$601,"44562B1Convencional pré-pagamentoResidencialResidencialNão se aplicaNão se aplicaPonta",Mercado_Receita!$L$2:$L$601)+SUMIF(Mercado_Receita!$S$2:$S$601,"44562B1Convencional pré-pagamentoResidencialResidencialNão se aplicaNão se aplicaFora ponta",Mercado_Receita!$L$2:$L$601)+SUMIF(Mercado_Receita!$S$2:$S$601,"44562B1Convencional pré-pagamentoResidencialResidencialNão se aplicaNão se aplicaIntermediário",Mercado_Receita!$L$2:$L$601)+SUMIF(Mercado_Receita!$S$2:$S$601,"44562B1Convencional pré-pagamentoResidencialResidencialNão se aplicaNão se aplicaNão se aplica",Mercado_Receita!$L$2:$L$601)</f>
        <v>0</v>
      </c>
      <c r="P22" s="12">
        <f>SUMIF(Mercado_Receita!$S$2:$S$601,"44593B1Convencional pré-pagamentoResidencialResidencialNão se aplicaNão se aplicaPonta",Mercado_Receita!$L$2:$L$601)+SUMIF(Mercado_Receita!$S$2:$S$601,"44593B1Convencional pré-pagamentoResidencialResidencialNão se aplicaNão se aplicaFora ponta",Mercado_Receita!$L$2:$L$601)+SUMIF(Mercado_Receita!$S$2:$S$601,"44593B1Convencional pré-pagamentoResidencialResidencialNão se aplicaNão se aplicaIntermediário",Mercado_Receita!$L$2:$L$601)+SUMIF(Mercado_Receita!$S$2:$S$601,"44593B1Convencional pré-pagamentoResidencialResidencialNão se aplicaNão se aplicaNão se aplica",Mercado_Receita!$L$2:$L$601)</f>
        <v>0</v>
      </c>
      <c r="Q22" s="12">
        <f>SUMIF(Mercado_Receita!$S$2:$S$601,"44621B1Convencional pré-pagamentoResidencialResidencialNão se aplicaNão se aplicaPonta",Mercado_Receita!$L$2:$L$601)+SUMIF(Mercado_Receita!$S$2:$S$601,"44621B1Convencional pré-pagamentoResidencialResidencialNão se aplicaNão se aplicaFora ponta",Mercado_Receita!$L$2:$L$601)+SUMIF(Mercado_Receita!$S$2:$S$601,"44621B1Convencional pré-pagamentoResidencialResidencialNão se aplicaNão se aplicaIntermediário",Mercado_Receita!$L$2:$L$601)+SUMIF(Mercado_Receita!$S$2:$S$601,"44621B1Convencional pré-pagamentoResidencialResidencialNão se aplicaNão se aplicaNão se aplica",Mercado_Receita!$L$2:$L$601)</f>
        <v>0</v>
      </c>
      <c r="R22" s="12">
        <f>SUMIF(Mercado_Receita!$S$2:$S$601,"44652B1Convencional pré-pagamentoResidencialResidencialNão se aplicaNão se aplicaPonta",Mercado_Receita!$L$2:$L$601)+SUMIF(Mercado_Receita!$S$2:$S$601,"44652B1Convencional pré-pagamentoResidencialResidencialNão se aplicaNão se aplicaFora ponta",Mercado_Receita!$L$2:$L$601)+SUMIF(Mercado_Receita!$S$2:$S$601,"44652B1Convencional pré-pagamentoResidencialResidencialNão se aplicaNão se aplicaIntermediário",Mercado_Receita!$L$2:$L$601)+SUMIF(Mercado_Receita!$S$2:$S$601,"44652B1Convencional pré-pagamentoResidencialResidencialNão se aplicaNão se aplicaNão se aplica",Mercado_Receita!$L$2:$L$601)</f>
        <v>0</v>
      </c>
      <c r="S22" s="12">
        <f>SUMIF(Mercado_Receita!$S$2:$S$601,"44682B1Convencional pré-pagamentoResidencialResidencialNão se aplicaNão se aplicaPonta",Mercado_Receita!$L$2:$L$601)+SUMIF(Mercado_Receita!$S$2:$S$601,"44682B1Convencional pré-pagamentoResidencialResidencialNão se aplicaNão se aplicaFora ponta",Mercado_Receita!$L$2:$L$601)+SUMIF(Mercado_Receita!$S$2:$S$601,"44682B1Convencional pré-pagamentoResidencialResidencialNão se aplicaNão se aplicaIntermediário",Mercado_Receita!$L$2:$L$601)+SUMIF(Mercado_Receita!$S$2:$S$601,"44682B1Convencional pré-pagamentoResidencialResidencialNão se aplicaNão se aplicaNão se aplica",Mercado_Receita!$L$2:$L$601)</f>
        <v>0</v>
      </c>
      <c r="T22" s="12">
        <f>SUMIF(Mercado_Receita!$S$2:$S$601,"44713B1Convencional pré-pagamentoResidencialResidencialNão se aplicaNão se aplicaPonta",Mercado_Receita!$L$2:$L$601)+SUMIF(Mercado_Receita!$S$2:$S$601,"44713B1Convencional pré-pagamentoResidencialResidencialNão se aplicaNão se aplicaFora ponta",Mercado_Receita!$L$2:$L$601)+SUMIF(Mercado_Receita!$S$2:$S$601,"44713B1Convencional pré-pagamentoResidencialResidencialNão se aplicaNão se aplicaIntermediário",Mercado_Receita!$L$2:$L$601)+SUMIF(Mercado_Receita!$S$2:$S$601,"44713B1Convencional pré-pagamentoResidencialResidencialNão se aplicaNão se aplicaNão se aplica",Mercado_Receita!$L$2:$L$601)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88"/>
      <c r="B23" s="88"/>
      <c r="C23" s="88"/>
      <c r="D23" s="13" t="s">
        <v>29</v>
      </c>
      <c r="E23" s="13" t="s">
        <v>25</v>
      </c>
      <c r="F23" s="13" t="s">
        <v>25</v>
      </c>
      <c r="G23" s="12" t="s">
        <v>77</v>
      </c>
      <c r="H23" s="12" t="s">
        <v>71</v>
      </c>
      <c r="I23" s="12">
        <f>SUMIF(Mercado_Receita!$S$2:$S$601,"44378B1Convencional pré-pagamentoResidencialResidencial baixa renda – faixa 01Não se aplicaNão se aplicaPonta",Mercado_Receita!$L$2:$L$601)+SUMIF(Mercado_Receita!$S$2:$S$601,"44378B1Convencional pré-pagamentoResidencialResidencial baixa renda – faixa 01Não se aplicaNão se aplicaFora ponta",Mercado_Receita!$L$2:$L$601)+SUMIF(Mercado_Receita!$S$2:$S$601,"44378B1Convencional pré-pagamentoResidencialResidencial baixa renda – faixa 01Não se aplicaNão se aplicaIntermediário",Mercado_Receita!$L$2:$L$601)+SUMIF(Mercado_Receita!$S$2:$S$601,"44378B1Convencional pré-pagamentoResidencialResidencial baixa renda – faixa 01Não se aplicaNão se aplicaNão se aplica",Mercado_Receita!$L$2:$L$601)</f>
        <v>0</v>
      </c>
      <c r="J23" s="12">
        <f>SUMIF(Mercado_Receita!$S$2:$S$601,"44409B1Convencional pré-pagamentoResidencialResidencial baixa renda – faixa 01Não se aplicaNão se aplicaPonta",Mercado_Receita!$L$2:$L$601)+SUMIF(Mercado_Receita!$S$2:$S$601,"44409B1Convencional pré-pagamentoResidencialResidencial baixa renda – faixa 01Não se aplicaNão se aplicaFora ponta",Mercado_Receita!$L$2:$L$601)+SUMIF(Mercado_Receita!$S$2:$S$601,"44409B1Convencional pré-pagamentoResidencialResidencial baixa renda – faixa 01Não se aplicaNão se aplicaIntermediário",Mercado_Receita!$L$2:$L$601)+SUMIF(Mercado_Receita!$S$2:$S$601,"44409B1Convencional pré-pagamentoResidencialResidencial baixa renda – faixa 01Não se aplicaNão se aplicaNão se aplica",Mercado_Receita!$L$2:$L$601)</f>
        <v>0</v>
      </c>
      <c r="K23" s="12">
        <f>SUMIF(Mercado_Receita!$S$2:$S$601,"44440B1Convencional pré-pagamentoResidencialResidencial baixa renda – faixa 01Não se aplicaNão se aplicaPonta",Mercado_Receita!$L$2:$L$601)+SUMIF(Mercado_Receita!$S$2:$S$601,"44440B1Convencional pré-pagamentoResidencialResidencial baixa renda – faixa 01Não se aplicaNão se aplicaFora ponta",Mercado_Receita!$L$2:$L$601)+SUMIF(Mercado_Receita!$S$2:$S$601,"44440B1Convencional pré-pagamentoResidencialResidencial baixa renda – faixa 01Não se aplicaNão se aplicaIntermediário",Mercado_Receita!$L$2:$L$601)+SUMIF(Mercado_Receita!$S$2:$S$601,"44440B1Convencional pré-pagamentoResidencialResidencial baixa renda – faixa 01Não se aplicaNão se aplicaNão se aplica",Mercado_Receita!$L$2:$L$601)</f>
        <v>0</v>
      </c>
      <c r="L23" s="12">
        <f>SUMIF(Mercado_Receita!$S$2:$S$601,"44470B1Convencional pré-pagamentoResidencialResidencial baixa renda – faixa 01Não se aplicaNão se aplicaPonta",Mercado_Receita!$L$2:$L$601)+SUMIF(Mercado_Receita!$S$2:$S$601,"44470B1Convencional pré-pagamentoResidencialResidencial baixa renda – faixa 01Não se aplicaNão se aplicaFora ponta",Mercado_Receita!$L$2:$L$601)+SUMIF(Mercado_Receita!$S$2:$S$601,"44470B1Convencional pré-pagamentoResidencialResidencial baixa renda – faixa 01Não se aplicaNão se aplicaIntermediário",Mercado_Receita!$L$2:$L$601)+SUMIF(Mercado_Receita!$S$2:$S$601,"44470B1Convencional pré-pagamentoResidencialResidencial baixa renda – faixa 01Não se aplicaNão se aplicaNão se aplica",Mercado_Receita!$L$2:$L$601)</f>
        <v>0</v>
      </c>
      <c r="M23" s="12">
        <f>SUMIF(Mercado_Receita!$S$2:$S$601,"44501B1Convencional pré-pagamentoResidencialResidencial baixa renda – faixa 01Não se aplicaNão se aplicaPonta",Mercado_Receita!$L$2:$L$601)+SUMIF(Mercado_Receita!$S$2:$S$601,"44501B1Convencional pré-pagamentoResidencialResidencial baixa renda – faixa 01Não se aplicaNão se aplicaFora ponta",Mercado_Receita!$L$2:$L$601)+SUMIF(Mercado_Receita!$S$2:$S$601,"44501B1Convencional pré-pagamentoResidencialResidencial baixa renda – faixa 01Não se aplicaNão se aplicaIntermediário",Mercado_Receita!$L$2:$L$601)+SUMIF(Mercado_Receita!$S$2:$S$601,"44501B1Convencional pré-pagamentoResidencialResidencial baixa renda – faixa 01Não se aplicaNão se aplicaNão se aplica",Mercado_Receita!$L$2:$L$601)</f>
        <v>0</v>
      </c>
      <c r="N23" s="12">
        <f>SUMIF(Mercado_Receita!$S$2:$S$601,"44531B1Convencional pré-pagamentoResidencialResidencial baixa renda – faixa 01Não se aplicaNão se aplicaPonta",Mercado_Receita!$L$2:$L$601)+SUMIF(Mercado_Receita!$S$2:$S$601,"44531B1Convencional pré-pagamentoResidencialResidencial baixa renda – faixa 01Não se aplicaNão se aplicaFora ponta",Mercado_Receita!$L$2:$L$601)+SUMIF(Mercado_Receita!$S$2:$S$601,"44531B1Convencional pré-pagamentoResidencialResidencial baixa renda – faixa 01Não se aplicaNão se aplicaIntermediário",Mercado_Receita!$L$2:$L$601)+SUMIF(Mercado_Receita!$S$2:$S$601,"44531B1Convencional pré-pagamentoResidencialResidencial baixa renda – faixa 01Não se aplicaNão se aplicaNão se aplica",Mercado_Receita!$L$2:$L$601)</f>
        <v>0</v>
      </c>
      <c r="O23" s="12">
        <f>SUMIF(Mercado_Receita!$S$2:$S$601,"44562B1Convencional pré-pagamentoResidencialResidencial baixa renda – faixa 01Não se aplicaNão se aplicaPonta",Mercado_Receita!$L$2:$L$601)+SUMIF(Mercado_Receita!$S$2:$S$601,"44562B1Convencional pré-pagamentoResidencialResidencial baixa renda – faixa 01Não se aplicaNão se aplicaFora ponta",Mercado_Receita!$L$2:$L$601)+SUMIF(Mercado_Receita!$S$2:$S$601,"44562B1Convencional pré-pagamentoResidencialResidencial baixa renda – faixa 01Não se aplicaNão se aplicaIntermediário",Mercado_Receita!$L$2:$L$601)+SUMIF(Mercado_Receita!$S$2:$S$601,"44562B1Convencional pré-pagamentoResidencialResidencial baixa renda – faixa 01Não se aplicaNão se aplicaNão se aplica",Mercado_Receita!$L$2:$L$601)</f>
        <v>0</v>
      </c>
      <c r="P23" s="12">
        <f>SUMIF(Mercado_Receita!$S$2:$S$601,"44593B1Convencional pré-pagamentoResidencialResidencial baixa renda – faixa 01Não se aplicaNão se aplicaPonta",Mercado_Receita!$L$2:$L$601)+SUMIF(Mercado_Receita!$S$2:$S$601,"44593B1Convencional pré-pagamentoResidencialResidencial baixa renda – faixa 01Não se aplicaNão se aplicaFora ponta",Mercado_Receita!$L$2:$L$601)+SUMIF(Mercado_Receita!$S$2:$S$601,"44593B1Convencional pré-pagamentoResidencialResidencial baixa renda – faixa 01Não se aplicaNão se aplicaIntermediário",Mercado_Receita!$L$2:$L$601)+SUMIF(Mercado_Receita!$S$2:$S$601,"44593B1Convencional pré-pagamentoResidencialResidencial baixa renda – faixa 01Não se aplicaNão se aplicaNão se aplica",Mercado_Receita!$L$2:$L$601)</f>
        <v>0</v>
      </c>
      <c r="Q23" s="12">
        <f>SUMIF(Mercado_Receita!$S$2:$S$601,"44621B1Convencional pré-pagamentoResidencialResidencial baixa renda – faixa 01Não se aplicaNão se aplicaPonta",Mercado_Receita!$L$2:$L$601)+SUMIF(Mercado_Receita!$S$2:$S$601,"44621B1Convencional pré-pagamentoResidencialResidencial baixa renda – faixa 01Não se aplicaNão se aplicaFora ponta",Mercado_Receita!$L$2:$L$601)+SUMIF(Mercado_Receita!$S$2:$S$601,"44621B1Convencional pré-pagamentoResidencialResidencial baixa renda – faixa 01Não se aplicaNão se aplicaIntermediário",Mercado_Receita!$L$2:$L$601)+SUMIF(Mercado_Receita!$S$2:$S$601,"44621B1Convencional pré-pagamentoResidencialResidencial baixa renda – faixa 01Não se aplicaNão se aplicaNão se aplica",Mercado_Receita!$L$2:$L$601)</f>
        <v>0</v>
      </c>
      <c r="R23" s="12">
        <f>SUMIF(Mercado_Receita!$S$2:$S$601,"44652B1Convencional pré-pagamentoResidencialResidencial baixa renda – faixa 01Não se aplicaNão se aplicaPonta",Mercado_Receita!$L$2:$L$601)+SUMIF(Mercado_Receita!$S$2:$S$601,"44652B1Convencional pré-pagamentoResidencialResidencial baixa renda – faixa 01Não se aplicaNão se aplicaFora ponta",Mercado_Receita!$L$2:$L$601)+SUMIF(Mercado_Receita!$S$2:$S$601,"44652B1Convencional pré-pagamentoResidencialResidencial baixa renda – faixa 01Não se aplicaNão se aplicaIntermediário",Mercado_Receita!$L$2:$L$601)+SUMIF(Mercado_Receita!$S$2:$S$601,"44652B1Convencional pré-pagamentoResidencialResidencial baixa renda – faixa 01Não se aplicaNão se aplicaNão se aplica",Mercado_Receita!$L$2:$L$601)</f>
        <v>0</v>
      </c>
      <c r="S23" s="12">
        <f>SUMIF(Mercado_Receita!$S$2:$S$601,"44682B1Convencional pré-pagamentoResidencialResidencial baixa renda – faixa 01Não se aplicaNão se aplicaPonta",Mercado_Receita!$L$2:$L$601)+SUMIF(Mercado_Receita!$S$2:$S$601,"44682B1Convencional pré-pagamentoResidencialResidencial baixa renda – faixa 01Não se aplicaNão se aplicaFora ponta",Mercado_Receita!$L$2:$L$601)+SUMIF(Mercado_Receita!$S$2:$S$601,"44682B1Convencional pré-pagamentoResidencialResidencial baixa renda – faixa 01Não se aplicaNão se aplicaIntermediário",Mercado_Receita!$L$2:$L$601)+SUMIF(Mercado_Receita!$S$2:$S$601,"44682B1Convencional pré-pagamentoResidencialResidencial baixa renda – faixa 01Não se aplicaNão se aplicaNão se aplica",Mercado_Receita!$L$2:$L$601)</f>
        <v>0</v>
      </c>
      <c r="T23" s="12">
        <f>SUMIF(Mercado_Receita!$S$2:$S$601,"44713B1Convencional pré-pagamentoResidencialResidencial baixa renda – faixa 01Não se aplicaNão se aplicaPonta",Mercado_Receita!$L$2:$L$601)+SUMIF(Mercado_Receita!$S$2:$S$601,"44713B1Convencional pré-pagamentoResidencialResidencial baixa renda – faixa 01Não se aplicaNão se aplicaFora ponta",Mercado_Receita!$L$2:$L$601)+SUMIF(Mercado_Receita!$S$2:$S$601,"44713B1Convencional pré-pagamentoResidencialResidencial baixa renda – faixa 01Não se aplicaNão se aplicaIntermediário",Mercado_Receita!$L$2:$L$601)+SUMIF(Mercado_Receita!$S$2:$S$601,"44713B1Convencional pré-pagamentoResidencialResidencial baixa renda – faixa 01Não se aplicaNão se aplicaNão se aplica",Mercado_Receita!$L$2:$L$601)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88"/>
      <c r="B24" s="88"/>
      <c r="C24" s="88"/>
      <c r="D24" s="13" t="s">
        <v>30</v>
      </c>
      <c r="E24" s="13" t="s">
        <v>25</v>
      </c>
      <c r="F24" s="13" t="s">
        <v>25</v>
      </c>
      <c r="G24" s="12" t="s">
        <v>77</v>
      </c>
      <c r="H24" s="12" t="s">
        <v>71</v>
      </c>
      <c r="I24" s="12">
        <f>SUMIF(Mercado_Receita!$S$2:$S$601,"44378B1Convencional pré-pagamentoResidencialResidencial baixa renda – faixa 02Não se aplicaNão se aplicaPonta",Mercado_Receita!$L$2:$L$601)+SUMIF(Mercado_Receita!$S$2:$S$601,"44378B1Convencional pré-pagamentoResidencialResidencial baixa renda – faixa 02Não se aplicaNão se aplicaFora ponta",Mercado_Receita!$L$2:$L$601)+SUMIF(Mercado_Receita!$S$2:$S$601,"44378B1Convencional pré-pagamentoResidencialResidencial baixa renda – faixa 02Não se aplicaNão se aplicaIntermediário",Mercado_Receita!$L$2:$L$601)+SUMIF(Mercado_Receita!$S$2:$S$601,"44378B1Convencional pré-pagamentoResidencialResidencial baixa renda – faixa 02Não se aplicaNão se aplicaNão se aplica",Mercado_Receita!$L$2:$L$601)</f>
        <v>0</v>
      </c>
      <c r="J24" s="12">
        <f>SUMIF(Mercado_Receita!$S$2:$S$601,"44409B1Convencional pré-pagamentoResidencialResidencial baixa renda – faixa 02Não se aplicaNão se aplicaPonta",Mercado_Receita!$L$2:$L$601)+SUMIF(Mercado_Receita!$S$2:$S$601,"44409B1Convencional pré-pagamentoResidencialResidencial baixa renda – faixa 02Não se aplicaNão se aplicaFora ponta",Mercado_Receita!$L$2:$L$601)+SUMIF(Mercado_Receita!$S$2:$S$601,"44409B1Convencional pré-pagamentoResidencialResidencial baixa renda – faixa 02Não se aplicaNão se aplicaIntermediário",Mercado_Receita!$L$2:$L$601)+SUMIF(Mercado_Receita!$S$2:$S$601,"44409B1Convencional pré-pagamentoResidencialResidencial baixa renda – faixa 02Não se aplicaNão se aplicaNão se aplica",Mercado_Receita!$L$2:$L$601)</f>
        <v>0</v>
      </c>
      <c r="K24" s="12">
        <f>SUMIF(Mercado_Receita!$S$2:$S$601,"44440B1Convencional pré-pagamentoResidencialResidencial baixa renda – faixa 02Não se aplicaNão se aplicaPonta",Mercado_Receita!$L$2:$L$601)+SUMIF(Mercado_Receita!$S$2:$S$601,"44440B1Convencional pré-pagamentoResidencialResidencial baixa renda – faixa 02Não se aplicaNão se aplicaFora ponta",Mercado_Receita!$L$2:$L$601)+SUMIF(Mercado_Receita!$S$2:$S$601,"44440B1Convencional pré-pagamentoResidencialResidencial baixa renda – faixa 02Não se aplicaNão se aplicaIntermediário",Mercado_Receita!$L$2:$L$601)+SUMIF(Mercado_Receita!$S$2:$S$601,"44440B1Convencional pré-pagamentoResidencialResidencial baixa renda – faixa 02Não se aplicaNão se aplicaNão se aplica",Mercado_Receita!$L$2:$L$601)</f>
        <v>0</v>
      </c>
      <c r="L24" s="12">
        <f>SUMIF(Mercado_Receita!$S$2:$S$601,"44470B1Convencional pré-pagamentoResidencialResidencial baixa renda – faixa 02Não se aplicaNão se aplicaPonta",Mercado_Receita!$L$2:$L$601)+SUMIF(Mercado_Receita!$S$2:$S$601,"44470B1Convencional pré-pagamentoResidencialResidencial baixa renda – faixa 02Não se aplicaNão se aplicaFora ponta",Mercado_Receita!$L$2:$L$601)+SUMIF(Mercado_Receita!$S$2:$S$601,"44470B1Convencional pré-pagamentoResidencialResidencial baixa renda – faixa 02Não se aplicaNão se aplicaIntermediário",Mercado_Receita!$L$2:$L$601)+SUMIF(Mercado_Receita!$S$2:$S$601,"44470B1Convencional pré-pagamentoResidencialResidencial baixa renda – faixa 02Não se aplicaNão se aplicaNão se aplica",Mercado_Receita!$L$2:$L$601)</f>
        <v>0</v>
      </c>
      <c r="M24" s="12">
        <f>SUMIF(Mercado_Receita!$S$2:$S$601,"44501B1Convencional pré-pagamentoResidencialResidencial baixa renda – faixa 02Não se aplicaNão se aplicaPonta",Mercado_Receita!$L$2:$L$601)+SUMIF(Mercado_Receita!$S$2:$S$601,"44501B1Convencional pré-pagamentoResidencialResidencial baixa renda – faixa 02Não se aplicaNão se aplicaFora ponta",Mercado_Receita!$L$2:$L$601)+SUMIF(Mercado_Receita!$S$2:$S$601,"44501B1Convencional pré-pagamentoResidencialResidencial baixa renda – faixa 02Não se aplicaNão se aplicaIntermediário",Mercado_Receita!$L$2:$L$601)+SUMIF(Mercado_Receita!$S$2:$S$601,"44501B1Convencional pré-pagamentoResidencialResidencial baixa renda – faixa 02Não se aplicaNão se aplicaNão se aplica",Mercado_Receita!$L$2:$L$601)</f>
        <v>0</v>
      </c>
      <c r="N24" s="12">
        <f>SUMIF(Mercado_Receita!$S$2:$S$601,"44531B1Convencional pré-pagamentoResidencialResidencial baixa renda – faixa 02Não se aplicaNão se aplicaPonta",Mercado_Receita!$L$2:$L$601)+SUMIF(Mercado_Receita!$S$2:$S$601,"44531B1Convencional pré-pagamentoResidencialResidencial baixa renda – faixa 02Não se aplicaNão se aplicaFora ponta",Mercado_Receita!$L$2:$L$601)+SUMIF(Mercado_Receita!$S$2:$S$601,"44531B1Convencional pré-pagamentoResidencialResidencial baixa renda – faixa 02Não se aplicaNão se aplicaIntermediário",Mercado_Receita!$L$2:$L$601)+SUMIF(Mercado_Receita!$S$2:$S$601,"44531B1Convencional pré-pagamentoResidencialResidencial baixa renda – faixa 02Não se aplicaNão se aplicaNão se aplica",Mercado_Receita!$L$2:$L$601)</f>
        <v>0</v>
      </c>
      <c r="O24" s="12">
        <f>SUMIF(Mercado_Receita!$S$2:$S$601,"44562B1Convencional pré-pagamentoResidencialResidencial baixa renda – faixa 02Não se aplicaNão se aplicaPonta",Mercado_Receita!$L$2:$L$601)+SUMIF(Mercado_Receita!$S$2:$S$601,"44562B1Convencional pré-pagamentoResidencialResidencial baixa renda – faixa 02Não se aplicaNão se aplicaFora ponta",Mercado_Receita!$L$2:$L$601)+SUMIF(Mercado_Receita!$S$2:$S$601,"44562B1Convencional pré-pagamentoResidencialResidencial baixa renda – faixa 02Não se aplicaNão se aplicaIntermediário",Mercado_Receita!$L$2:$L$601)+SUMIF(Mercado_Receita!$S$2:$S$601,"44562B1Convencional pré-pagamentoResidencialResidencial baixa renda – faixa 02Não se aplicaNão se aplicaNão se aplica",Mercado_Receita!$L$2:$L$601)</f>
        <v>0</v>
      </c>
      <c r="P24" s="12">
        <f>SUMIF(Mercado_Receita!$S$2:$S$601,"44593B1Convencional pré-pagamentoResidencialResidencial baixa renda – faixa 02Não se aplicaNão se aplicaPonta",Mercado_Receita!$L$2:$L$601)+SUMIF(Mercado_Receita!$S$2:$S$601,"44593B1Convencional pré-pagamentoResidencialResidencial baixa renda – faixa 02Não se aplicaNão se aplicaFora ponta",Mercado_Receita!$L$2:$L$601)+SUMIF(Mercado_Receita!$S$2:$S$601,"44593B1Convencional pré-pagamentoResidencialResidencial baixa renda – faixa 02Não se aplicaNão se aplicaIntermediário",Mercado_Receita!$L$2:$L$601)+SUMIF(Mercado_Receita!$S$2:$S$601,"44593B1Convencional pré-pagamentoResidencialResidencial baixa renda – faixa 02Não se aplicaNão se aplicaNão se aplica",Mercado_Receita!$L$2:$L$601)</f>
        <v>0</v>
      </c>
      <c r="Q24" s="12">
        <f>SUMIF(Mercado_Receita!$S$2:$S$601,"44621B1Convencional pré-pagamentoResidencialResidencial baixa renda – faixa 02Não se aplicaNão se aplicaPonta",Mercado_Receita!$L$2:$L$601)+SUMIF(Mercado_Receita!$S$2:$S$601,"44621B1Convencional pré-pagamentoResidencialResidencial baixa renda – faixa 02Não se aplicaNão se aplicaFora ponta",Mercado_Receita!$L$2:$L$601)+SUMIF(Mercado_Receita!$S$2:$S$601,"44621B1Convencional pré-pagamentoResidencialResidencial baixa renda – faixa 02Não se aplicaNão se aplicaIntermediário",Mercado_Receita!$L$2:$L$601)+SUMIF(Mercado_Receita!$S$2:$S$601,"44621B1Convencional pré-pagamentoResidencialResidencial baixa renda – faixa 02Não se aplicaNão se aplicaNão se aplica",Mercado_Receita!$L$2:$L$601)</f>
        <v>0</v>
      </c>
      <c r="R24" s="12">
        <f>SUMIF(Mercado_Receita!$S$2:$S$601,"44652B1Convencional pré-pagamentoResidencialResidencial baixa renda – faixa 02Não se aplicaNão se aplicaPonta",Mercado_Receita!$L$2:$L$601)+SUMIF(Mercado_Receita!$S$2:$S$601,"44652B1Convencional pré-pagamentoResidencialResidencial baixa renda – faixa 02Não se aplicaNão se aplicaFora ponta",Mercado_Receita!$L$2:$L$601)+SUMIF(Mercado_Receita!$S$2:$S$601,"44652B1Convencional pré-pagamentoResidencialResidencial baixa renda – faixa 02Não se aplicaNão se aplicaIntermediário",Mercado_Receita!$L$2:$L$601)+SUMIF(Mercado_Receita!$S$2:$S$601,"44652B1Convencional pré-pagamentoResidencialResidencial baixa renda – faixa 02Não se aplicaNão se aplicaNão se aplica",Mercado_Receita!$L$2:$L$601)</f>
        <v>0</v>
      </c>
      <c r="S24" s="12">
        <f>SUMIF(Mercado_Receita!$S$2:$S$601,"44682B1Convencional pré-pagamentoResidencialResidencial baixa renda – faixa 02Não se aplicaNão se aplicaPonta",Mercado_Receita!$L$2:$L$601)+SUMIF(Mercado_Receita!$S$2:$S$601,"44682B1Convencional pré-pagamentoResidencialResidencial baixa renda – faixa 02Não se aplicaNão se aplicaFora ponta",Mercado_Receita!$L$2:$L$601)+SUMIF(Mercado_Receita!$S$2:$S$601,"44682B1Convencional pré-pagamentoResidencialResidencial baixa renda – faixa 02Não se aplicaNão se aplicaIntermediário",Mercado_Receita!$L$2:$L$601)+SUMIF(Mercado_Receita!$S$2:$S$601,"44682B1Convencional pré-pagamentoResidencialResidencial baixa renda – faixa 02Não se aplicaNão se aplicaNão se aplica",Mercado_Receita!$L$2:$L$601)</f>
        <v>0</v>
      </c>
      <c r="T24" s="12">
        <f>SUMIF(Mercado_Receita!$S$2:$S$601,"44713B1Convencional pré-pagamentoResidencialResidencial baixa renda – faixa 02Não se aplicaNão se aplicaPonta",Mercado_Receita!$L$2:$L$601)+SUMIF(Mercado_Receita!$S$2:$S$601,"44713B1Convencional pré-pagamentoResidencialResidencial baixa renda – faixa 02Não se aplicaNão se aplicaFora ponta",Mercado_Receita!$L$2:$L$601)+SUMIF(Mercado_Receita!$S$2:$S$601,"44713B1Convencional pré-pagamentoResidencialResidencial baixa renda – faixa 02Não se aplicaNão se aplicaIntermediário",Mercado_Receita!$L$2:$L$601)+SUMIF(Mercado_Receita!$S$2:$S$601,"44713B1Convencional pré-pagamentoResidencialResidencial baixa renda – faixa 02Não se aplicaNão se aplicaNão se aplica",Mercado_Receita!$L$2:$L$601)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88"/>
      <c r="B25" s="88"/>
      <c r="C25" s="88"/>
      <c r="D25" s="13" t="s">
        <v>31</v>
      </c>
      <c r="E25" s="13" t="s">
        <v>25</v>
      </c>
      <c r="F25" s="13" t="s">
        <v>25</v>
      </c>
      <c r="G25" s="12" t="s">
        <v>77</v>
      </c>
      <c r="H25" s="12" t="s">
        <v>71</v>
      </c>
      <c r="I25" s="12">
        <f>SUMIF(Mercado_Receita!$S$2:$S$601,"44378B1Convencional pré-pagamentoResidencialResidencial baixa renda – faixa 03Não se aplicaNão se aplicaPonta",Mercado_Receita!$L$2:$L$601)+SUMIF(Mercado_Receita!$S$2:$S$601,"44378B1Convencional pré-pagamentoResidencialResidencial baixa renda – faixa 03Não se aplicaNão se aplicaFora ponta",Mercado_Receita!$L$2:$L$601)+SUMIF(Mercado_Receita!$S$2:$S$601,"44378B1Convencional pré-pagamentoResidencialResidencial baixa renda – faixa 03Não se aplicaNão se aplicaIntermediário",Mercado_Receita!$L$2:$L$601)+SUMIF(Mercado_Receita!$S$2:$S$601,"44378B1Convencional pré-pagamentoResidencialResidencial baixa renda – faixa 03Não se aplicaNão se aplicaNão se aplica",Mercado_Receita!$L$2:$L$601)</f>
        <v>0</v>
      </c>
      <c r="J25" s="12">
        <f>SUMIF(Mercado_Receita!$S$2:$S$601,"44409B1Convencional pré-pagamentoResidencialResidencial baixa renda – faixa 03Não se aplicaNão se aplicaPonta",Mercado_Receita!$L$2:$L$601)+SUMIF(Mercado_Receita!$S$2:$S$601,"44409B1Convencional pré-pagamentoResidencialResidencial baixa renda – faixa 03Não se aplicaNão se aplicaFora ponta",Mercado_Receita!$L$2:$L$601)+SUMIF(Mercado_Receita!$S$2:$S$601,"44409B1Convencional pré-pagamentoResidencialResidencial baixa renda – faixa 03Não se aplicaNão se aplicaIntermediário",Mercado_Receita!$L$2:$L$601)+SUMIF(Mercado_Receita!$S$2:$S$601,"44409B1Convencional pré-pagamentoResidencialResidencial baixa renda – faixa 03Não se aplicaNão se aplicaNão se aplica",Mercado_Receita!$L$2:$L$601)</f>
        <v>0</v>
      </c>
      <c r="K25" s="12">
        <f>SUMIF(Mercado_Receita!$S$2:$S$601,"44440B1Convencional pré-pagamentoResidencialResidencial baixa renda – faixa 03Não se aplicaNão se aplicaPonta",Mercado_Receita!$L$2:$L$601)+SUMIF(Mercado_Receita!$S$2:$S$601,"44440B1Convencional pré-pagamentoResidencialResidencial baixa renda – faixa 03Não se aplicaNão se aplicaFora ponta",Mercado_Receita!$L$2:$L$601)+SUMIF(Mercado_Receita!$S$2:$S$601,"44440B1Convencional pré-pagamentoResidencialResidencial baixa renda – faixa 03Não se aplicaNão se aplicaIntermediário",Mercado_Receita!$L$2:$L$601)+SUMIF(Mercado_Receita!$S$2:$S$601,"44440B1Convencional pré-pagamentoResidencialResidencial baixa renda – faixa 03Não se aplicaNão se aplicaNão se aplica",Mercado_Receita!$L$2:$L$601)</f>
        <v>0</v>
      </c>
      <c r="L25" s="12">
        <f>SUMIF(Mercado_Receita!$S$2:$S$601,"44470B1Convencional pré-pagamentoResidencialResidencial baixa renda – faixa 03Não se aplicaNão se aplicaPonta",Mercado_Receita!$L$2:$L$601)+SUMIF(Mercado_Receita!$S$2:$S$601,"44470B1Convencional pré-pagamentoResidencialResidencial baixa renda – faixa 03Não se aplicaNão se aplicaFora ponta",Mercado_Receita!$L$2:$L$601)+SUMIF(Mercado_Receita!$S$2:$S$601,"44470B1Convencional pré-pagamentoResidencialResidencial baixa renda – faixa 03Não se aplicaNão se aplicaIntermediário",Mercado_Receita!$L$2:$L$601)+SUMIF(Mercado_Receita!$S$2:$S$601,"44470B1Convencional pré-pagamentoResidencialResidencial baixa renda – faixa 03Não se aplicaNão se aplicaNão se aplica",Mercado_Receita!$L$2:$L$601)</f>
        <v>0</v>
      </c>
      <c r="M25" s="12">
        <f>SUMIF(Mercado_Receita!$S$2:$S$601,"44501B1Convencional pré-pagamentoResidencialResidencial baixa renda – faixa 03Não se aplicaNão se aplicaPonta",Mercado_Receita!$L$2:$L$601)+SUMIF(Mercado_Receita!$S$2:$S$601,"44501B1Convencional pré-pagamentoResidencialResidencial baixa renda – faixa 03Não se aplicaNão se aplicaFora ponta",Mercado_Receita!$L$2:$L$601)+SUMIF(Mercado_Receita!$S$2:$S$601,"44501B1Convencional pré-pagamentoResidencialResidencial baixa renda – faixa 03Não se aplicaNão se aplicaIntermediário",Mercado_Receita!$L$2:$L$601)+SUMIF(Mercado_Receita!$S$2:$S$601,"44501B1Convencional pré-pagamentoResidencialResidencial baixa renda – faixa 03Não se aplicaNão se aplicaNão se aplica",Mercado_Receita!$L$2:$L$601)</f>
        <v>0</v>
      </c>
      <c r="N25" s="12">
        <f>SUMIF(Mercado_Receita!$S$2:$S$601,"44531B1Convencional pré-pagamentoResidencialResidencial baixa renda – faixa 03Não se aplicaNão se aplicaPonta",Mercado_Receita!$L$2:$L$601)+SUMIF(Mercado_Receita!$S$2:$S$601,"44531B1Convencional pré-pagamentoResidencialResidencial baixa renda – faixa 03Não se aplicaNão se aplicaFora ponta",Mercado_Receita!$L$2:$L$601)+SUMIF(Mercado_Receita!$S$2:$S$601,"44531B1Convencional pré-pagamentoResidencialResidencial baixa renda – faixa 03Não se aplicaNão se aplicaIntermediário",Mercado_Receita!$L$2:$L$601)+SUMIF(Mercado_Receita!$S$2:$S$601,"44531B1Convencional pré-pagamentoResidencialResidencial baixa renda – faixa 03Não se aplicaNão se aplicaNão se aplica",Mercado_Receita!$L$2:$L$601)</f>
        <v>0</v>
      </c>
      <c r="O25" s="12">
        <f>SUMIF(Mercado_Receita!$S$2:$S$601,"44562B1Convencional pré-pagamentoResidencialResidencial baixa renda – faixa 03Não se aplicaNão se aplicaPonta",Mercado_Receita!$L$2:$L$601)+SUMIF(Mercado_Receita!$S$2:$S$601,"44562B1Convencional pré-pagamentoResidencialResidencial baixa renda – faixa 03Não se aplicaNão se aplicaFora ponta",Mercado_Receita!$L$2:$L$601)+SUMIF(Mercado_Receita!$S$2:$S$601,"44562B1Convencional pré-pagamentoResidencialResidencial baixa renda – faixa 03Não se aplicaNão se aplicaIntermediário",Mercado_Receita!$L$2:$L$601)+SUMIF(Mercado_Receita!$S$2:$S$601,"44562B1Convencional pré-pagamentoResidencialResidencial baixa renda – faixa 03Não se aplicaNão se aplicaNão se aplica",Mercado_Receita!$L$2:$L$601)</f>
        <v>0</v>
      </c>
      <c r="P25" s="12">
        <f>SUMIF(Mercado_Receita!$S$2:$S$601,"44593B1Convencional pré-pagamentoResidencialResidencial baixa renda – faixa 03Não se aplicaNão se aplicaPonta",Mercado_Receita!$L$2:$L$601)+SUMIF(Mercado_Receita!$S$2:$S$601,"44593B1Convencional pré-pagamentoResidencialResidencial baixa renda – faixa 03Não se aplicaNão se aplicaFora ponta",Mercado_Receita!$L$2:$L$601)+SUMIF(Mercado_Receita!$S$2:$S$601,"44593B1Convencional pré-pagamentoResidencialResidencial baixa renda – faixa 03Não se aplicaNão se aplicaIntermediário",Mercado_Receita!$L$2:$L$601)+SUMIF(Mercado_Receita!$S$2:$S$601,"44593B1Convencional pré-pagamentoResidencialResidencial baixa renda – faixa 03Não se aplicaNão se aplicaNão se aplica",Mercado_Receita!$L$2:$L$601)</f>
        <v>0</v>
      </c>
      <c r="Q25" s="12">
        <f>SUMIF(Mercado_Receita!$S$2:$S$601,"44621B1Convencional pré-pagamentoResidencialResidencial baixa renda – faixa 03Não se aplicaNão se aplicaPonta",Mercado_Receita!$L$2:$L$601)+SUMIF(Mercado_Receita!$S$2:$S$601,"44621B1Convencional pré-pagamentoResidencialResidencial baixa renda – faixa 03Não se aplicaNão se aplicaFora ponta",Mercado_Receita!$L$2:$L$601)+SUMIF(Mercado_Receita!$S$2:$S$601,"44621B1Convencional pré-pagamentoResidencialResidencial baixa renda – faixa 03Não se aplicaNão se aplicaIntermediário",Mercado_Receita!$L$2:$L$601)+SUMIF(Mercado_Receita!$S$2:$S$601,"44621B1Convencional pré-pagamentoResidencialResidencial baixa renda – faixa 03Não se aplicaNão se aplicaNão se aplica",Mercado_Receita!$L$2:$L$601)</f>
        <v>0</v>
      </c>
      <c r="R25" s="12">
        <f>SUMIF(Mercado_Receita!$S$2:$S$601,"44652B1Convencional pré-pagamentoResidencialResidencial baixa renda – faixa 03Não se aplicaNão se aplicaPonta",Mercado_Receita!$L$2:$L$601)+SUMIF(Mercado_Receita!$S$2:$S$601,"44652B1Convencional pré-pagamentoResidencialResidencial baixa renda – faixa 03Não se aplicaNão se aplicaFora ponta",Mercado_Receita!$L$2:$L$601)+SUMIF(Mercado_Receita!$S$2:$S$601,"44652B1Convencional pré-pagamentoResidencialResidencial baixa renda – faixa 03Não se aplicaNão se aplicaIntermediário",Mercado_Receita!$L$2:$L$601)+SUMIF(Mercado_Receita!$S$2:$S$601,"44652B1Convencional pré-pagamentoResidencialResidencial baixa renda – faixa 03Não se aplicaNão se aplicaNão se aplica",Mercado_Receita!$L$2:$L$601)</f>
        <v>0</v>
      </c>
      <c r="S25" s="12">
        <f>SUMIF(Mercado_Receita!$S$2:$S$601,"44682B1Convencional pré-pagamentoResidencialResidencial baixa renda – faixa 03Não se aplicaNão se aplicaPonta",Mercado_Receita!$L$2:$L$601)+SUMIF(Mercado_Receita!$S$2:$S$601,"44682B1Convencional pré-pagamentoResidencialResidencial baixa renda – faixa 03Não se aplicaNão se aplicaFora ponta",Mercado_Receita!$L$2:$L$601)+SUMIF(Mercado_Receita!$S$2:$S$601,"44682B1Convencional pré-pagamentoResidencialResidencial baixa renda – faixa 03Não se aplicaNão se aplicaIntermediário",Mercado_Receita!$L$2:$L$601)+SUMIF(Mercado_Receita!$S$2:$S$601,"44682B1Convencional pré-pagamentoResidencialResidencial baixa renda – faixa 03Não se aplicaNão se aplicaNão se aplica",Mercado_Receita!$L$2:$L$601)</f>
        <v>0</v>
      </c>
      <c r="T25" s="12">
        <f>SUMIF(Mercado_Receita!$S$2:$S$601,"44713B1Convencional pré-pagamentoResidencialResidencial baixa renda – faixa 03Não se aplicaNão se aplicaPonta",Mercado_Receita!$L$2:$L$601)+SUMIF(Mercado_Receita!$S$2:$S$601,"44713B1Convencional pré-pagamentoResidencialResidencial baixa renda – faixa 03Não se aplicaNão se aplicaFora ponta",Mercado_Receita!$L$2:$L$601)+SUMIF(Mercado_Receita!$S$2:$S$601,"44713B1Convencional pré-pagamentoResidencialResidencial baixa renda – faixa 03Não se aplicaNão se aplicaIntermediário",Mercado_Receita!$L$2:$L$601)+SUMIF(Mercado_Receita!$S$2:$S$601,"44713B1Convencional pré-pagamentoResidencialResidencial baixa renda – faixa 03Não se aplicaNão se aplicaNão se aplica",Mercado_Receita!$L$2:$L$601)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88"/>
      <c r="B26" s="88"/>
      <c r="C26" s="88"/>
      <c r="D26" s="13" t="s">
        <v>32</v>
      </c>
      <c r="E26" s="13" t="s">
        <v>25</v>
      </c>
      <c r="F26" s="13" t="s">
        <v>25</v>
      </c>
      <c r="G26" s="12" t="s">
        <v>77</v>
      </c>
      <c r="H26" s="12" t="s">
        <v>71</v>
      </c>
      <c r="I26" s="12">
        <f>SUMIF(Mercado_Receita!$S$2:$S$601,"44378B1Convencional pré-pagamentoResidencialResidencial baixa renda – faixa 04Não se aplicaNão se aplicaPonta",Mercado_Receita!$L$2:$L$601)+SUMIF(Mercado_Receita!$S$2:$S$601,"44378B1Convencional pré-pagamentoResidencialResidencial baixa renda – faixa 04Não se aplicaNão se aplicaFora ponta",Mercado_Receita!$L$2:$L$601)+SUMIF(Mercado_Receita!$S$2:$S$601,"44378B1Convencional pré-pagamentoResidencialResidencial baixa renda – faixa 04Não se aplicaNão se aplicaIntermediário",Mercado_Receita!$L$2:$L$601)+SUMIF(Mercado_Receita!$S$2:$S$601,"44378B1Convencional pré-pagamentoResidencialResidencial baixa renda – faixa 04Não se aplicaNão se aplicaNão se aplica",Mercado_Receita!$L$2:$L$601)</f>
        <v>0</v>
      </c>
      <c r="J26" s="12">
        <f>SUMIF(Mercado_Receita!$S$2:$S$601,"44409B1Convencional pré-pagamentoResidencialResidencial baixa renda – faixa 04Não se aplicaNão se aplicaPonta",Mercado_Receita!$L$2:$L$601)+SUMIF(Mercado_Receita!$S$2:$S$601,"44409B1Convencional pré-pagamentoResidencialResidencial baixa renda – faixa 04Não se aplicaNão se aplicaFora ponta",Mercado_Receita!$L$2:$L$601)+SUMIF(Mercado_Receita!$S$2:$S$601,"44409B1Convencional pré-pagamentoResidencialResidencial baixa renda – faixa 04Não se aplicaNão se aplicaIntermediário",Mercado_Receita!$L$2:$L$601)+SUMIF(Mercado_Receita!$S$2:$S$601,"44409B1Convencional pré-pagamentoResidencialResidencial baixa renda – faixa 04Não se aplicaNão se aplicaNão se aplica",Mercado_Receita!$L$2:$L$601)</f>
        <v>0</v>
      </c>
      <c r="K26" s="12">
        <f>SUMIF(Mercado_Receita!$S$2:$S$601,"44440B1Convencional pré-pagamentoResidencialResidencial baixa renda – faixa 04Não se aplicaNão se aplicaPonta",Mercado_Receita!$L$2:$L$601)+SUMIF(Mercado_Receita!$S$2:$S$601,"44440B1Convencional pré-pagamentoResidencialResidencial baixa renda – faixa 04Não se aplicaNão se aplicaFora ponta",Mercado_Receita!$L$2:$L$601)+SUMIF(Mercado_Receita!$S$2:$S$601,"44440B1Convencional pré-pagamentoResidencialResidencial baixa renda – faixa 04Não se aplicaNão se aplicaIntermediário",Mercado_Receita!$L$2:$L$601)+SUMIF(Mercado_Receita!$S$2:$S$601,"44440B1Convencional pré-pagamentoResidencialResidencial baixa renda – faixa 04Não se aplicaNão se aplicaNão se aplica",Mercado_Receita!$L$2:$L$601)</f>
        <v>0</v>
      </c>
      <c r="L26" s="12">
        <f>SUMIF(Mercado_Receita!$S$2:$S$601,"44470B1Convencional pré-pagamentoResidencialResidencial baixa renda – faixa 04Não se aplicaNão se aplicaPonta",Mercado_Receita!$L$2:$L$601)+SUMIF(Mercado_Receita!$S$2:$S$601,"44470B1Convencional pré-pagamentoResidencialResidencial baixa renda – faixa 04Não se aplicaNão se aplicaFora ponta",Mercado_Receita!$L$2:$L$601)+SUMIF(Mercado_Receita!$S$2:$S$601,"44470B1Convencional pré-pagamentoResidencialResidencial baixa renda – faixa 04Não se aplicaNão se aplicaIntermediário",Mercado_Receita!$L$2:$L$601)+SUMIF(Mercado_Receita!$S$2:$S$601,"44470B1Convencional pré-pagamentoResidencialResidencial baixa renda – faixa 04Não se aplicaNão se aplicaNão se aplica",Mercado_Receita!$L$2:$L$601)</f>
        <v>0</v>
      </c>
      <c r="M26" s="12">
        <f>SUMIF(Mercado_Receita!$S$2:$S$601,"44501B1Convencional pré-pagamentoResidencialResidencial baixa renda – faixa 04Não se aplicaNão se aplicaPonta",Mercado_Receita!$L$2:$L$601)+SUMIF(Mercado_Receita!$S$2:$S$601,"44501B1Convencional pré-pagamentoResidencialResidencial baixa renda – faixa 04Não se aplicaNão se aplicaFora ponta",Mercado_Receita!$L$2:$L$601)+SUMIF(Mercado_Receita!$S$2:$S$601,"44501B1Convencional pré-pagamentoResidencialResidencial baixa renda – faixa 04Não se aplicaNão se aplicaIntermediário",Mercado_Receita!$L$2:$L$601)+SUMIF(Mercado_Receita!$S$2:$S$601,"44501B1Convencional pré-pagamentoResidencialResidencial baixa renda – faixa 04Não se aplicaNão se aplicaNão se aplica",Mercado_Receita!$L$2:$L$601)</f>
        <v>0</v>
      </c>
      <c r="N26" s="12">
        <f>SUMIF(Mercado_Receita!$S$2:$S$601,"44531B1Convencional pré-pagamentoResidencialResidencial baixa renda – faixa 04Não se aplicaNão se aplicaPonta",Mercado_Receita!$L$2:$L$601)+SUMIF(Mercado_Receita!$S$2:$S$601,"44531B1Convencional pré-pagamentoResidencialResidencial baixa renda – faixa 04Não se aplicaNão se aplicaFora ponta",Mercado_Receita!$L$2:$L$601)+SUMIF(Mercado_Receita!$S$2:$S$601,"44531B1Convencional pré-pagamentoResidencialResidencial baixa renda – faixa 04Não se aplicaNão se aplicaIntermediário",Mercado_Receita!$L$2:$L$601)+SUMIF(Mercado_Receita!$S$2:$S$601,"44531B1Convencional pré-pagamentoResidencialResidencial baixa renda – faixa 04Não se aplicaNão se aplicaNão se aplica",Mercado_Receita!$L$2:$L$601)</f>
        <v>0</v>
      </c>
      <c r="O26" s="12">
        <f>SUMIF(Mercado_Receita!$S$2:$S$601,"44562B1Convencional pré-pagamentoResidencialResidencial baixa renda – faixa 04Não se aplicaNão se aplicaPonta",Mercado_Receita!$L$2:$L$601)+SUMIF(Mercado_Receita!$S$2:$S$601,"44562B1Convencional pré-pagamentoResidencialResidencial baixa renda – faixa 04Não se aplicaNão se aplicaFora ponta",Mercado_Receita!$L$2:$L$601)+SUMIF(Mercado_Receita!$S$2:$S$601,"44562B1Convencional pré-pagamentoResidencialResidencial baixa renda – faixa 04Não se aplicaNão se aplicaIntermediário",Mercado_Receita!$L$2:$L$601)+SUMIF(Mercado_Receita!$S$2:$S$601,"44562B1Convencional pré-pagamentoResidencialResidencial baixa renda – faixa 04Não se aplicaNão se aplicaNão se aplica",Mercado_Receita!$L$2:$L$601)</f>
        <v>0</v>
      </c>
      <c r="P26" s="12">
        <f>SUMIF(Mercado_Receita!$S$2:$S$601,"44593B1Convencional pré-pagamentoResidencialResidencial baixa renda – faixa 04Não se aplicaNão se aplicaPonta",Mercado_Receita!$L$2:$L$601)+SUMIF(Mercado_Receita!$S$2:$S$601,"44593B1Convencional pré-pagamentoResidencialResidencial baixa renda – faixa 04Não se aplicaNão se aplicaFora ponta",Mercado_Receita!$L$2:$L$601)+SUMIF(Mercado_Receita!$S$2:$S$601,"44593B1Convencional pré-pagamentoResidencialResidencial baixa renda – faixa 04Não se aplicaNão se aplicaIntermediário",Mercado_Receita!$L$2:$L$601)+SUMIF(Mercado_Receita!$S$2:$S$601,"44593B1Convencional pré-pagamentoResidencialResidencial baixa renda – faixa 04Não se aplicaNão se aplicaNão se aplica",Mercado_Receita!$L$2:$L$601)</f>
        <v>0</v>
      </c>
      <c r="Q26" s="12">
        <f>SUMIF(Mercado_Receita!$S$2:$S$601,"44621B1Convencional pré-pagamentoResidencialResidencial baixa renda – faixa 04Não se aplicaNão se aplicaPonta",Mercado_Receita!$L$2:$L$601)+SUMIF(Mercado_Receita!$S$2:$S$601,"44621B1Convencional pré-pagamentoResidencialResidencial baixa renda – faixa 04Não se aplicaNão se aplicaFora ponta",Mercado_Receita!$L$2:$L$601)+SUMIF(Mercado_Receita!$S$2:$S$601,"44621B1Convencional pré-pagamentoResidencialResidencial baixa renda – faixa 04Não se aplicaNão se aplicaIntermediário",Mercado_Receita!$L$2:$L$601)+SUMIF(Mercado_Receita!$S$2:$S$601,"44621B1Convencional pré-pagamentoResidencialResidencial baixa renda – faixa 04Não se aplicaNão se aplicaNão se aplica",Mercado_Receita!$L$2:$L$601)</f>
        <v>0</v>
      </c>
      <c r="R26" s="12">
        <f>SUMIF(Mercado_Receita!$S$2:$S$601,"44652B1Convencional pré-pagamentoResidencialResidencial baixa renda – faixa 04Não se aplicaNão se aplicaPonta",Mercado_Receita!$L$2:$L$601)+SUMIF(Mercado_Receita!$S$2:$S$601,"44652B1Convencional pré-pagamentoResidencialResidencial baixa renda – faixa 04Não se aplicaNão se aplicaFora ponta",Mercado_Receita!$L$2:$L$601)+SUMIF(Mercado_Receita!$S$2:$S$601,"44652B1Convencional pré-pagamentoResidencialResidencial baixa renda – faixa 04Não se aplicaNão se aplicaIntermediário",Mercado_Receita!$L$2:$L$601)+SUMIF(Mercado_Receita!$S$2:$S$601,"44652B1Convencional pré-pagamentoResidencialResidencial baixa renda – faixa 04Não se aplicaNão se aplicaNão se aplica",Mercado_Receita!$L$2:$L$601)</f>
        <v>0</v>
      </c>
      <c r="S26" s="12">
        <f>SUMIF(Mercado_Receita!$S$2:$S$601,"44682B1Convencional pré-pagamentoResidencialResidencial baixa renda – faixa 04Não se aplicaNão se aplicaPonta",Mercado_Receita!$L$2:$L$601)+SUMIF(Mercado_Receita!$S$2:$S$601,"44682B1Convencional pré-pagamentoResidencialResidencial baixa renda – faixa 04Não se aplicaNão se aplicaFora ponta",Mercado_Receita!$L$2:$L$601)+SUMIF(Mercado_Receita!$S$2:$S$601,"44682B1Convencional pré-pagamentoResidencialResidencial baixa renda – faixa 04Não se aplicaNão se aplicaIntermediário",Mercado_Receita!$L$2:$L$601)+SUMIF(Mercado_Receita!$S$2:$S$601,"44682B1Convencional pré-pagamentoResidencialResidencial baixa renda – faixa 04Não se aplicaNão se aplicaNão se aplica",Mercado_Receita!$L$2:$L$601)</f>
        <v>0</v>
      </c>
      <c r="T26" s="12">
        <f>SUMIF(Mercado_Receita!$S$2:$S$601,"44713B1Convencional pré-pagamentoResidencialResidencial baixa renda – faixa 04Não se aplicaNão se aplicaPonta",Mercado_Receita!$L$2:$L$601)+SUMIF(Mercado_Receita!$S$2:$S$601,"44713B1Convencional pré-pagamentoResidencialResidencial baixa renda – faixa 04Não se aplicaNão se aplicaFora ponta",Mercado_Receita!$L$2:$L$601)+SUMIF(Mercado_Receita!$S$2:$S$601,"44713B1Convencional pré-pagamentoResidencialResidencial baixa renda – faixa 04Não se aplicaNão se aplicaIntermediário",Mercado_Receita!$L$2:$L$601)+SUMIF(Mercado_Receita!$S$2:$S$601,"44713B1Convencional pré-pagamentoResidencialResidencial baixa renda – faixa 04Não se aplicaNão se aplicaNão se aplica",Mercado_Receita!$L$2:$L$601)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87" t="s">
        <v>40</v>
      </c>
      <c r="B27" s="87" t="s">
        <v>85</v>
      </c>
      <c r="C27" s="87" t="s">
        <v>41</v>
      </c>
      <c r="D27" s="87" t="s">
        <v>25</v>
      </c>
      <c r="E27" s="87" t="s">
        <v>25</v>
      </c>
      <c r="F27" s="87" t="s">
        <v>25</v>
      </c>
      <c r="G27" s="12" t="s">
        <v>72</v>
      </c>
      <c r="H27" s="12" t="s">
        <v>71</v>
      </c>
      <c r="I27" s="12">
        <f>SUMIF(Mercado_Receita!$S$2:$S$601,"44378B2BrancaRuralNão se aplicaNão se aplicaNão se aplicaPonta",Mercado_Receita!$L$2:$L$601)</f>
        <v>0</v>
      </c>
      <c r="J27" s="12">
        <f>SUMIF(Mercado_Receita!$S$2:$S$601,"44409B2BrancaRuralNão se aplicaNão se aplicaNão se aplicaPonta",Mercado_Receita!$L$2:$L$601)</f>
        <v>0</v>
      </c>
      <c r="K27" s="12">
        <f>SUMIF(Mercado_Receita!$S$2:$S$601,"44440B2BrancaRuralNão se aplicaNão se aplicaNão se aplicaPonta",Mercado_Receita!$L$2:$L$601)</f>
        <v>0</v>
      </c>
      <c r="L27" s="12">
        <f>SUMIF(Mercado_Receita!$S$2:$S$601,"44470B2BrancaRuralNão se aplicaNão se aplicaNão se aplicaPonta",Mercado_Receita!$L$2:$L$601)</f>
        <v>0</v>
      </c>
      <c r="M27" s="12">
        <f>SUMIF(Mercado_Receita!$S$2:$S$601,"44501B2BrancaRuralNão se aplicaNão se aplicaNão se aplicaPonta",Mercado_Receita!$L$2:$L$601)</f>
        <v>0</v>
      </c>
      <c r="N27" s="12">
        <f>SUMIF(Mercado_Receita!$S$2:$S$601,"44531B2BrancaRuralNão se aplicaNão se aplicaNão se aplicaPonta",Mercado_Receita!$L$2:$L$601)</f>
        <v>0</v>
      </c>
      <c r="O27" s="12">
        <f>SUMIF(Mercado_Receita!$S$2:$S$601,"44562B2BrancaRuralNão se aplicaNão se aplicaNão se aplicaPonta",Mercado_Receita!$L$2:$L$601)</f>
        <v>0</v>
      </c>
      <c r="P27" s="12">
        <f>SUMIF(Mercado_Receita!$S$2:$S$601,"44593B2BrancaRuralNão se aplicaNão se aplicaNão se aplicaPonta",Mercado_Receita!$L$2:$L$601)</f>
        <v>0</v>
      </c>
      <c r="Q27" s="12">
        <f>SUMIF(Mercado_Receita!$S$2:$S$601,"44621B2BrancaRuralNão se aplicaNão se aplicaNão se aplicaPonta",Mercado_Receita!$L$2:$L$601)</f>
        <v>0</v>
      </c>
      <c r="R27" s="12">
        <f>SUMIF(Mercado_Receita!$S$2:$S$601,"44652B2BrancaRuralNão se aplicaNão se aplicaNão se aplicaPonta",Mercado_Receita!$L$2:$L$601)</f>
        <v>0</v>
      </c>
      <c r="S27" s="12">
        <f>SUMIF(Mercado_Receita!$S$2:$S$601,"44682B2BrancaRuralNão se aplicaNão se aplicaNão se aplicaPonta",Mercado_Receita!$L$2:$L$601)</f>
        <v>0</v>
      </c>
      <c r="T27" s="12">
        <f>SUMIF(Mercado_Receita!$S$2:$S$601,"44713B2BrancaRuralNão se aplicaNão se aplicaNão se aplicaPonta",Mercado_Receita!$L$2:$L$601)</f>
        <v>0</v>
      </c>
      <c r="U27" s="12">
        <f t="shared" si="0"/>
        <v>0</v>
      </c>
      <c r="V27" s="12"/>
      <c r="W27" s="12"/>
    </row>
    <row r="28" spans="1:23" ht="11.25" customHeight="1" x14ac:dyDescent="0.25">
      <c r="A28" s="88"/>
      <c r="B28" s="88"/>
      <c r="C28" s="88"/>
      <c r="D28" s="88"/>
      <c r="E28" s="88"/>
      <c r="F28" s="88"/>
      <c r="G28" s="12" t="s">
        <v>83</v>
      </c>
      <c r="H28" s="12" t="s">
        <v>71</v>
      </c>
      <c r="I28" s="12">
        <f>SUMIF(Mercado_Receita!$S$2:$S$601,"44378B2BrancaRuralNão se aplicaNão se aplicaNão se aplicaIntermediário",Mercado_Receita!$L$2:$L$601)</f>
        <v>0</v>
      </c>
      <c r="J28" s="12">
        <f>SUMIF(Mercado_Receita!$S$2:$S$601,"44409B2BrancaRuralNão se aplicaNão se aplicaNão se aplicaIntermediário",Mercado_Receita!$L$2:$L$601)</f>
        <v>0</v>
      </c>
      <c r="K28" s="12">
        <f>SUMIF(Mercado_Receita!$S$2:$S$601,"44440B2BrancaRuralNão se aplicaNão se aplicaNão se aplicaIntermediário",Mercado_Receita!$L$2:$L$601)</f>
        <v>0</v>
      </c>
      <c r="L28" s="12">
        <f>SUMIF(Mercado_Receita!$S$2:$S$601,"44470B2BrancaRuralNão se aplicaNão se aplicaNão se aplicaIntermediário",Mercado_Receita!$L$2:$L$601)</f>
        <v>0</v>
      </c>
      <c r="M28" s="12">
        <f>SUMIF(Mercado_Receita!$S$2:$S$601,"44501B2BrancaRuralNão se aplicaNão se aplicaNão se aplicaIntermediário",Mercado_Receita!$L$2:$L$601)</f>
        <v>0</v>
      </c>
      <c r="N28" s="12">
        <f>SUMIF(Mercado_Receita!$S$2:$S$601,"44531B2BrancaRuralNão se aplicaNão se aplicaNão se aplicaIntermediário",Mercado_Receita!$L$2:$L$601)</f>
        <v>0</v>
      </c>
      <c r="O28" s="12">
        <f>SUMIF(Mercado_Receita!$S$2:$S$601,"44562B2BrancaRuralNão se aplicaNão se aplicaNão se aplicaIntermediário",Mercado_Receita!$L$2:$L$601)</f>
        <v>0</v>
      </c>
      <c r="P28" s="12">
        <f>SUMIF(Mercado_Receita!$S$2:$S$601,"44593B2BrancaRuralNão se aplicaNão se aplicaNão se aplicaIntermediário",Mercado_Receita!$L$2:$L$601)</f>
        <v>0</v>
      </c>
      <c r="Q28" s="12">
        <f>SUMIF(Mercado_Receita!$S$2:$S$601,"44621B2BrancaRuralNão se aplicaNão se aplicaNão se aplicaIntermediário",Mercado_Receita!$L$2:$L$601)</f>
        <v>0</v>
      </c>
      <c r="R28" s="12">
        <f>SUMIF(Mercado_Receita!$S$2:$S$601,"44652B2BrancaRuralNão se aplicaNão se aplicaNão se aplicaIntermediário",Mercado_Receita!$L$2:$L$601)</f>
        <v>0</v>
      </c>
      <c r="S28" s="12">
        <f>SUMIF(Mercado_Receita!$S$2:$S$601,"44682B2BrancaRuralNão se aplicaNão se aplicaNão se aplicaIntermediário",Mercado_Receita!$L$2:$L$601)</f>
        <v>0</v>
      </c>
      <c r="T28" s="12">
        <f>SUMIF(Mercado_Receita!$S$2:$S$601,"44713B2BrancaRuralNão se aplicaNão se aplicaNão se aplicaIntermediário",Mercado_Receita!$L$2:$L$601)</f>
        <v>0</v>
      </c>
      <c r="U28" s="12">
        <f t="shared" si="0"/>
        <v>0</v>
      </c>
      <c r="V28" s="12"/>
      <c r="W28" s="12"/>
    </row>
    <row r="29" spans="1:23" ht="11.25" customHeight="1" x14ac:dyDescent="0.25">
      <c r="A29" s="88"/>
      <c r="B29" s="88"/>
      <c r="C29" s="88"/>
      <c r="D29" s="88"/>
      <c r="E29" s="88"/>
      <c r="F29" s="88"/>
      <c r="G29" s="12" t="s">
        <v>73</v>
      </c>
      <c r="H29" s="12" t="s">
        <v>71</v>
      </c>
      <c r="I29" s="12">
        <f>SUMIF(Mercado_Receita!$S$2:$S$601,"44378B2BrancaRuralNão se aplicaNão se aplicaNão se aplicaFora ponta",Mercado_Receita!$L$2:$L$601)</f>
        <v>0</v>
      </c>
      <c r="J29" s="12">
        <f>SUMIF(Mercado_Receita!$S$2:$S$601,"44409B2BrancaRuralNão se aplicaNão se aplicaNão se aplicaFora ponta",Mercado_Receita!$L$2:$L$601)</f>
        <v>0</v>
      </c>
      <c r="K29" s="12">
        <f>SUMIF(Mercado_Receita!$S$2:$S$601,"44440B2BrancaRuralNão se aplicaNão se aplicaNão se aplicaFora ponta",Mercado_Receita!$L$2:$L$601)</f>
        <v>0</v>
      </c>
      <c r="L29" s="12">
        <f>SUMIF(Mercado_Receita!$S$2:$S$601,"44470B2BrancaRuralNão se aplicaNão se aplicaNão se aplicaFora ponta",Mercado_Receita!$L$2:$L$601)</f>
        <v>0</v>
      </c>
      <c r="M29" s="12">
        <f>SUMIF(Mercado_Receita!$S$2:$S$601,"44501B2BrancaRuralNão se aplicaNão se aplicaNão se aplicaFora ponta",Mercado_Receita!$L$2:$L$601)</f>
        <v>0</v>
      </c>
      <c r="N29" s="12">
        <f>SUMIF(Mercado_Receita!$S$2:$S$601,"44531B2BrancaRuralNão se aplicaNão se aplicaNão se aplicaFora ponta",Mercado_Receita!$L$2:$L$601)</f>
        <v>0</v>
      </c>
      <c r="O29" s="12">
        <f>SUMIF(Mercado_Receita!$S$2:$S$601,"44562B2BrancaRuralNão se aplicaNão se aplicaNão se aplicaFora ponta",Mercado_Receita!$L$2:$L$601)</f>
        <v>0</v>
      </c>
      <c r="P29" s="12">
        <f>SUMIF(Mercado_Receita!$S$2:$S$601,"44593B2BrancaRuralNão se aplicaNão se aplicaNão se aplicaFora ponta",Mercado_Receita!$L$2:$L$601)</f>
        <v>0</v>
      </c>
      <c r="Q29" s="12">
        <f>SUMIF(Mercado_Receita!$S$2:$S$601,"44621B2BrancaRuralNão se aplicaNão se aplicaNão se aplicaFora ponta",Mercado_Receita!$L$2:$L$601)</f>
        <v>0</v>
      </c>
      <c r="R29" s="12">
        <f>SUMIF(Mercado_Receita!$S$2:$S$601,"44652B2BrancaRuralNão se aplicaNão se aplicaNão se aplicaFora ponta",Mercado_Receita!$L$2:$L$601)</f>
        <v>0</v>
      </c>
      <c r="S29" s="12">
        <f>SUMIF(Mercado_Receita!$S$2:$S$601,"44682B2BrancaRuralNão se aplicaNão se aplicaNão se aplicaFora ponta",Mercado_Receita!$L$2:$L$601)</f>
        <v>0</v>
      </c>
      <c r="T29" s="12">
        <f>SUMIF(Mercado_Receita!$S$2:$S$601,"44713B2BrancaRuralNão se aplicaNão se aplicaNão se aplicaFora ponta",Mercado_Receita!$L$2:$L$601)</f>
        <v>0</v>
      </c>
      <c r="U29" s="12">
        <f t="shared" si="0"/>
        <v>0</v>
      </c>
      <c r="V29" s="12"/>
      <c r="W29" s="12"/>
    </row>
    <row r="30" spans="1:23" ht="11.25" customHeight="1" x14ac:dyDescent="0.25">
      <c r="A30" s="88"/>
      <c r="B30" s="13" t="s">
        <v>23</v>
      </c>
      <c r="C30" s="13" t="s">
        <v>41</v>
      </c>
      <c r="D30" s="13" t="s">
        <v>25</v>
      </c>
      <c r="E30" s="13" t="s">
        <v>25</v>
      </c>
      <c r="F30" s="13" t="s">
        <v>25</v>
      </c>
      <c r="G30" s="12" t="s">
        <v>77</v>
      </c>
      <c r="H30" s="12" t="s">
        <v>71</v>
      </c>
      <c r="I30" s="12">
        <f>SUMIF(Mercado_Receita!$S$2:$S$601,"44378B2ConvencionalRuralNão se aplicaNão se aplicaNão se aplicaPonta",Mercado_Receita!$L$2:$L$601)+SUMIF(Mercado_Receita!$S$2:$S$601,"44378B2ConvencionalRuralNão se aplicaNão se aplicaNão se aplicaFora ponta",Mercado_Receita!$L$2:$L$601)+SUMIF(Mercado_Receita!$S$2:$S$601,"44378B2ConvencionalRuralNão se aplicaNão se aplicaNão se aplicaIntermediário",Mercado_Receita!$L$2:$L$601)+SUMIF(Mercado_Receita!$S$2:$S$601,"44378B2ConvencionalRuralNão se aplicaNão se aplicaNão se aplicaNão se aplica",Mercado_Receita!$L$2:$L$601)</f>
        <v>2552.6010000000006</v>
      </c>
      <c r="J30" s="12">
        <f>SUMIF(Mercado_Receita!$S$2:$S$601,"44409B2ConvencionalRuralNão se aplicaNão se aplicaNão se aplicaPonta",Mercado_Receita!$L$2:$L$601)+SUMIF(Mercado_Receita!$S$2:$S$601,"44409B2ConvencionalRuralNão se aplicaNão se aplicaNão se aplicaFora ponta",Mercado_Receita!$L$2:$L$601)+SUMIF(Mercado_Receita!$S$2:$S$601,"44409B2ConvencionalRuralNão se aplicaNão se aplicaNão se aplicaIntermediário",Mercado_Receita!$L$2:$L$601)+SUMIF(Mercado_Receita!$S$2:$S$601,"44409B2ConvencionalRuralNão se aplicaNão se aplicaNão se aplicaNão se aplica",Mercado_Receita!$L$2:$L$601)</f>
        <v>2663.91</v>
      </c>
      <c r="K30" s="12">
        <f>SUMIF(Mercado_Receita!$S$2:$S$601,"44440B2ConvencionalRuralNão se aplicaNão se aplicaNão se aplicaPonta",Mercado_Receita!$L$2:$L$601)+SUMIF(Mercado_Receita!$S$2:$S$601,"44440B2ConvencionalRuralNão se aplicaNão se aplicaNão se aplicaFora ponta",Mercado_Receita!$L$2:$L$601)+SUMIF(Mercado_Receita!$S$2:$S$601,"44440B2ConvencionalRuralNão se aplicaNão se aplicaNão se aplicaIntermediário",Mercado_Receita!$L$2:$L$601)+SUMIF(Mercado_Receita!$S$2:$S$601,"44440B2ConvencionalRuralNão se aplicaNão se aplicaNão se aplicaNão se aplica",Mercado_Receita!$L$2:$L$601)</f>
        <v>2659.3900000000003</v>
      </c>
      <c r="L30" s="12">
        <f>SUMIF(Mercado_Receita!$S$2:$S$601,"44470B2ConvencionalRuralNão se aplicaNão se aplicaNão se aplicaPonta",Mercado_Receita!$L$2:$L$601)+SUMIF(Mercado_Receita!$S$2:$S$601,"44470B2ConvencionalRuralNão se aplicaNão se aplicaNão se aplicaFora ponta",Mercado_Receita!$L$2:$L$601)+SUMIF(Mercado_Receita!$S$2:$S$601,"44470B2ConvencionalRuralNão se aplicaNão se aplicaNão se aplicaIntermediário",Mercado_Receita!$L$2:$L$601)+SUMIF(Mercado_Receita!$S$2:$S$601,"44470B2ConvencionalRuralNão se aplicaNão se aplicaNão se aplicaNão se aplica",Mercado_Receita!$L$2:$L$601)</f>
        <v>2794.297</v>
      </c>
      <c r="M30" s="12">
        <f>SUMIF(Mercado_Receita!$S$2:$S$601,"44501B2ConvencionalRuralNão se aplicaNão se aplicaNão se aplicaPonta",Mercado_Receita!$L$2:$L$601)+SUMIF(Mercado_Receita!$S$2:$S$601,"44501B2ConvencionalRuralNão se aplicaNão se aplicaNão se aplicaFora ponta",Mercado_Receita!$L$2:$L$601)+SUMIF(Mercado_Receita!$S$2:$S$601,"44501B2ConvencionalRuralNão se aplicaNão se aplicaNão se aplicaIntermediário",Mercado_Receita!$L$2:$L$601)+SUMIF(Mercado_Receita!$S$2:$S$601,"44501B2ConvencionalRuralNão se aplicaNão se aplicaNão se aplicaNão se aplica",Mercado_Receita!$L$2:$L$601)</f>
        <v>4079.7669999999998</v>
      </c>
      <c r="N30" s="12">
        <f>SUMIF(Mercado_Receita!$S$2:$S$601,"44531B2ConvencionalRuralNão se aplicaNão se aplicaNão se aplicaPonta",Mercado_Receita!$L$2:$L$601)+SUMIF(Mercado_Receita!$S$2:$S$601,"44531B2ConvencionalRuralNão se aplicaNão se aplicaNão se aplicaFora ponta",Mercado_Receita!$L$2:$L$601)+SUMIF(Mercado_Receita!$S$2:$S$601,"44531B2ConvencionalRuralNão se aplicaNão se aplicaNão se aplicaIntermediário",Mercado_Receita!$L$2:$L$601)+SUMIF(Mercado_Receita!$S$2:$S$601,"44531B2ConvencionalRuralNão se aplicaNão se aplicaNão se aplicaNão se aplica",Mercado_Receita!$L$2:$L$601)</f>
        <v>5342.2910000000002</v>
      </c>
      <c r="O30" s="12">
        <f>SUMIF(Mercado_Receita!$S$2:$S$601,"44562B2ConvencionalRuralNão se aplicaNão se aplicaNão se aplicaPonta",Mercado_Receita!$L$2:$L$601)+SUMIF(Mercado_Receita!$S$2:$S$601,"44562B2ConvencionalRuralNão se aplicaNão se aplicaNão se aplicaFora ponta",Mercado_Receita!$L$2:$L$601)+SUMIF(Mercado_Receita!$S$2:$S$601,"44562B2ConvencionalRuralNão se aplicaNão se aplicaNão se aplicaIntermediário",Mercado_Receita!$L$2:$L$601)+SUMIF(Mercado_Receita!$S$2:$S$601,"44562B2ConvencionalRuralNão se aplicaNão se aplicaNão se aplicaNão se aplica",Mercado_Receita!$L$2:$L$601)</f>
        <v>6891.5069999999987</v>
      </c>
      <c r="P30" s="12">
        <f>SUMIF(Mercado_Receita!$S$2:$S$601,"44593B2ConvencionalRuralNão se aplicaNão se aplicaNão se aplicaPonta",Mercado_Receita!$L$2:$L$601)+SUMIF(Mercado_Receita!$S$2:$S$601,"44593B2ConvencionalRuralNão se aplicaNão se aplicaNão se aplicaFora ponta",Mercado_Receita!$L$2:$L$601)+SUMIF(Mercado_Receita!$S$2:$S$601,"44593B2ConvencionalRuralNão se aplicaNão se aplicaNão se aplicaIntermediário",Mercado_Receita!$L$2:$L$601)+SUMIF(Mercado_Receita!$S$2:$S$601,"44593B2ConvencionalRuralNão se aplicaNão se aplicaNão se aplicaNão se aplica",Mercado_Receita!$L$2:$L$601)</f>
        <v>6072.7920000000004</v>
      </c>
      <c r="Q30" s="12">
        <f>SUMIF(Mercado_Receita!$S$2:$S$601,"44621B2ConvencionalRuralNão se aplicaNão se aplicaNão se aplicaPonta",Mercado_Receita!$L$2:$L$601)+SUMIF(Mercado_Receita!$S$2:$S$601,"44621B2ConvencionalRuralNão se aplicaNão se aplicaNão se aplicaFora ponta",Mercado_Receita!$L$2:$L$601)+SUMIF(Mercado_Receita!$S$2:$S$601,"44621B2ConvencionalRuralNão se aplicaNão se aplicaNão se aplicaIntermediário",Mercado_Receita!$L$2:$L$601)+SUMIF(Mercado_Receita!$S$2:$S$601,"44621B2ConvencionalRuralNão se aplicaNão se aplicaNão se aplicaNão se aplica",Mercado_Receita!$L$2:$L$601)</f>
        <v>4995.0380000000005</v>
      </c>
      <c r="R30" s="12">
        <f>SUMIF(Mercado_Receita!$S$2:$S$601,"44652B2ConvencionalRuralNão se aplicaNão se aplicaNão se aplicaPonta",Mercado_Receita!$L$2:$L$601)+SUMIF(Mercado_Receita!$S$2:$S$601,"44652B2ConvencionalRuralNão se aplicaNão se aplicaNão se aplicaFora ponta",Mercado_Receita!$L$2:$L$601)+SUMIF(Mercado_Receita!$S$2:$S$601,"44652B2ConvencionalRuralNão se aplicaNão se aplicaNão se aplicaIntermediário",Mercado_Receita!$L$2:$L$601)+SUMIF(Mercado_Receita!$S$2:$S$601,"44652B2ConvencionalRuralNão se aplicaNão se aplicaNão se aplicaNão se aplica",Mercado_Receita!$L$2:$L$601)</f>
        <v>3734.5819999999999</v>
      </c>
      <c r="S30" s="12">
        <f>SUMIF(Mercado_Receita!$S$2:$S$601,"44682B2ConvencionalRuralNão se aplicaNão se aplicaNão se aplicaPonta",Mercado_Receita!$L$2:$L$601)+SUMIF(Mercado_Receita!$S$2:$S$601,"44682B2ConvencionalRuralNão se aplicaNão se aplicaNão se aplicaFora ponta",Mercado_Receita!$L$2:$L$601)+SUMIF(Mercado_Receita!$S$2:$S$601,"44682B2ConvencionalRuralNão se aplicaNão se aplicaNão se aplicaIntermediário",Mercado_Receita!$L$2:$L$601)+SUMIF(Mercado_Receita!$S$2:$S$601,"44682B2ConvencionalRuralNão se aplicaNão se aplicaNão se aplicaNão se aplica",Mercado_Receita!$L$2:$L$601)</f>
        <v>3171.5050000000006</v>
      </c>
      <c r="T30" s="12">
        <f>SUMIF(Mercado_Receita!$S$2:$S$601,"44713B2ConvencionalRuralNão se aplicaNão se aplicaNão se aplicaPonta",Mercado_Receita!$L$2:$L$601)+SUMIF(Mercado_Receita!$S$2:$S$601,"44713B2ConvencionalRuralNão se aplicaNão se aplicaNão se aplicaFora ponta",Mercado_Receita!$L$2:$L$601)+SUMIF(Mercado_Receita!$S$2:$S$601,"44713B2ConvencionalRuralNão se aplicaNão se aplicaNão se aplicaIntermediário",Mercado_Receita!$L$2:$L$601)+SUMIF(Mercado_Receita!$S$2:$S$601,"44713B2ConvencionalRuralNão se aplicaNão se aplicaNão se aplicaNão se aplica",Mercado_Receita!$L$2:$L$601)</f>
        <v>2832.8680000000004</v>
      </c>
      <c r="U30" s="12">
        <f t="shared" si="0"/>
        <v>47790.548000000003</v>
      </c>
      <c r="V30" s="12"/>
      <c r="W30" s="12"/>
    </row>
    <row r="31" spans="1:23" ht="11.25" customHeight="1" x14ac:dyDescent="0.25">
      <c r="A31" s="88"/>
      <c r="B31" s="87" t="s">
        <v>85</v>
      </c>
      <c r="C31" s="87" t="s">
        <v>41</v>
      </c>
      <c r="D31" s="87" t="s">
        <v>88</v>
      </c>
      <c r="E31" s="87" t="s">
        <v>25</v>
      </c>
      <c r="F31" s="87" t="s">
        <v>25</v>
      </c>
      <c r="G31" s="12" t="s">
        <v>72</v>
      </c>
      <c r="H31" s="12" t="s">
        <v>71</v>
      </c>
      <c r="I31" s="12">
        <f>SUMIF(Mercado_Receita!$S$2:$S$601,"44378B2BrancaRuralCooperativa de eletrificação ruralNão se aplicaNão se aplicaPonta",Mercado_Receita!$L$2:$L$601)</f>
        <v>0</v>
      </c>
      <c r="J31" s="12">
        <f>SUMIF(Mercado_Receita!$S$2:$S$601,"44409B2BrancaRuralCooperativa de eletrificação ruralNão se aplicaNão se aplicaPonta",Mercado_Receita!$L$2:$L$601)</f>
        <v>0</v>
      </c>
      <c r="K31" s="12">
        <f>SUMIF(Mercado_Receita!$S$2:$S$601,"44440B2BrancaRuralCooperativa de eletrificação ruralNão se aplicaNão se aplicaPonta",Mercado_Receita!$L$2:$L$601)</f>
        <v>0</v>
      </c>
      <c r="L31" s="12">
        <f>SUMIF(Mercado_Receita!$S$2:$S$601,"44470B2BrancaRuralCooperativa de eletrificação ruralNão se aplicaNão se aplicaPonta",Mercado_Receita!$L$2:$L$601)</f>
        <v>0</v>
      </c>
      <c r="M31" s="12">
        <f>SUMIF(Mercado_Receita!$S$2:$S$601,"44501B2BrancaRuralCooperativa de eletrificação ruralNão se aplicaNão se aplicaPonta",Mercado_Receita!$L$2:$L$601)</f>
        <v>0</v>
      </c>
      <c r="N31" s="12">
        <f>SUMIF(Mercado_Receita!$S$2:$S$601,"44531B2BrancaRuralCooperativa de eletrificação ruralNão se aplicaNão se aplicaPonta",Mercado_Receita!$L$2:$L$601)</f>
        <v>0</v>
      </c>
      <c r="O31" s="12">
        <f>SUMIF(Mercado_Receita!$S$2:$S$601,"44562B2BrancaRuralCooperativa de eletrificação ruralNão se aplicaNão se aplicaPonta",Mercado_Receita!$L$2:$L$601)</f>
        <v>0</v>
      </c>
      <c r="P31" s="12">
        <f>SUMIF(Mercado_Receita!$S$2:$S$601,"44593B2BrancaRuralCooperativa de eletrificação ruralNão se aplicaNão se aplicaPonta",Mercado_Receita!$L$2:$L$601)</f>
        <v>0</v>
      </c>
      <c r="Q31" s="12">
        <f>SUMIF(Mercado_Receita!$S$2:$S$601,"44621B2BrancaRuralCooperativa de eletrificação ruralNão se aplicaNão se aplicaPonta",Mercado_Receita!$L$2:$L$601)</f>
        <v>0</v>
      </c>
      <c r="R31" s="12">
        <f>SUMIF(Mercado_Receita!$S$2:$S$601,"44652B2BrancaRuralCooperativa de eletrificação ruralNão se aplicaNão se aplicaPonta",Mercado_Receita!$L$2:$L$601)</f>
        <v>0</v>
      </c>
      <c r="S31" s="12">
        <f>SUMIF(Mercado_Receita!$S$2:$S$601,"44682B2BrancaRuralCooperativa de eletrificação ruralNão se aplicaNão se aplicaPonta",Mercado_Receita!$L$2:$L$601)</f>
        <v>0</v>
      </c>
      <c r="T31" s="12">
        <f>SUMIF(Mercado_Receita!$S$2:$S$601,"44713B2BrancaRuralCooperativa de eletrificação ruralNão se aplicaNão se aplicaPonta",Mercado_Receita!$L$2:$L$601)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88"/>
      <c r="B32" s="88"/>
      <c r="C32" s="88"/>
      <c r="D32" s="88"/>
      <c r="E32" s="88"/>
      <c r="F32" s="88"/>
      <c r="G32" s="12" t="s">
        <v>83</v>
      </c>
      <c r="H32" s="12" t="s">
        <v>71</v>
      </c>
      <c r="I32" s="12">
        <f>SUMIF(Mercado_Receita!$S$2:$S$601,"44378B2BrancaRuralCooperativa de eletrificação ruralNão se aplicaNão se aplicaIntermediário",Mercado_Receita!$L$2:$L$601)</f>
        <v>0</v>
      </c>
      <c r="J32" s="12">
        <f>SUMIF(Mercado_Receita!$S$2:$S$601,"44409B2BrancaRuralCooperativa de eletrificação ruralNão se aplicaNão se aplicaIntermediário",Mercado_Receita!$L$2:$L$601)</f>
        <v>0</v>
      </c>
      <c r="K32" s="12">
        <f>SUMIF(Mercado_Receita!$S$2:$S$601,"44440B2BrancaRuralCooperativa de eletrificação ruralNão se aplicaNão se aplicaIntermediário",Mercado_Receita!$L$2:$L$601)</f>
        <v>0</v>
      </c>
      <c r="L32" s="12">
        <f>SUMIF(Mercado_Receita!$S$2:$S$601,"44470B2BrancaRuralCooperativa de eletrificação ruralNão se aplicaNão se aplicaIntermediário",Mercado_Receita!$L$2:$L$601)</f>
        <v>0</v>
      </c>
      <c r="M32" s="12">
        <f>SUMIF(Mercado_Receita!$S$2:$S$601,"44501B2BrancaRuralCooperativa de eletrificação ruralNão se aplicaNão se aplicaIntermediário",Mercado_Receita!$L$2:$L$601)</f>
        <v>0</v>
      </c>
      <c r="N32" s="12">
        <f>SUMIF(Mercado_Receita!$S$2:$S$601,"44531B2BrancaRuralCooperativa de eletrificação ruralNão se aplicaNão se aplicaIntermediário",Mercado_Receita!$L$2:$L$601)</f>
        <v>0</v>
      </c>
      <c r="O32" s="12">
        <f>SUMIF(Mercado_Receita!$S$2:$S$601,"44562B2BrancaRuralCooperativa de eletrificação ruralNão se aplicaNão se aplicaIntermediário",Mercado_Receita!$L$2:$L$601)</f>
        <v>0</v>
      </c>
      <c r="P32" s="12">
        <f>SUMIF(Mercado_Receita!$S$2:$S$601,"44593B2BrancaRuralCooperativa de eletrificação ruralNão se aplicaNão se aplicaIntermediário",Mercado_Receita!$L$2:$L$601)</f>
        <v>0</v>
      </c>
      <c r="Q32" s="12">
        <f>SUMIF(Mercado_Receita!$S$2:$S$601,"44621B2BrancaRuralCooperativa de eletrificação ruralNão se aplicaNão se aplicaIntermediário",Mercado_Receita!$L$2:$L$601)</f>
        <v>0</v>
      </c>
      <c r="R32" s="12">
        <f>SUMIF(Mercado_Receita!$S$2:$S$601,"44652B2BrancaRuralCooperativa de eletrificação ruralNão se aplicaNão se aplicaIntermediário",Mercado_Receita!$L$2:$L$601)</f>
        <v>0</v>
      </c>
      <c r="S32" s="12">
        <f>SUMIF(Mercado_Receita!$S$2:$S$601,"44682B2BrancaRuralCooperativa de eletrificação ruralNão se aplicaNão se aplicaIntermediário",Mercado_Receita!$L$2:$L$601)</f>
        <v>0</v>
      </c>
      <c r="T32" s="12">
        <f>SUMIF(Mercado_Receita!$S$2:$S$601,"44713B2BrancaRuralCooperativa de eletrificação ruralNão se aplicaNão se aplicaIntermediário",Mercado_Receita!$L$2:$L$601)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88"/>
      <c r="B33" s="88"/>
      <c r="C33" s="88"/>
      <c r="D33" s="88"/>
      <c r="E33" s="88"/>
      <c r="F33" s="88"/>
      <c r="G33" s="12" t="s">
        <v>73</v>
      </c>
      <c r="H33" s="12" t="s">
        <v>71</v>
      </c>
      <c r="I33" s="12">
        <f>SUMIF(Mercado_Receita!$S$2:$S$601,"44378B2BrancaRuralCooperativa de eletrificação ruralNão se aplicaNão se aplicaFora ponta",Mercado_Receita!$L$2:$L$601)</f>
        <v>0</v>
      </c>
      <c r="J33" s="12">
        <f>SUMIF(Mercado_Receita!$S$2:$S$601,"44409B2BrancaRuralCooperativa de eletrificação ruralNão se aplicaNão se aplicaFora ponta",Mercado_Receita!$L$2:$L$601)</f>
        <v>0</v>
      </c>
      <c r="K33" s="12">
        <f>SUMIF(Mercado_Receita!$S$2:$S$601,"44440B2BrancaRuralCooperativa de eletrificação ruralNão se aplicaNão se aplicaFora ponta",Mercado_Receita!$L$2:$L$601)</f>
        <v>0</v>
      </c>
      <c r="L33" s="12">
        <f>SUMIF(Mercado_Receita!$S$2:$S$601,"44470B2BrancaRuralCooperativa de eletrificação ruralNão se aplicaNão se aplicaFora ponta",Mercado_Receita!$L$2:$L$601)</f>
        <v>0</v>
      </c>
      <c r="M33" s="12">
        <f>SUMIF(Mercado_Receita!$S$2:$S$601,"44501B2BrancaRuralCooperativa de eletrificação ruralNão se aplicaNão se aplicaFora ponta",Mercado_Receita!$L$2:$L$601)</f>
        <v>0</v>
      </c>
      <c r="N33" s="12">
        <f>SUMIF(Mercado_Receita!$S$2:$S$601,"44531B2BrancaRuralCooperativa de eletrificação ruralNão se aplicaNão se aplicaFora ponta",Mercado_Receita!$L$2:$L$601)</f>
        <v>0</v>
      </c>
      <c r="O33" s="12">
        <f>SUMIF(Mercado_Receita!$S$2:$S$601,"44562B2BrancaRuralCooperativa de eletrificação ruralNão se aplicaNão se aplicaFora ponta",Mercado_Receita!$L$2:$L$601)</f>
        <v>0</v>
      </c>
      <c r="P33" s="12">
        <f>SUMIF(Mercado_Receita!$S$2:$S$601,"44593B2BrancaRuralCooperativa de eletrificação ruralNão se aplicaNão se aplicaFora ponta",Mercado_Receita!$L$2:$L$601)</f>
        <v>0</v>
      </c>
      <c r="Q33" s="12">
        <f>SUMIF(Mercado_Receita!$S$2:$S$601,"44621B2BrancaRuralCooperativa de eletrificação ruralNão se aplicaNão se aplicaFora ponta",Mercado_Receita!$L$2:$L$601)</f>
        <v>0</v>
      </c>
      <c r="R33" s="12">
        <f>SUMIF(Mercado_Receita!$S$2:$S$601,"44652B2BrancaRuralCooperativa de eletrificação ruralNão se aplicaNão se aplicaFora ponta",Mercado_Receita!$L$2:$L$601)</f>
        <v>0</v>
      </c>
      <c r="S33" s="12">
        <f>SUMIF(Mercado_Receita!$S$2:$S$601,"44682B2BrancaRuralCooperativa de eletrificação ruralNão se aplicaNão se aplicaFora ponta",Mercado_Receita!$L$2:$L$601)</f>
        <v>0</v>
      </c>
      <c r="T33" s="12">
        <f>SUMIF(Mercado_Receita!$S$2:$S$601,"44713B2BrancaRuralCooperativa de eletrificação ruralNão se aplicaNão se aplicaFora ponta",Mercado_Receita!$L$2:$L$601)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88"/>
      <c r="B34" s="13" t="s">
        <v>23</v>
      </c>
      <c r="C34" s="13" t="s">
        <v>41</v>
      </c>
      <c r="D34" s="13" t="s">
        <v>88</v>
      </c>
      <c r="E34" s="13" t="s">
        <v>25</v>
      </c>
      <c r="F34" s="13" t="s">
        <v>25</v>
      </c>
      <c r="G34" s="12" t="s">
        <v>77</v>
      </c>
      <c r="H34" s="12" t="s">
        <v>71</v>
      </c>
      <c r="I34" s="12">
        <f>SUMIF(Mercado_Receita!$S$2:$S$601,"44378B2ConvencionalRuralCooperativa de eletrificação ruralNão se aplicaNão se aplicaPonta",Mercado_Receita!$L$2:$L$601)+SUMIF(Mercado_Receita!$S$2:$S$601,"44378B2ConvencionalRuralCooperativa de eletrificação ruralNão se aplicaNão se aplicaFora ponta",Mercado_Receita!$L$2:$L$601)+SUMIF(Mercado_Receita!$S$2:$S$601,"44378B2ConvencionalRuralCooperativa de eletrificação ruralNão se aplicaNão se aplicaIntermediário",Mercado_Receita!$L$2:$L$601)+SUMIF(Mercado_Receita!$S$2:$S$601,"44378B2ConvencionalRuralCooperativa de eletrificação ruralNão se aplicaNão se aplicaNão se aplica",Mercado_Receita!$L$2:$L$601)</f>
        <v>0</v>
      </c>
      <c r="J34" s="12">
        <f>SUMIF(Mercado_Receita!$S$2:$S$601,"44409B2ConvencionalRuralCooperativa de eletrificação ruralNão se aplicaNão se aplicaPonta",Mercado_Receita!$L$2:$L$601)+SUMIF(Mercado_Receita!$S$2:$S$601,"44409B2ConvencionalRuralCooperativa de eletrificação ruralNão se aplicaNão se aplicaFora ponta",Mercado_Receita!$L$2:$L$601)+SUMIF(Mercado_Receita!$S$2:$S$601,"44409B2ConvencionalRuralCooperativa de eletrificação ruralNão se aplicaNão se aplicaIntermediário",Mercado_Receita!$L$2:$L$601)+SUMIF(Mercado_Receita!$S$2:$S$601,"44409B2ConvencionalRuralCooperativa de eletrificação ruralNão se aplicaNão se aplicaNão se aplica",Mercado_Receita!$L$2:$L$601)</f>
        <v>0</v>
      </c>
      <c r="K34" s="12">
        <f>SUMIF(Mercado_Receita!$S$2:$S$601,"44440B2ConvencionalRuralCooperativa de eletrificação ruralNão se aplicaNão se aplicaPonta",Mercado_Receita!$L$2:$L$601)+SUMIF(Mercado_Receita!$S$2:$S$601,"44440B2ConvencionalRuralCooperativa de eletrificação ruralNão se aplicaNão se aplicaFora ponta",Mercado_Receita!$L$2:$L$601)+SUMIF(Mercado_Receita!$S$2:$S$601,"44440B2ConvencionalRuralCooperativa de eletrificação ruralNão se aplicaNão se aplicaIntermediário",Mercado_Receita!$L$2:$L$601)+SUMIF(Mercado_Receita!$S$2:$S$601,"44440B2ConvencionalRuralCooperativa de eletrificação ruralNão se aplicaNão se aplicaNão se aplica",Mercado_Receita!$L$2:$L$601)</f>
        <v>0</v>
      </c>
      <c r="L34" s="12">
        <f>SUMIF(Mercado_Receita!$S$2:$S$601,"44470B2ConvencionalRuralCooperativa de eletrificação ruralNão se aplicaNão se aplicaPonta",Mercado_Receita!$L$2:$L$601)+SUMIF(Mercado_Receita!$S$2:$S$601,"44470B2ConvencionalRuralCooperativa de eletrificação ruralNão se aplicaNão se aplicaFora ponta",Mercado_Receita!$L$2:$L$601)+SUMIF(Mercado_Receita!$S$2:$S$601,"44470B2ConvencionalRuralCooperativa de eletrificação ruralNão se aplicaNão se aplicaIntermediário",Mercado_Receita!$L$2:$L$601)+SUMIF(Mercado_Receita!$S$2:$S$601,"44470B2ConvencionalRuralCooperativa de eletrificação ruralNão se aplicaNão se aplicaNão se aplica",Mercado_Receita!$L$2:$L$601)</f>
        <v>0</v>
      </c>
      <c r="M34" s="12">
        <f>SUMIF(Mercado_Receita!$S$2:$S$601,"44501B2ConvencionalRuralCooperativa de eletrificação ruralNão se aplicaNão se aplicaPonta",Mercado_Receita!$L$2:$L$601)+SUMIF(Mercado_Receita!$S$2:$S$601,"44501B2ConvencionalRuralCooperativa de eletrificação ruralNão se aplicaNão se aplicaFora ponta",Mercado_Receita!$L$2:$L$601)+SUMIF(Mercado_Receita!$S$2:$S$601,"44501B2ConvencionalRuralCooperativa de eletrificação ruralNão se aplicaNão se aplicaIntermediário",Mercado_Receita!$L$2:$L$601)+SUMIF(Mercado_Receita!$S$2:$S$601,"44501B2ConvencionalRuralCooperativa de eletrificação ruralNão se aplicaNão se aplicaNão se aplica",Mercado_Receita!$L$2:$L$601)</f>
        <v>0</v>
      </c>
      <c r="N34" s="12">
        <f>SUMIF(Mercado_Receita!$S$2:$S$601,"44531B2ConvencionalRuralCooperativa de eletrificação ruralNão se aplicaNão se aplicaPonta",Mercado_Receita!$L$2:$L$601)+SUMIF(Mercado_Receita!$S$2:$S$601,"44531B2ConvencionalRuralCooperativa de eletrificação ruralNão se aplicaNão se aplicaFora ponta",Mercado_Receita!$L$2:$L$601)+SUMIF(Mercado_Receita!$S$2:$S$601,"44531B2ConvencionalRuralCooperativa de eletrificação ruralNão se aplicaNão se aplicaIntermediário",Mercado_Receita!$L$2:$L$601)+SUMIF(Mercado_Receita!$S$2:$S$601,"44531B2ConvencionalRuralCooperativa de eletrificação ruralNão se aplicaNão se aplicaNão se aplica",Mercado_Receita!$L$2:$L$601)</f>
        <v>0</v>
      </c>
      <c r="O34" s="12">
        <f>SUMIF(Mercado_Receita!$S$2:$S$601,"44562B2ConvencionalRuralCooperativa de eletrificação ruralNão se aplicaNão se aplicaPonta",Mercado_Receita!$L$2:$L$601)+SUMIF(Mercado_Receita!$S$2:$S$601,"44562B2ConvencionalRuralCooperativa de eletrificação ruralNão se aplicaNão se aplicaFora ponta",Mercado_Receita!$L$2:$L$601)+SUMIF(Mercado_Receita!$S$2:$S$601,"44562B2ConvencionalRuralCooperativa de eletrificação ruralNão se aplicaNão se aplicaIntermediário",Mercado_Receita!$L$2:$L$601)+SUMIF(Mercado_Receita!$S$2:$S$601,"44562B2ConvencionalRuralCooperativa de eletrificação ruralNão se aplicaNão se aplicaNão se aplica",Mercado_Receita!$L$2:$L$601)</f>
        <v>0</v>
      </c>
      <c r="P34" s="12">
        <f>SUMIF(Mercado_Receita!$S$2:$S$601,"44593B2ConvencionalRuralCooperativa de eletrificação ruralNão se aplicaNão se aplicaPonta",Mercado_Receita!$L$2:$L$601)+SUMIF(Mercado_Receita!$S$2:$S$601,"44593B2ConvencionalRuralCooperativa de eletrificação ruralNão se aplicaNão se aplicaFora ponta",Mercado_Receita!$L$2:$L$601)+SUMIF(Mercado_Receita!$S$2:$S$601,"44593B2ConvencionalRuralCooperativa de eletrificação ruralNão se aplicaNão se aplicaIntermediário",Mercado_Receita!$L$2:$L$601)+SUMIF(Mercado_Receita!$S$2:$S$601,"44593B2ConvencionalRuralCooperativa de eletrificação ruralNão se aplicaNão se aplicaNão se aplica",Mercado_Receita!$L$2:$L$601)</f>
        <v>0</v>
      </c>
      <c r="Q34" s="12">
        <f>SUMIF(Mercado_Receita!$S$2:$S$601,"44621B2ConvencionalRuralCooperativa de eletrificação ruralNão se aplicaNão se aplicaPonta",Mercado_Receita!$L$2:$L$601)+SUMIF(Mercado_Receita!$S$2:$S$601,"44621B2ConvencionalRuralCooperativa de eletrificação ruralNão se aplicaNão se aplicaFora ponta",Mercado_Receita!$L$2:$L$601)+SUMIF(Mercado_Receita!$S$2:$S$601,"44621B2ConvencionalRuralCooperativa de eletrificação ruralNão se aplicaNão se aplicaIntermediário",Mercado_Receita!$L$2:$L$601)+SUMIF(Mercado_Receita!$S$2:$S$601,"44621B2ConvencionalRuralCooperativa de eletrificação ruralNão se aplicaNão se aplicaNão se aplica",Mercado_Receita!$L$2:$L$601)</f>
        <v>0</v>
      </c>
      <c r="R34" s="12">
        <f>SUMIF(Mercado_Receita!$S$2:$S$601,"44652B2ConvencionalRuralCooperativa de eletrificação ruralNão se aplicaNão se aplicaPonta",Mercado_Receita!$L$2:$L$601)+SUMIF(Mercado_Receita!$S$2:$S$601,"44652B2ConvencionalRuralCooperativa de eletrificação ruralNão se aplicaNão se aplicaFora ponta",Mercado_Receita!$L$2:$L$601)+SUMIF(Mercado_Receita!$S$2:$S$601,"44652B2ConvencionalRuralCooperativa de eletrificação ruralNão se aplicaNão se aplicaIntermediário",Mercado_Receita!$L$2:$L$601)+SUMIF(Mercado_Receita!$S$2:$S$601,"44652B2ConvencionalRuralCooperativa de eletrificação ruralNão se aplicaNão se aplicaNão se aplica",Mercado_Receita!$L$2:$L$601)</f>
        <v>0</v>
      </c>
      <c r="S34" s="12">
        <f>SUMIF(Mercado_Receita!$S$2:$S$601,"44682B2ConvencionalRuralCooperativa de eletrificação ruralNão se aplicaNão se aplicaPonta",Mercado_Receita!$L$2:$L$601)+SUMIF(Mercado_Receita!$S$2:$S$601,"44682B2ConvencionalRuralCooperativa de eletrificação ruralNão se aplicaNão se aplicaFora ponta",Mercado_Receita!$L$2:$L$601)+SUMIF(Mercado_Receita!$S$2:$S$601,"44682B2ConvencionalRuralCooperativa de eletrificação ruralNão se aplicaNão se aplicaIntermediário",Mercado_Receita!$L$2:$L$601)+SUMIF(Mercado_Receita!$S$2:$S$601,"44682B2ConvencionalRuralCooperativa de eletrificação ruralNão se aplicaNão se aplicaNão se aplica",Mercado_Receita!$L$2:$L$601)</f>
        <v>0</v>
      </c>
      <c r="T34" s="12">
        <f>SUMIF(Mercado_Receita!$S$2:$S$601,"44713B2ConvencionalRuralCooperativa de eletrificação ruralNão se aplicaNão se aplicaPonta",Mercado_Receita!$L$2:$L$601)+SUMIF(Mercado_Receita!$S$2:$S$601,"44713B2ConvencionalRuralCooperativa de eletrificação ruralNão se aplicaNão se aplicaFora ponta",Mercado_Receita!$L$2:$L$601)+SUMIF(Mercado_Receita!$S$2:$S$601,"44713B2ConvencionalRuralCooperativa de eletrificação ruralNão se aplicaNão se aplicaIntermediário",Mercado_Receita!$L$2:$L$601)+SUMIF(Mercado_Receita!$S$2:$S$601,"44713B2ConvencionalRuralCooperativa de eletrificação ruralNão se aplicaNão se aplicaNão se aplica",Mercado_Receita!$L$2:$L$601)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88"/>
      <c r="B35" s="87" t="s">
        <v>85</v>
      </c>
      <c r="C35" s="87" t="s">
        <v>41</v>
      </c>
      <c r="D35" s="87" t="s">
        <v>89</v>
      </c>
      <c r="E35" s="87" t="s">
        <v>25</v>
      </c>
      <c r="F35" s="87" t="s">
        <v>25</v>
      </c>
      <c r="G35" s="12" t="s">
        <v>72</v>
      </c>
      <c r="H35" s="12" t="s">
        <v>71</v>
      </c>
      <c r="I35" s="12">
        <f>SUMIF(Mercado_Receita!$S$2:$S$601,"44378B2BrancaRuralServiço público de irrigação ruralNão se aplicaNão se aplicaPonta",Mercado_Receita!$L$2:$L$601)</f>
        <v>0</v>
      </c>
      <c r="J35" s="12">
        <f>SUMIF(Mercado_Receita!$S$2:$S$601,"44409B2BrancaRuralServiço público de irrigação ruralNão se aplicaNão se aplicaPonta",Mercado_Receita!$L$2:$L$601)</f>
        <v>0</v>
      </c>
      <c r="K35" s="12">
        <f>SUMIF(Mercado_Receita!$S$2:$S$601,"44440B2BrancaRuralServiço público de irrigação ruralNão se aplicaNão se aplicaPonta",Mercado_Receita!$L$2:$L$601)</f>
        <v>0</v>
      </c>
      <c r="L35" s="12">
        <f>SUMIF(Mercado_Receita!$S$2:$S$601,"44470B2BrancaRuralServiço público de irrigação ruralNão se aplicaNão se aplicaPonta",Mercado_Receita!$L$2:$L$601)</f>
        <v>0</v>
      </c>
      <c r="M35" s="12">
        <f>SUMIF(Mercado_Receita!$S$2:$S$601,"44501B2BrancaRuralServiço público de irrigação ruralNão se aplicaNão se aplicaPonta",Mercado_Receita!$L$2:$L$601)</f>
        <v>0</v>
      </c>
      <c r="N35" s="12">
        <f>SUMIF(Mercado_Receita!$S$2:$S$601,"44531B2BrancaRuralServiço público de irrigação ruralNão se aplicaNão se aplicaPonta",Mercado_Receita!$L$2:$L$601)</f>
        <v>0</v>
      </c>
      <c r="O35" s="12">
        <f>SUMIF(Mercado_Receita!$S$2:$S$601,"44562B2BrancaRuralServiço público de irrigação ruralNão se aplicaNão se aplicaPonta",Mercado_Receita!$L$2:$L$601)</f>
        <v>0</v>
      </c>
      <c r="P35" s="12">
        <f>SUMIF(Mercado_Receita!$S$2:$S$601,"44593B2BrancaRuralServiço público de irrigação ruralNão se aplicaNão se aplicaPonta",Mercado_Receita!$L$2:$L$601)</f>
        <v>0</v>
      </c>
      <c r="Q35" s="12">
        <f>SUMIF(Mercado_Receita!$S$2:$S$601,"44621B2BrancaRuralServiço público de irrigação ruralNão se aplicaNão se aplicaPonta",Mercado_Receita!$L$2:$L$601)</f>
        <v>0</v>
      </c>
      <c r="R35" s="12">
        <f>SUMIF(Mercado_Receita!$S$2:$S$601,"44652B2BrancaRuralServiço público de irrigação ruralNão se aplicaNão se aplicaPonta",Mercado_Receita!$L$2:$L$601)</f>
        <v>0</v>
      </c>
      <c r="S35" s="12">
        <f>SUMIF(Mercado_Receita!$S$2:$S$601,"44682B2BrancaRuralServiço público de irrigação ruralNão se aplicaNão se aplicaPonta",Mercado_Receita!$L$2:$L$601)</f>
        <v>0</v>
      </c>
      <c r="T35" s="12">
        <f>SUMIF(Mercado_Receita!$S$2:$S$601,"44713B2BrancaRuralServiço público de irrigação ruralNão se aplicaNão se aplicaPonta",Mercado_Receita!$L$2:$L$601)</f>
        <v>0</v>
      </c>
      <c r="U35" s="12">
        <f t="shared" si="0"/>
        <v>0</v>
      </c>
      <c r="V35" s="12"/>
      <c r="W35" s="12"/>
    </row>
    <row r="36" spans="1:23" ht="11.25" customHeight="1" x14ac:dyDescent="0.25">
      <c r="A36" s="88"/>
      <c r="B36" s="88"/>
      <c r="C36" s="88"/>
      <c r="D36" s="88"/>
      <c r="E36" s="88"/>
      <c r="F36" s="88"/>
      <c r="G36" s="12" t="s">
        <v>83</v>
      </c>
      <c r="H36" s="12" t="s">
        <v>71</v>
      </c>
      <c r="I36" s="12">
        <f>SUMIF(Mercado_Receita!$S$2:$S$601,"44378B2BrancaRuralServiço público de irrigação ruralNão se aplicaNão se aplicaIntermediário",Mercado_Receita!$L$2:$L$601)</f>
        <v>0</v>
      </c>
      <c r="J36" s="12">
        <f>SUMIF(Mercado_Receita!$S$2:$S$601,"44409B2BrancaRuralServiço público de irrigação ruralNão se aplicaNão se aplicaIntermediário",Mercado_Receita!$L$2:$L$601)</f>
        <v>0</v>
      </c>
      <c r="K36" s="12">
        <f>SUMIF(Mercado_Receita!$S$2:$S$601,"44440B2BrancaRuralServiço público de irrigação ruralNão se aplicaNão se aplicaIntermediário",Mercado_Receita!$L$2:$L$601)</f>
        <v>0</v>
      </c>
      <c r="L36" s="12">
        <f>SUMIF(Mercado_Receita!$S$2:$S$601,"44470B2BrancaRuralServiço público de irrigação ruralNão se aplicaNão se aplicaIntermediário",Mercado_Receita!$L$2:$L$601)</f>
        <v>0</v>
      </c>
      <c r="M36" s="12">
        <f>SUMIF(Mercado_Receita!$S$2:$S$601,"44501B2BrancaRuralServiço público de irrigação ruralNão se aplicaNão se aplicaIntermediário",Mercado_Receita!$L$2:$L$601)</f>
        <v>0</v>
      </c>
      <c r="N36" s="12">
        <f>SUMIF(Mercado_Receita!$S$2:$S$601,"44531B2BrancaRuralServiço público de irrigação ruralNão se aplicaNão se aplicaIntermediário",Mercado_Receita!$L$2:$L$601)</f>
        <v>0</v>
      </c>
      <c r="O36" s="12">
        <f>SUMIF(Mercado_Receita!$S$2:$S$601,"44562B2BrancaRuralServiço público de irrigação ruralNão se aplicaNão se aplicaIntermediário",Mercado_Receita!$L$2:$L$601)</f>
        <v>0</v>
      </c>
      <c r="P36" s="12">
        <f>SUMIF(Mercado_Receita!$S$2:$S$601,"44593B2BrancaRuralServiço público de irrigação ruralNão se aplicaNão se aplicaIntermediário",Mercado_Receita!$L$2:$L$601)</f>
        <v>0</v>
      </c>
      <c r="Q36" s="12">
        <f>SUMIF(Mercado_Receita!$S$2:$S$601,"44621B2BrancaRuralServiço público de irrigação ruralNão se aplicaNão se aplicaIntermediário",Mercado_Receita!$L$2:$L$601)</f>
        <v>0</v>
      </c>
      <c r="R36" s="12">
        <f>SUMIF(Mercado_Receita!$S$2:$S$601,"44652B2BrancaRuralServiço público de irrigação ruralNão se aplicaNão se aplicaIntermediário",Mercado_Receita!$L$2:$L$601)</f>
        <v>0</v>
      </c>
      <c r="S36" s="12">
        <f>SUMIF(Mercado_Receita!$S$2:$S$601,"44682B2BrancaRuralServiço público de irrigação ruralNão se aplicaNão se aplicaIntermediário",Mercado_Receita!$L$2:$L$601)</f>
        <v>0</v>
      </c>
      <c r="T36" s="12">
        <f>SUMIF(Mercado_Receita!$S$2:$S$601,"44713B2BrancaRuralServiço público de irrigação ruralNão se aplicaNão se aplicaIntermediário",Mercado_Receita!$L$2:$L$601)</f>
        <v>0</v>
      </c>
      <c r="U36" s="12">
        <f t="shared" si="0"/>
        <v>0</v>
      </c>
      <c r="V36" s="12"/>
      <c r="W36" s="12"/>
    </row>
    <row r="37" spans="1:23" ht="11.25" customHeight="1" x14ac:dyDescent="0.25">
      <c r="A37" s="88"/>
      <c r="B37" s="88"/>
      <c r="C37" s="88"/>
      <c r="D37" s="88"/>
      <c r="E37" s="88"/>
      <c r="F37" s="88"/>
      <c r="G37" s="12" t="s">
        <v>73</v>
      </c>
      <c r="H37" s="12" t="s">
        <v>71</v>
      </c>
      <c r="I37" s="12">
        <f>SUMIF(Mercado_Receita!$S$2:$S$601,"44378B2BrancaRuralServiço público de irrigação ruralNão se aplicaNão se aplicaFora ponta",Mercado_Receita!$L$2:$L$601)</f>
        <v>0</v>
      </c>
      <c r="J37" s="12">
        <f>SUMIF(Mercado_Receita!$S$2:$S$601,"44409B2BrancaRuralServiço público de irrigação ruralNão se aplicaNão se aplicaFora ponta",Mercado_Receita!$L$2:$L$601)</f>
        <v>0</v>
      </c>
      <c r="K37" s="12">
        <f>SUMIF(Mercado_Receita!$S$2:$S$601,"44440B2BrancaRuralServiço público de irrigação ruralNão se aplicaNão se aplicaFora ponta",Mercado_Receita!$L$2:$L$601)</f>
        <v>0</v>
      </c>
      <c r="L37" s="12">
        <f>SUMIF(Mercado_Receita!$S$2:$S$601,"44470B2BrancaRuralServiço público de irrigação ruralNão se aplicaNão se aplicaFora ponta",Mercado_Receita!$L$2:$L$601)</f>
        <v>0</v>
      </c>
      <c r="M37" s="12">
        <f>SUMIF(Mercado_Receita!$S$2:$S$601,"44501B2BrancaRuralServiço público de irrigação ruralNão se aplicaNão se aplicaFora ponta",Mercado_Receita!$L$2:$L$601)</f>
        <v>0</v>
      </c>
      <c r="N37" s="12">
        <f>SUMIF(Mercado_Receita!$S$2:$S$601,"44531B2BrancaRuralServiço público de irrigação ruralNão se aplicaNão se aplicaFora ponta",Mercado_Receita!$L$2:$L$601)</f>
        <v>0</v>
      </c>
      <c r="O37" s="12">
        <f>SUMIF(Mercado_Receita!$S$2:$S$601,"44562B2BrancaRuralServiço público de irrigação ruralNão se aplicaNão se aplicaFora ponta",Mercado_Receita!$L$2:$L$601)</f>
        <v>0</v>
      </c>
      <c r="P37" s="12">
        <f>SUMIF(Mercado_Receita!$S$2:$S$601,"44593B2BrancaRuralServiço público de irrigação ruralNão se aplicaNão se aplicaFora ponta",Mercado_Receita!$L$2:$L$601)</f>
        <v>0</v>
      </c>
      <c r="Q37" s="12">
        <f>SUMIF(Mercado_Receita!$S$2:$S$601,"44621B2BrancaRuralServiço público de irrigação ruralNão se aplicaNão se aplicaFora ponta",Mercado_Receita!$L$2:$L$601)</f>
        <v>0</v>
      </c>
      <c r="R37" s="12">
        <f>SUMIF(Mercado_Receita!$S$2:$S$601,"44652B2BrancaRuralServiço público de irrigação ruralNão se aplicaNão se aplicaFora ponta",Mercado_Receita!$L$2:$L$601)</f>
        <v>0</v>
      </c>
      <c r="S37" s="12">
        <f>SUMIF(Mercado_Receita!$S$2:$S$601,"44682B2BrancaRuralServiço público de irrigação ruralNão se aplicaNão se aplicaFora ponta",Mercado_Receita!$L$2:$L$601)</f>
        <v>0</v>
      </c>
      <c r="T37" s="12">
        <f>SUMIF(Mercado_Receita!$S$2:$S$601,"44713B2BrancaRuralServiço público de irrigação ruralNão se aplicaNão se aplicaFora ponta",Mercado_Receita!$L$2:$L$601)</f>
        <v>0</v>
      </c>
      <c r="U37" s="12">
        <f t="shared" si="0"/>
        <v>0</v>
      </c>
      <c r="V37" s="12"/>
      <c r="W37" s="12"/>
    </row>
    <row r="38" spans="1:23" ht="11.25" customHeight="1" x14ac:dyDescent="0.25">
      <c r="A38" s="88"/>
      <c r="B38" s="13" t="s">
        <v>23</v>
      </c>
      <c r="C38" s="13" t="s">
        <v>41</v>
      </c>
      <c r="D38" s="13" t="s">
        <v>89</v>
      </c>
      <c r="E38" s="13" t="s">
        <v>25</v>
      </c>
      <c r="F38" s="13" t="s">
        <v>25</v>
      </c>
      <c r="G38" s="12" t="s">
        <v>77</v>
      </c>
      <c r="H38" s="12" t="s">
        <v>71</v>
      </c>
      <c r="I38" s="12">
        <f>SUMIF(Mercado_Receita!$S$2:$S$601,"44378B2ConvencionalRuralServiço público de irrigação ruralNão se aplicaNão se aplicaPonta",Mercado_Receita!$L$2:$L$601)+SUMIF(Mercado_Receita!$S$2:$S$601,"44378B2ConvencionalRuralServiço público de irrigação ruralNão se aplicaNão se aplicaFora ponta",Mercado_Receita!$L$2:$L$601)+SUMIF(Mercado_Receita!$S$2:$S$601,"44378B2ConvencionalRuralServiço público de irrigação ruralNão se aplicaNão se aplicaIntermediário",Mercado_Receita!$L$2:$L$601)+SUMIF(Mercado_Receita!$S$2:$S$601,"44378B2ConvencionalRuralServiço público de irrigação ruralNão se aplicaNão se aplicaNão se aplica",Mercado_Receita!$L$2:$L$601)</f>
        <v>0</v>
      </c>
      <c r="J38" s="12">
        <f>SUMIF(Mercado_Receita!$S$2:$S$601,"44409B2ConvencionalRuralServiço público de irrigação ruralNão se aplicaNão se aplicaPonta",Mercado_Receita!$L$2:$L$601)+SUMIF(Mercado_Receita!$S$2:$S$601,"44409B2ConvencionalRuralServiço público de irrigação ruralNão se aplicaNão se aplicaFora ponta",Mercado_Receita!$L$2:$L$601)+SUMIF(Mercado_Receita!$S$2:$S$601,"44409B2ConvencionalRuralServiço público de irrigação ruralNão se aplicaNão se aplicaIntermediário",Mercado_Receita!$L$2:$L$601)+SUMIF(Mercado_Receita!$S$2:$S$601,"44409B2ConvencionalRuralServiço público de irrigação ruralNão se aplicaNão se aplicaNão se aplica",Mercado_Receita!$L$2:$L$601)</f>
        <v>0</v>
      </c>
      <c r="K38" s="12">
        <f>SUMIF(Mercado_Receita!$S$2:$S$601,"44440B2ConvencionalRuralServiço público de irrigação ruralNão se aplicaNão se aplicaPonta",Mercado_Receita!$L$2:$L$601)+SUMIF(Mercado_Receita!$S$2:$S$601,"44440B2ConvencionalRuralServiço público de irrigação ruralNão se aplicaNão se aplicaFora ponta",Mercado_Receita!$L$2:$L$601)+SUMIF(Mercado_Receita!$S$2:$S$601,"44440B2ConvencionalRuralServiço público de irrigação ruralNão se aplicaNão se aplicaIntermediário",Mercado_Receita!$L$2:$L$601)+SUMIF(Mercado_Receita!$S$2:$S$601,"44440B2ConvencionalRuralServiço público de irrigação ruralNão se aplicaNão se aplicaNão se aplica",Mercado_Receita!$L$2:$L$601)</f>
        <v>0</v>
      </c>
      <c r="L38" s="12">
        <f>SUMIF(Mercado_Receita!$S$2:$S$601,"44470B2ConvencionalRuralServiço público de irrigação ruralNão se aplicaNão se aplicaPonta",Mercado_Receita!$L$2:$L$601)+SUMIF(Mercado_Receita!$S$2:$S$601,"44470B2ConvencionalRuralServiço público de irrigação ruralNão se aplicaNão se aplicaFora ponta",Mercado_Receita!$L$2:$L$601)+SUMIF(Mercado_Receita!$S$2:$S$601,"44470B2ConvencionalRuralServiço público de irrigação ruralNão se aplicaNão se aplicaIntermediário",Mercado_Receita!$L$2:$L$601)+SUMIF(Mercado_Receita!$S$2:$S$601,"44470B2ConvencionalRuralServiço público de irrigação ruralNão se aplicaNão se aplicaNão se aplica",Mercado_Receita!$L$2:$L$601)</f>
        <v>0</v>
      </c>
      <c r="M38" s="12">
        <f>SUMIF(Mercado_Receita!$S$2:$S$601,"44501B2ConvencionalRuralServiço público de irrigação ruralNão se aplicaNão se aplicaPonta",Mercado_Receita!$L$2:$L$601)+SUMIF(Mercado_Receita!$S$2:$S$601,"44501B2ConvencionalRuralServiço público de irrigação ruralNão se aplicaNão se aplicaFora ponta",Mercado_Receita!$L$2:$L$601)+SUMIF(Mercado_Receita!$S$2:$S$601,"44501B2ConvencionalRuralServiço público de irrigação ruralNão se aplicaNão se aplicaIntermediário",Mercado_Receita!$L$2:$L$601)+SUMIF(Mercado_Receita!$S$2:$S$601,"44501B2ConvencionalRuralServiço público de irrigação ruralNão se aplicaNão se aplicaNão se aplica",Mercado_Receita!$L$2:$L$601)</f>
        <v>0</v>
      </c>
      <c r="N38" s="12">
        <f>SUMIF(Mercado_Receita!$S$2:$S$601,"44531B2ConvencionalRuralServiço público de irrigação ruralNão se aplicaNão se aplicaPonta",Mercado_Receita!$L$2:$L$601)+SUMIF(Mercado_Receita!$S$2:$S$601,"44531B2ConvencionalRuralServiço público de irrigação ruralNão se aplicaNão se aplicaFora ponta",Mercado_Receita!$L$2:$L$601)+SUMIF(Mercado_Receita!$S$2:$S$601,"44531B2ConvencionalRuralServiço público de irrigação ruralNão se aplicaNão se aplicaIntermediário",Mercado_Receita!$L$2:$L$601)+SUMIF(Mercado_Receita!$S$2:$S$601,"44531B2ConvencionalRuralServiço público de irrigação ruralNão se aplicaNão se aplicaNão se aplica",Mercado_Receita!$L$2:$L$601)</f>
        <v>0</v>
      </c>
      <c r="O38" s="12">
        <f>SUMIF(Mercado_Receita!$S$2:$S$601,"44562B2ConvencionalRuralServiço público de irrigação ruralNão se aplicaNão se aplicaPonta",Mercado_Receita!$L$2:$L$601)+SUMIF(Mercado_Receita!$S$2:$S$601,"44562B2ConvencionalRuralServiço público de irrigação ruralNão se aplicaNão se aplicaFora ponta",Mercado_Receita!$L$2:$L$601)+SUMIF(Mercado_Receita!$S$2:$S$601,"44562B2ConvencionalRuralServiço público de irrigação ruralNão se aplicaNão se aplicaIntermediário",Mercado_Receita!$L$2:$L$601)+SUMIF(Mercado_Receita!$S$2:$S$601,"44562B2ConvencionalRuralServiço público de irrigação ruralNão se aplicaNão se aplicaNão se aplica",Mercado_Receita!$L$2:$L$601)</f>
        <v>0</v>
      </c>
      <c r="P38" s="12">
        <f>SUMIF(Mercado_Receita!$S$2:$S$601,"44593B2ConvencionalRuralServiço público de irrigação ruralNão se aplicaNão se aplicaPonta",Mercado_Receita!$L$2:$L$601)+SUMIF(Mercado_Receita!$S$2:$S$601,"44593B2ConvencionalRuralServiço público de irrigação ruralNão se aplicaNão se aplicaFora ponta",Mercado_Receita!$L$2:$L$601)+SUMIF(Mercado_Receita!$S$2:$S$601,"44593B2ConvencionalRuralServiço público de irrigação ruralNão se aplicaNão se aplicaIntermediário",Mercado_Receita!$L$2:$L$601)+SUMIF(Mercado_Receita!$S$2:$S$601,"44593B2ConvencionalRuralServiço público de irrigação ruralNão se aplicaNão se aplicaNão se aplica",Mercado_Receita!$L$2:$L$601)</f>
        <v>0</v>
      </c>
      <c r="Q38" s="12">
        <f>SUMIF(Mercado_Receita!$S$2:$S$601,"44621B2ConvencionalRuralServiço público de irrigação ruralNão se aplicaNão se aplicaPonta",Mercado_Receita!$L$2:$L$601)+SUMIF(Mercado_Receita!$S$2:$S$601,"44621B2ConvencionalRuralServiço público de irrigação ruralNão se aplicaNão se aplicaFora ponta",Mercado_Receita!$L$2:$L$601)+SUMIF(Mercado_Receita!$S$2:$S$601,"44621B2ConvencionalRuralServiço público de irrigação ruralNão se aplicaNão se aplicaIntermediário",Mercado_Receita!$L$2:$L$601)+SUMIF(Mercado_Receita!$S$2:$S$601,"44621B2ConvencionalRuralServiço público de irrigação ruralNão se aplicaNão se aplicaNão se aplica",Mercado_Receita!$L$2:$L$601)</f>
        <v>0</v>
      </c>
      <c r="R38" s="12">
        <f>SUMIF(Mercado_Receita!$S$2:$S$601,"44652B2ConvencionalRuralServiço público de irrigação ruralNão se aplicaNão se aplicaPonta",Mercado_Receita!$L$2:$L$601)+SUMIF(Mercado_Receita!$S$2:$S$601,"44652B2ConvencionalRuralServiço público de irrigação ruralNão se aplicaNão se aplicaFora ponta",Mercado_Receita!$L$2:$L$601)+SUMIF(Mercado_Receita!$S$2:$S$601,"44652B2ConvencionalRuralServiço público de irrigação ruralNão se aplicaNão se aplicaIntermediário",Mercado_Receita!$L$2:$L$601)+SUMIF(Mercado_Receita!$S$2:$S$601,"44652B2ConvencionalRuralServiço público de irrigação ruralNão se aplicaNão se aplicaNão se aplica",Mercado_Receita!$L$2:$L$601)</f>
        <v>0</v>
      </c>
      <c r="S38" s="12">
        <f>SUMIF(Mercado_Receita!$S$2:$S$601,"44682B2ConvencionalRuralServiço público de irrigação ruralNão se aplicaNão se aplicaPonta",Mercado_Receita!$L$2:$L$601)+SUMIF(Mercado_Receita!$S$2:$S$601,"44682B2ConvencionalRuralServiço público de irrigação ruralNão se aplicaNão se aplicaFora ponta",Mercado_Receita!$L$2:$L$601)+SUMIF(Mercado_Receita!$S$2:$S$601,"44682B2ConvencionalRuralServiço público de irrigação ruralNão se aplicaNão se aplicaIntermediário",Mercado_Receita!$L$2:$L$601)+SUMIF(Mercado_Receita!$S$2:$S$601,"44682B2ConvencionalRuralServiço público de irrigação ruralNão se aplicaNão se aplicaNão se aplica",Mercado_Receita!$L$2:$L$601)</f>
        <v>0</v>
      </c>
      <c r="T38" s="12">
        <f>SUMIF(Mercado_Receita!$S$2:$S$601,"44713B2ConvencionalRuralServiço público de irrigação ruralNão se aplicaNão se aplicaPonta",Mercado_Receita!$L$2:$L$601)+SUMIF(Mercado_Receita!$S$2:$S$601,"44713B2ConvencionalRuralServiço público de irrigação ruralNão se aplicaNão se aplicaFora ponta",Mercado_Receita!$L$2:$L$601)+SUMIF(Mercado_Receita!$S$2:$S$601,"44713B2ConvencionalRuralServiço público de irrigação ruralNão se aplicaNão se aplicaIntermediário",Mercado_Receita!$L$2:$L$601)+SUMIF(Mercado_Receita!$S$2:$S$601,"44713B2ConvencionalRuralServiço público de irrigação ruralNão se aplicaNão se aplicaNão se aplica",Mercado_Receita!$L$2:$L$601)</f>
        <v>0</v>
      </c>
      <c r="U38" s="12">
        <f t="shared" si="0"/>
        <v>0</v>
      </c>
      <c r="V38" s="12"/>
      <c r="W38" s="12"/>
    </row>
    <row r="39" spans="1:23" ht="11.25" customHeight="1" x14ac:dyDescent="0.25">
      <c r="A39" s="88"/>
      <c r="B39" s="87" t="s">
        <v>87</v>
      </c>
      <c r="C39" s="87" t="s">
        <v>41</v>
      </c>
      <c r="D39" s="13" t="s">
        <v>25</v>
      </c>
      <c r="E39" s="13" t="s">
        <v>25</v>
      </c>
      <c r="F39" s="13" t="s">
        <v>25</v>
      </c>
      <c r="G39" s="12" t="s">
        <v>77</v>
      </c>
      <c r="H39" s="12" t="s">
        <v>71</v>
      </c>
      <c r="I39" s="12">
        <f>SUMIF(Mercado_Receita!$S$2:$S$601,"44378B2Convencional pré-pagamentoRuralNão se aplicaNão se aplicaNão se aplicaPonta",Mercado_Receita!$L$2:$L$601)+SUMIF(Mercado_Receita!$S$2:$S$601,"44378B2Convencional pré-pagamentoRuralNão se aplicaNão se aplicaNão se aplicaFora ponta",Mercado_Receita!$L$2:$L$601)+SUMIF(Mercado_Receita!$S$2:$S$601,"44378B2Convencional pré-pagamentoRuralNão se aplicaNão se aplicaNão se aplicaIntermediário",Mercado_Receita!$L$2:$L$601)+SUMIF(Mercado_Receita!$S$2:$S$601,"44378B2Convencional pré-pagamentoRuralNão se aplicaNão se aplicaNão se aplicaNão se aplica",Mercado_Receita!$L$2:$L$601)</f>
        <v>0</v>
      </c>
      <c r="J39" s="12">
        <f>SUMIF(Mercado_Receita!$S$2:$S$601,"44409B2Convencional pré-pagamentoRuralNão se aplicaNão se aplicaNão se aplicaPonta",Mercado_Receita!$L$2:$L$601)+SUMIF(Mercado_Receita!$S$2:$S$601,"44409B2Convencional pré-pagamentoRuralNão se aplicaNão se aplicaNão se aplicaFora ponta",Mercado_Receita!$L$2:$L$601)+SUMIF(Mercado_Receita!$S$2:$S$601,"44409B2Convencional pré-pagamentoRuralNão se aplicaNão se aplicaNão se aplicaIntermediário",Mercado_Receita!$L$2:$L$601)+SUMIF(Mercado_Receita!$S$2:$S$601,"44409B2Convencional pré-pagamentoRuralNão se aplicaNão se aplicaNão se aplicaNão se aplica",Mercado_Receita!$L$2:$L$601)</f>
        <v>0</v>
      </c>
      <c r="K39" s="12">
        <f>SUMIF(Mercado_Receita!$S$2:$S$601,"44440B2Convencional pré-pagamentoRuralNão se aplicaNão se aplicaNão se aplicaPonta",Mercado_Receita!$L$2:$L$601)+SUMIF(Mercado_Receita!$S$2:$S$601,"44440B2Convencional pré-pagamentoRuralNão se aplicaNão se aplicaNão se aplicaFora ponta",Mercado_Receita!$L$2:$L$601)+SUMIF(Mercado_Receita!$S$2:$S$601,"44440B2Convencional pré-pagamentoRuralNão se aplicaNão se aplicaNão se aplicaIntermediário",Mercado_Receita!$L$2:$L$601)+SUMIF(Mercado_Receita!$S$2:$S$601,"44440B2Convencional pré-pagamentoRuralNão se aplicaNão se aplicaNão se aplicaNão se aplica",Mercado_Receita!$L$2:$L$601)</f>
        <v>0</v>
      </c>
      <c r="L39" s="12">
        <f>SUMIF(Mercado_Receita!$S$2:$S$601,"44470B2Convencional pré-pagamentoRuralNão se aplicaNão se aplicaNão se aplicaPonta",Mercado_Receita!$L$2:$L$601)+SUMIF(Mercado_Receita!$S$2:$S$601,"44470B2Convencional pré-pagamentoRuralNão se aplicaNão se aplicaNão se aplicaFora ponta",Mercado_Receita!$L$2:$L$601)+SUMIF(Mercado_Receita!$S$2:$S$601,"44470B2Convencional pré-pagamentoRuralNão se aplicaNão se aplicaNão se aplicaIntermediário",Mercado_Receita!$L$2:$L$601)+SUMIF(Mercado_Receita!$S$2:$S$601,"44470B2Convencional pré-pagamentoRuralNão se aplicaNão se aplicaNão se aplicaNão se aplica",Mercado_Receita!$L$2:$L$601)</f>
        <v>0</v>
      </c>
      <c r="M39" s="12">
        <f>SUMIF(Mercado_Receita!$S$2:$S$601,"44501B2Convencional pré-pagamentoRuralNão se aplicaNão se aplicaNão se aplicaPonta",Mercado_Receita!$L$2:$L$601)+SUMIF(Mercado_Receita!$S$2:$S$601,"44501B2Convencional pré-pagamentoRuralNão se aplicaNão se aplicaNão se aplicaFora ponta",Mercado_Receita!$L$2:$L$601)+SUMIF(Mercado_Receita!$S$2:$S$601,"44501B2Convencional pré-pagamentoRuralNão se aplicaNão se aplicaNão se aplicaIntermediário",Mercado_Receita!$L$2:$L$601)+SUMIF(Mercado_Receita!$S$2:$S$601,"44501B2Convencional pré-pagamentoRuralNão se aplicaNão se aplicaNão se aplicaNão se aplica",Mercado_Receita!$L$2:$L$601)</f>
        <v>0</v>
      </c>
      <c r="N39" s="12">
        <f>SUMIF(Mercado_Receita!$S$2:$S$601,"44531B2Convencional pré-pagamentoRuralNão se aplicaNão se aplicaNão se aplicaPonta",Mercado_Receita!$L$2:$L$601)+SUMIF(Mercado_Receita!$S$2:$S$601,"44531B2Convencional pré-pagamentoRuralNão se aplicaNão se aplicaNão se aplicaFora ponta",Mercado_Receita!$L$2:$L$601)+SUMIF(Mercado_Receita!$S$2:$S$601,"44531B2Convencional pré-pagamentoRuralNão se aplicaNão se aplicaNão se aplicaIntermediário",Mercado_Receita!$L$2:$L$601)+SUMIF(Mercado_Receita!$S$2:$S$601,"44531B2Convencional pré-pagamentoRuralNão se aplicaNão se aplicaNão se aplicaNão se aplica",Mercado_Receita!$L$2:$L$601)</f>
        <v>0</v>
      </c>
      <c r="O39" s="12">
        <f>SUMIF(Mercado_Receita!$S$2:$S$601,"44562B2Convencional pré-pagamentoRuralNão se aplicaNão se aplicaNão se aplicaPonta",Mercado_Receita!$L$2:$L$601)+SUMIF(Mercado_Receita!$S$2:$S$601,"44562B2Convencional pré-pagamentoRuralNão se aplicaNão se aplicaNão se aplicaFora ponta",Mercado_Receita!$L$2:$L$601)+SUMIF(Mercado_Receita!$S$2:$S$601,"44562B2Convencional pré-pagamentoRuralNão se aplicaNão se aplicaNão se aplicaIntermediário",Mercado_Receita!$L$2:$L$601)+SUMIF(Mercado_Receita!$S$2:$S$601,"44562B2Convencional pré-pagamentoRuralNão se aplicaNão se aplicaNão se aplicaNão se aplica",Mercado_Receita!$L$2:$L$601)</f>
        <v>0</v>
      </c>
      <c r="P39" s="12">
        <f>SUMIF(Mercado_Receita!$S$2:$S$601,"44593B2Convencional pré-pagamentoRuralNão se aplicaNão se aplicaNão se aplicaPonta",Mercado_Receita!$L$2:$L$601)+SUMIF(Mercado_Receita!$S$2:$S$601,"44593B2Convencional pré-pagamentoRuralNão se aplicaNão se aplicaNão se aplicaFora ponta",Mercado_Receita!$L$2:$L$601)+SUMIF(Mercado_Receita!$S$2:$S$601,"44593B2Convencional pré-pagamentoRuralNão se aplicaNão se aplicaNão se aplicaIntermediário",Mercado_Receita!$L$2:$L$601)+SUMIF(Mercado_Receita!$S$2:$S$601,"44593B2Convencional pré-pagamentoRuralNão se aplicaNão se aplicaNão se aplicaNão se aplica",Mercado_Receita!$L$2:$L$601)</f>
        <v>0</v>
      </c>
      <c r="Q39" s="12">
        <f>SUMIF(Mercado_Receita!$S$2:$S$601,"44621B2Convencional pré-pagamentoRuralNão se aplicaNão se aplicaNão se aplicaPonta",Mercado_Receita!$L$2:$L$601)+SUMIF(Mercado_Receita!$S$2:$S$601,"44621B2Convencional pré-pagamentoRuralNão se aplicaNão se aplicaNão se aplicaFora ponta",Mercado_Receita!$L$2:$L$601)+SUMIF(Mercado_Receita!$S$2:$S$601,"44621B2Convencional pré-pagamentoRuralNão se aplicaNão se aplicaNão se aplicaIntermediário",Mercado_Receita!$L$2:$L$601)+SUMIF(Mercado_Receita!$S$2:$S$601,"44621B2Convencional pré-pagamentoRuralNão se aplicaNão se aplicaNão se aplicaNão se aplica",Mercado_Receita!$L$2:$L$601)</f>
        <v>0</v>
      </c>
      <c r="R39" s="12">
        <f>SUMIF(Mercado_Receita!$S$2:$S$601,"44652B2Convencional pré-pagamentoRuralNão se aplicaNão se aplicaNão se aplicaPonta",Mercado_Receita!$L$2:$L$601)+SUMIF(Mercado_Receita!$S$2:$S$601,"44652B2Convencional pré-pagamentoRuralNão se aplicaNão se aplicaNão se aplicaFora ponta",Mercado_Receita!$L$2:$L$601)+SUMIF(Mercado_Receita!$S$2:$S$601,"44652B2Convencional pré-pagamentoRuralNão se aplicaNão se aplicaNão se aplicaIntermediário",Mercado_Receita!$L$2:$L$601)+SUMIF(Mercado_Receita!$S$2:$S$601,"44652B2Convencional pré-pagamentoRuralNão se aplicaNão se aplicaNão se aplicaNão se aplica",Mercado_Receita!$L$2:$L$601)</f>
        <v>0</v>
      </c>
      <c r="S39" s="12">
        <f>SUMIF(Mercado_Receita!$S$2:$S$601,"44682B2Convencional pré-pagamentoRuralNão se aplicaNão se aplicaNão se aplicaPonta",Mercado_Receita!$L$2:$L$601)+SUMIF(Mercado_Receita!$S$2:$S$601,"44682B2Convencional pré-pagamentoRuralNão se aplicaNão se aplicaNão se aplicaFora ponta",Mercado_Receita!$L$2:$L$601)+SUMIF(Mercado_Receita!$S$2:$S$601,"44682B2Convencional pré-pagamentoRuralNão se aplicaNão se aplicaNão se aplicaIntermediário",Mercado_Receita!$L$2:$L$601)+SUMIF(Mercado_Receita!$S$2:$S$601,"44682B2Convencional pré-pagamentoRuralNão se aplicaNão se aplicaNão se aplicaNão se aplica",Mercado_Receita!$L$2:$L$601)</f>
        <v>0</v>
      </c>
      <c r="T39" s="12">
        <f>SUMIF(Mercado_Receita!$S$2:$S$601,"44713B2Convencional pré-pagamentoRuralNão se aplicaNão se aplicaNão se aplicaPonta",Mercado_Receita!$L$2:$L$601)+SUMIF(Mercado_Receita!$S$2:$S$601,"44713B2Convencional pré-pagamentoRuralNão se aplicaNão se aplicaNão se aplicaFora ponta",Mercado_Receita!$L$2:$L$601)+SUMIF(Mercado_Receita!$S$2:$S$601,"44713B2Convencional pré-pagamentoRuralNão se aplicaNão se aplicaNão se aplicaIntermediário",Mercado_Receita!$L$2:$L$601)+SUMIF(Mercado_Receita!$S$2:$S$601,"44713B2Convencional pré-pagamentoRuralNão se aplicaNão se aplicaNão se aplicaNão se aplica",Mercado_Receita!$L$2:$L$601)</f>
        <v>0</v>
      </c>
      <c r="U39" s="12">
        <f t="shared" si="0"/>
        <v>0</v>
      </c>
      <c r="V39" s="12"/>
      <c r="W39" s="12"/>
    </row>
    <row r="40" spans="1:23" ht="11.25" customHeight="1" x14ac:dyDescent="0.25">
      <c r="A40" s="88"/>
      <c r="B40" s="88"/>
      <c r="C40" s="88"/>
      <c r="D40" s="13" t="s">
        <v>88</v>
      </c>
      <c r="E40" s="13" t="s">
        <v>25</v>
      </c>
      <c r="F40" s="13" t="s">
        <v>25</v>
      </c>
      <c r="G40" s="12" t="s">
        <v>77</v>
      </c>
      <c r="H40" s="12" t="s">
        <v>71</v>
      </c>
      <c r="I40" s="12">
        <f>SUMIF(Mercado_Receita!$S$2:$S$601,"44378B2Convencional pré-pagamentoRuralCooperativa de eletrificação ruralNão se aplicaNão se aplicaPonta",Mercado_Receita!$L$2:$L$601)+SUMIF(Mercado_Receita!$S$2:$S$601,"44378B2Convencional pré-pagamentoRuralCooperativa de eletrificação ruralNão se aplicaNão se aplicaFora ponta",Mercado_Receita!$L$2:$L$601)+SUMIF(Mercado_Receita!$S$2:$S$601,"44378B2Convencional pré-pagamentoRuralCooperativa de eletrificação ruralNão se aplicaNão se aplicaIntermediário",Mercado_Receita!$L$2:$L$601)+SUMIF(Mercado_Receita!$S$2:$S$601,"44378B2Convencional pré-pagamentoRuralCooperativa de eletrificação ruralNão se aplicaNão se aplicaNão se aplica",Mercado_Receita!$L$2:$L$601)</f>
        <v>0</v>
      </c>
      <c r="J40" s="12">
        <f>SUMIF(Mercado_Receita!$S$2:$S$601,"44409B2Convencional pré-pagamentoRuralCooperativa de eletrificação ruralNão se aplicaNão se aplicaPonta",Mercado_Receita!$L$2:$L$601)+SUMIF(Mercado_Receita!$S$2:$S$601,"44409B2Convencional pré-pagamentoRuralCooperativa de eletrificação ruralNão se aplicaNão se aplicaFora ponta",Mercado_Receita!$L$2:$L$601)+SUMIF(Mercado_Receita!$S$2:$S$601,"44409B2Convencional pré-pagamentoRuralCooperativa de eletrificação ruralNão se aplicaNão se aplicaIntermediário",Mercado_Receita!$L$2:$L$601)+SUMIF(Mercado_Receita!$S$2:$S$601,"44409B2Convencional pré-pagamentoRuralCooperativa de eletrificação ruralNão se aplicaNão se aplicaNão se aplica",Mercado_Receita!$L$2:$L$601)</f>
        <v>0</v>
      </c>
      <c r="K40" s="12">
        <f>SUMIF(Mercado_Receita!$S$2:$S$601,"44440B2Convencional pré-pagamentoRuralCooperativa de eletrificação ruralNão se aplicaNão se aplicaPonta",Mercado_Receita!$L$2:$L$601)+SUMIF(Mercado_Receita!$S$2:$S$601,"44440B2Convencional pré-pagamentoRuralCooperativa de eletrificação ruralNão se aplicaNão se aplicaFora ponta",Mercado_Receita!$L$2:$L$601)+SUMIF(Mercado_Receita!$S$2:$S$601,"44440B2Convencional pré-pagamentoRuralCooperativa de eletrificação ruralNão se aplicaNão se aplicaIntermediário",Mercado_Receita!$L$2:$L$601)+SUMIF(Mercado_Receita!$S$2:$S$601,"44440B2Convencional pré-pagamentoRuralCooperativa de eletrificação ruralNão se aplicaNão se aplicaNão se aplica",Mercado_Receita!$L$2:$L$601)</f>
        <v>0</v>
      </c>
      <c r="L40" s="12">
        <f>SUMIF(Mercado_Receita!$S$2:$S$601,"44470B2Convencional pré-pagamentoRuralCooperativa de eletrificação ruralNão se aplicaNão se aplicaPonta",Mercado_Receita!$L$2:$L$601)+SUMIF(Mercado_Receita!$S$2:$S$601,"44470B2Convencional pré-pagamentoRuralCooperativa de eletrificação ruralNão se aplicaNão se aplicaFora ponta",Mercado_Receita!$L$2:$L$601)+SUMIF(Mercado_Receita!$S$2:$S$601,"44470B2Convencional pré-pagamentoRuralCooperativa de eletrificação ruralNão se aplicaNão se aplicaIntermediário",Mercado_Receita!$L$2:$L$601)+SUMIF(Mercado_Receita!$S$2:$S$601,"44470B2Convencional pré-pagamentoRuralCooperativa de eletrificação ruralNão se aplicaNão se aplicaNão se aplica",Mercado_Receita!$L$2:$L$601)</f>
        <v>0</v>
      </c>
      <c r="M40" s="12">
        <f>SUMIF(Mercado_Receita!$S$2:$S$601,"44501B2Convencional pré-pagamentoRuralCooperativa de eletrificação ruralNão se aplicaNão se aplicaPonta",Mercado_Receita!$L$2:$L$601)+SUMIF(Mercado_Receita!$S$2:$S$601,"44501B2Convencional pré-pagamentoRuralCooperativa de eletrificação ruralNão se aplicaNão se aplicaFora ponta",Mercado_Receita!$L$2:$L$601)+SUMIF(Mercado_Receita!$S$2:$S$601,"44501B2Convencional pré-pagamentoRuralCooperativa de eletrificação ruralNão se aplicaNão se aplicaIntermediário",Mercado_Receita!$L$2:$L$601)+SUMIF(Mercado_Receita!$S$2:$S$601,"44501B2Convencional pré-pagamentoRuralCooperativa de eletrificação ruralNão se aplicaNão se aplicaNão se aplica",Mercado_Receita!$L$2:$L$601)</f>
        <v>0</v>
      </c>
      <c r="N40" s="12">
        <f>SUMIF(Mercado_Receita!$S$2:$S$601,"44531B2Convencional pré-pagamentoRuralCooperativa de eletrificação ruralNão se aplicaNão se aplicaPonta",Mercado_Receita!$L$2:$L$601)+SUMIF(Mercado_Receita!$S$2:$S$601,"44531B2Convencional pré-pagamentoRuralCooperativa de eletrificação ruralNão se aplicaNão se aplicaFora ponta",Mercado_Receita!$L$2:$L$601)+SUMIF(Mercado_Receita!$S$2:$S$601,"44531B2Convencional pré-pagamentoRuralCooperativa de eletrificação ruralNão se aplicaNão se aplicaIntermediário",Mercado_Receita!$L$2:$L$601)+SUMIF(Mercado_Receita!$S$2:$S$601,"44531B2Convencional pré-pagamentoRuralCooperativa de eletrificação ruralNão se aplicaNão se aplicaNão se aplica",Mercado_Receita!$L$2:$L$601)</f>
        <v>0</v>
      </c>
      <c r="O40" s="12">
        <f>SUMIF(Mercado_Receita!$S$2:$S$601,"44562B2Convencional pré-pagamentoRuralCooperativa de eletrificação ruralNão se aplicaNão se aplicaPonta",Mercado_Receita!$L$2:$L$601)+SUMIF(Mercado_Receita!$S$2:$S$601,"44562B2Convencional pré-pagamentoRuralCooperativa de eletrificação ruralNão se aplicaNão se aplicaFora ponta",Mercado_Receita!$L$2:$L$601)+SUMIF(Mercado_Receita!$S$2:$S$601,"44562B2Convencional pré-pagamentoRuralCooperativa de eletrificação ruralNão se aplicaNão se aplicaIntermediário",Mercado_Receita!$L$2:$L$601)+SUMIF(Mercado_Receita!$S$2:$S$601,"44562B2Convencional pré-pagamentoRuralCooperativa de eletrificação ruralNão se aplicaNão se aplicaNão se aplica",Mercado_Receita!$L$2:$L$601)</f>
        <v>0</v>
      </c>
      <c r="P40" s="12">
        <f>SUMIF(Mercado_Receita!$S$2:$S$601,"44593B2Convencional pré-pagamentoRuralCooperativa de eletrificação ruralNão se aplicaNão se aplicaPonta",Mercado_Receita!$L$2:$L$601)+SUMIF(Mercado_Receita!$S$2:$S$601,"44593B2Convencional pré-pagamentoRuralCooperativa de eletrificação ruralNão se aplicaNão se aplicaFora ponta",Mercado_Receita!$L$2:$L$601)+SUMIF(Mercado_Receita!$S$2:$S$601,"44593B2Convencional pré-pagamentoRuralCooperativa de eletrificação ruralNão se aplicaNão se aplicaIntermediário",Mercado_Receita!$L$2:$L$601)+SUMIF(Mercado_Receita!$S$2:$S$601,"44593B2Convencional pré-pagamentoRuralCooperativa de eletrificação ruralNão se aplicaNão se aplicaNão se aplica",Mercado_Receita!$L$2:$L$601)</f>
        <v>0</v>
      </c>
      <c r="Q40" s="12">
        <f>SUMIF(Mercado_Receita!$S$2:$S$601,"44621B2Convencional pré-pagamentoRuralCooperativa de eletrificação ruralNão se aplicaNão se aplicaPonta",Mercado_Receita!$L$2:$L$601)+SUMIF(Mercado_Receita!$S$2:$S$601,"44621B2Convencional pré-pagamentoRuralCooperativa de eletrificação ruralNão se aplicaNão se aplicaFora ponta",Mercado_Receita!$L$2:$L$601)+SUMIF(Mercado_Receita!$S$2:$S$601,"44621B2Convencional pré-pagamentoRuralCooperativa de eletrificação ruralNão se aplicaNão se aplicaIntermediário",Mercado_Receita!$L$2:$L$601)+SUMIF(Mercado_Receita!$S$2:$S$601,"44621B2Convencional pré-pagamentoRuralCooperativa de eletrificação ruralNão se aplicaNão se aplicaNão se aplica",Mercado_Receita!$L$2:$L$601)</f>
        <v>0</v>
      </c>
      <c r="R40" s="12">
        <f>SUMIF(Mercado_Receita!$S$2:$S$601,"44652B2Convencional pré-pagamentoRuralCooperativa de eletrificação ruralNão se aplicaNão se aplicaPonta",Mercado_Receita!$L$2:$L$601)+SUMIF(Mercado_Receita!$S$2:$S$601,"44652B2Convencional pré-pagamentoRuralCooperativa de eletrificação ruralNão se aplicaNão se aplicaFora ponta",Mercado_Receita!$L$2:$L$601)+SUMIF(Mercado_Receita!$S$2:$S$601,"44652B2Convencional pré-pagamentoRuralCooperativa de eletrificação ruralNão se aplicaNão se aplicaIntermediário",Mercado_Receita!$L$2:$L$601)+SUMIF(Mercado_Receita!$S$2:$S$601,"44652B2Convencional pré-pagamentoRuralCooperativa de eletrificação ruralNão se aplicaNão se aplicaNão se aplica",Mercado_Receita!$L$2:$L$601)</f>
        <v>0</v>
      </c>
      <c r="S40" s="12">
        <f>SUMIF(Mercado_Receita!$S$2:$S$601,"44682B2Convencional pré-pagamentoRuralCooperativa de eletrificação ruralNão se aplicaNão se aplicaPonta",Mercado_Receita!$L$2:$L$601)+SUMIF(Mercado_Receita!$S$2:$S$601,"44682B2Convencional pré-pagamentoRuralCooperativa de eletrificação ruralNão se aplicaNão se aplicaFora ponta",Mercado_Receita!$L$2:$L$601)+SUMIF(Mercado_Receita!$S$2:$S$601,"44682B2Convencional pré-pagamentoRuralCooperativa de eletrificação ruralNão se aplicaNão se aplicaIntermediário",Mercado_Receita!$L$2:$L$601)+SUMIF(Mercado_Receita!$S$2:$S$601,"44682B2Convencional pré-pagamentoRuralCooperativa de eletrificação ruralNão se aplicaNão se aplicaNão se aplica",Mercado_Receita!$L$2:$L$601)</f>
        <v>0</v>
      </c>
      <c r="T40" s="12">
        <f>SUMIF(Mercado_Receita!$S$2:$S$601,"44713B2Convencional pré-pagamentoRuralCooperativa de eletrificação ruralNão se aplicaNão se aplicaPonta",Mercado_Receita!$L$2:$L$601)+SUMIF(Mercado_Receita!$S$2:$S$601,"44713B2Convencional pré-pagamentoRuralCooperativa de eletrificação ruralNão se aplicaNão se aplicaFora ponta",Mercado_Receita!$L$2:$L$601)+SUMIF(Mercado_Receita!$S$2:$S$601,"44713B2Convencional pré-pagamentoRuralCooperativa de eletrificação ruralNão se aplicaNão se aplicaIntermediário",Mercado_Receita!$L$2:$L$601)+SUMIF(Mercado_Receita!$S$2:$S$601,"44713B2Convencional pré-pagamentoRuralCooperativa de eletrificação ruralNão se aplicaNão se aplicaNão se aplica",Mercado_Receita!$L$2:$L$601)</f>
        <v>0</v>
      </c>
      <c r="U40" s="12">
        <f t="shared" si="0"/>
        <v>0</v>
      </c>
      <c r="V40" s="12"/>
      <c r="W40" s="12"/>
    </row>
    <row r="41" spans="1:23" ht="11.25" customHeight="1" x14ac:dyDescent="0.25">
      <c r="A41" s="88"/>
      <c r="B41" s="88"/>
      <c r="C41" s="88"/>
      <c r="D41" s="13" t="s">
        <v>89</v>
      </c>
      <c r="E41" s="13" t="s">
        <v>25</v>
      </c>
      <c r="F41" s="13" t="s">
        <v>25</v>
      </c>
      <c r="G41" s="12" t="s">
        <v>77</v>
      </c>
      <c r="H41" s="12" t="s">
        <v>71</v>
      </c>
      <c r="I41" s="12">
        <f>SUMIF(Mercado_Receita!$S$2:$S$601,"44378B2Convencional pré-pagamentoRuralServiço público de irrigação ruralNão se aplicaNão se aplicaPonta",Mercado_Receita!$L$2:$L$601)+SUMIF(Mercado_Receita!$S$2:$S$601,"44378B2Convencional pré-pagamentoRuralServiço público de irrigação ruralNão se aplicaNão se aplicaFora ponta",Mercado_Receita!$L$2:$L$601)+SUMIF(Mercado_Receita!$S$2:$S$601,"44378B2Convencional pré-pagamentoRuralServiço público de irrigação ruralNão se aplicaNão se aplicaIntermediário",Mercado_Receita!$L$2:$L$601)+SUMIF(Mercado_Receita!$S$2:$S$601,"44378B2Convencional pré-pagamentoRuralServiço público de irrigação ruralNão se aplicaNão se aplicaNão se aplica",Mercado_Receita!$L$2:$L$601)</f>
        <v>0</v>
      </c>
      <c r="J41" s="12">
        <f>SUMIF(Mercado_Receita!$S$2:$S$601,"44409B2Convencional pré-pagamentoRuralServiço público de irrigação ruralNão se aplicaNão se aplicaPonta",Mercado_Receita!$L$2:$L$601)+SUMIF(Mercado_Receita!$S$2:$S$601,"44409B2Convencional pré-pagamentoRuralServiço público de irrigação ruralNão se aplicaNão se aplicaFora ponta",Mercado_Receita!$L$2:$L$601)+SUMIF(Mercado_Receita!$S$2:$S$601,"44409B2Convencional pré-pagamentoRuralServiço público de irrigação ruralNão se aplicaNão se aplicaIntermediário",Mercado_Receita!$L$2:$L$601)+SUMIF(Mercado_Receita!$S$2:$S$601,"44409B2Convencional pré-pagamentoRuralServiço público de irrigação ruralNão se aplicaNão se aplicaNão se aplica",Mercado_Receita!$L$2:$L$601)</f>
        <v>0</v>
      </c>
      <c r="K41" s="12">
        <f>SUMIF(Mercado_Receita!$S$2:$S$601,"44440B2Convencional pré-pagamentoRuralServiço público de irrigação ruralNão se aplicaNão se aplicaPonta",Mercado_Receita!$L$2:$L$601)+SUMIF(Mercado_Receita!$S$2:$S$601,"44440B2Convencional pré-pagamentoRuralServiço público de irrigação ruralNão se aplicaNão se aplicaFora ponta",Mercado_Receita!$L$2:$L$601)+SUMIF(Mercado_Receita!$S$2:$S$601,"44440B2Convencional pré-pagamentoRuralServiço público de irrigação ruralNão se aplicaNão se aplicaIntermediário",Mercado_Receita!$L$2:$L$601)+SUMIF(Mercado_Receita!$S$2:$S$601,"44440B2Convencional pré-pagamentoRuralServiço público de irrigação ruralNão se aplicaNão se aplicaNão se aplica",Mercado_Receita!$L$2:$L$601)</f>
        <v>0</v>
      </c>
      <c r="L41" s="12">
        <f>SUMIF(Mercado_Receita!$S$2:$S$601,"44470B2Convencional pré-pagamentoRuralServiço público de irrigação ruralNão se aplicaNão se aplicaPonta",Mercado_Receita!$L$2:$L$601)+SUMIF(Mercado_Receita!$S$2:$S$601,"44470B2Convencional pré-pagamentoRuralServiço público de irrigação ruralNão se aplicaNão se aplicaFora ponta",Mercado_Receita!$L$2:$L$601)+SUMIF(Mercado_Receita!$S$2:$S$601,"44470B2Convencional pré-pagamentoRuralServiço público de irrigação ruralNão se aplicaNão se aplicaIntermediário",Mercado_Receita!$L$2:$L$601)+SUMIF(Mercado_Receita!$S$2:$S$601,"44470B2Convencional pré-pagamentoRuralServiço público de irrigação ruralNão se aplicaNão se aplicaNão se aplica",Mercado_Receita!$L$2:$L$601)</f>
        <v>0</v>
      </c>
      <c r="M41" s="12">
        <f>SUMIF(Mercado_Receita!$S$2:$S$601,"44501B2Convencional pré-pagamentoRuralServiço público de irrigação ruralNão se aplicaNão se aplicaPonta",Mercado_Receita!$L$2:$L$601)+SUMIF(Mercado_Receita!$S$2:$S$601,"44501B2Convencional pré-pagamentoRuralServiço público de irrigação ruralNão se aplicaNão se aplicaFora ponta",Mercado_Receita!$L$2:$L$601)+SUMIF(Mercado_Receita!$S$2:$S$601,"44501B2Convencional pré-pagamentoRuralServiço público de irrigação ruralNão se aplicaNão se aplicaIntermediário",Mercado_Receita!$L$2:$L$601)+SUMIF(Mercado_Receita!$S$2:$S$601,"44501B2Convencional pré-pagamentoRuralServiço público de irrigação ruralNão se aplicaNão se aplicaNão se aplica",Mercado_Receita!$L$2:$L$601)</f>
        <v>0</v>
      </c>
      <c r="N41" s="12">
        <f>SUMIF(Mercado_Receita!$S$2:$S$601,"44531B2Convencional pré-pagamentoRuralServiço público de irrigação ruralNão se aplicaNão se aplicaPonta",Mercado_Receita!$L$2:$L$601)+SUMIF(Mercado_Receita!$S$2:$S$601,"44531B2Convencional pré-pagamentoRuralServiço público de irrigação ruralNão se aplicaNão se aplicaFora ponta",Mercado_Receita!$L$2:$L$601)+SUMIF(Mercado_Receita!$S$2:$S$601,"44531B2Convencional pré-pagamentoRuralServiço público de irrigação ruralNão se aplicaNão se aplicaIntermediário",Mercado_Receita!$L$2:$L$601)+SUMIF(Mercado_Receita!$S$2:$S$601,"44531B2Convencional pré-pagamentoRuralServiço público de irrigação ruralNão se aplicaNão se aplicaNão se aplica",Mercado_Receita!$L$2:$L$601)</f>
        <v>0</v>
      </c>
      <c r="O41" s="12">
        <f>SUMIF(Mercado_Receita!$S$2:$S$601,"44562B2Convencional pré-pagamentoRuralServiço público de irrigação ruralNão se aplicaNão se aplicaPonta",Mercado_Receita!$L$2:$L$601)+SUMIF(Mercado_Receita!$S$2:$S$601,"44562B2Convencional pré-pagamentoRuralServiço público de irrigação ruralNão se aplicaNão se aplicaFora ponta",Mercado_Receita!$L$2:$L$601)+SUMIF(Mercado_Receita!$S$2:$S$601,"44562B2Convencional pré-pagamentoRuralServiço público de irrigação ruralNão se aplicaNão se aplicaIntermediário",Mercado_Receita!$L$2:$L$601)+SUMIF(Mercado_Receita!$S$2:$S$601,"44562B2Convencional pré-pagamentoRuralServiço público de irrigação ruralNão se aplicaNão se aplicaNão se aplica",Mercado_Receita!$L$2:$L$601)</f>
        <v>0</v>
      </c>
      <c r="P41" s="12">
        <f>SUMIF(Mercado_Receita!$S$2:$S$601,"44593B2Convencional pré-pagamentoRuralServiço público de irrigação ruralNão se aplicaNão se aplicaPonta",Mercado_Receita!$L$2:$L$601)+SUMIF(Mercado_Receita!$S$2:$S$601,"44593B2Convencional pré-pagamentoRuralServiço público de irrigação ruralNão se aplicaNão se aplicaFora ponta",Mercado_Receita!$L$2:$L$601)+SUMIF(Mercado_Receita!$S$2:$S$601,"44593B2Convencional pré-pagamentoRuralServiço público de irrigação ruralNão se aplicaNão se aplicaIntermediário",Mercado_Receita!$L$2:$L$601)+SUMIF(Mercado_Receita!$S$2:$S$601,"44593B2Convencional pré-pagamentoRuralServiço público de irrigação ruralNão se aplicaNão se aplicaNão se aplica",Mercado_Receita!$L$2:$L$601)</f>
        <v>0</v>
      </c>
      <c r="Q41" s="12">
        <f>SUMIF(Mercado_Receita!$S$2:$S$601,"44621B2Convencional pré-pagamentoRuralServiço público de irrigação ruralNão se aplicaNão se aplicaPonta",Mercado_Receita!$L$2:$L$601)+SUMIF(Mercado_Receita!$S$2:$S$601,"44621B2Convencional pré-pagamentoRuralServiço público de irrigação ruralNão se aplicaNão se aplicaFora ponta",Mercado_Receita!$L$2:$L$601)+SUMIF(Mercado_Receita!$S$2:$S$601,"44621B2Convencional pré-pagamentoRuralServiço público de irrigação ruralNão se aplicaNão se aplicaIntermediário",Mercado_Receita!$L$2:$L$601)+SUMIF(Mercado_Receita!$S$2:$S$601,"44621B2Convencional pré-pagamentoRuralServiço público de irrigação ruralNão se aplicaNão se aplicaNão se aplica",Mercado_Receita!$L$2:$L$601)</f>
        <v>0</v>
      </c>
      <c r="R41" s="12">
        <f>SUMIF(Mercado_Receita!$S$2:$S$601,"44652B2Convencional pré-pagamentoRuralServiço público de irrigação ruralNão se aplicaNão se aplicaPonta",Mercado_Receita!$L$2:$L$601)+SUMIF(Mercado_Receita!$S$2:$S$601,"44652B2Convencional pré-pagamentoRuralServiço público de irrigação ruralNão se aplicaNão se aplicaFora ponta",Mercado_Receita!$L$2:$L$601)+SUMIF(Mercado_Receita!$S$2:$S$601,"44652B2Convencional pré-pagamentoRuralServiço público de irrigação ruralNão se aplicaNão se aplicaIntermediário",Mercado_Receita!$L$2:$L$601)+SUMIF(Mercado_Receita!$S$2:$S$601,"44652B2Convencional pré-pagamentoRuralServiço público de irrigação ruralNão se aplicaNão se aplicaNão se aplica",Mercado_Receita!$L$2:$L$601)</f>
        <v>0</v>
      </c>
      <c r="S41" s="12">
        <f>SUMIF(Mercado_Receita!$S$2:$S$601,"44682B2Convencional pré-pagamentoRuralServiço público de irrigação ruralNão se aplicaNão se aplicaPonta",Mercado_Receita!$L$2:$L$601)+SUMIF(Mercado_Receita!$S$2:$S$601,"44682B2Convencional pré-pagamentoRuralServiço público de irrigação ruralNão se aplicaNão se aplicaFora ponta",Mercado_Receita!$L$2:$L$601)+SUMIF(Mercado_Receita!$S$2:$S$601,"44682B2Convencional pré-pagamentoRuralServiço público de irrigação ruralNão se aplicaNão se aplicaIntermediário",Mercado_Receita!$L$2:$L$601)+SUMIF(Mercado_Receita!$S$2:$S$601,"44682B2Convencional pré-pagamentoRuralServiço público de irrigação ruralNão se aplicaNão se aplicaNão se aplica",Mercado_Receita!$L$2:$L$601)</f>
        <v>0</v>
      </c>
      <c r="T41" s="12">
        <f>SUMIF(Mercado_Receita!$S$2:$S$601,"44713B2Convencional pré-pagamentoRuralServiço público de irrigação ruralNão se aplicaNão se aplicaPonta",Mercado_Receita!$L$2:$L$601)+SUMIF(Mercado_Receita!$S$2:$S$601,"44713B2Convencional pré-pagamentoRuralServiço público de irrigação ruralNão se aplicaNão se aplicaFora ponta",Mercado_Receita!$L$2:$L$601)+SUMIF(Mercado_Receita!$S$2:$S$601,"44713B2Convencional pré-pagamentoRuralServiço público de irrigação ruralNão se aplicaNão se aplicaIntermediário",Mercado_Receita!$L$2:$L$601)+SUMIF(Mercado_Receita!$S$2:$S$601,"44713B2Convencional pré-pagamentoRuralServiço público de irrigação ruralNão se aplicaNão se aplicaNão se aplica",Mercado_Receita!$L$2:$L$601)</f>
        <v>0</v>
      </c>
      <c r="U41" s="12">
        <f t="shared" si="0"/>
        <v>0</v>
      </c>
      <c r="V41" s="12"/>
      <c r="W41" s="12"/>
    </row>
    <row r="42" spans="1:23" ht="11.25" customHeight="1" x14ac:dyDescent="0.25">
      <c r="A42" s="87" t="s">
        <v>33</v>
      </c>
      <c r="B42" s="87" t="s">
        <v>85</v>
      </c>
      <c r="C42" s="87" t="s">
        <v>25</v>
      </c>
      <c r="D42" s="87" t="s">
        <v>25</v>
      </c>
      <c r="E42" s="87" t="s">
        <v>25</v>
      </c>
      <c r="F42" s="87" t="s">
        <v>25</v>
      </c>
      <c r="G42" s="12" t="s">
        <v>72</v>
      </c>
      <c r="H42" s="12" t="s">
        <v>71</v>
      </c>
      <c r="I42" s="12">
        <f>SUMIF(Mercado_Receita!$S$2:$S$601,"44378B3BrancaNão se aplicaNão se aplicaNão se aplicaNão se aplicaPonta",Mercado_Receita!$L$2:$L$601)</f>
        <v>0</v>
      </c>
      <c r="J42" s="12">
        <f>SUMIF(Mercado_Receita!$S$2:$S$601,"44409B3BrancaNão se aplicaNão se aplicaNão se aplicaNão se aplicaPonta",Mercado_Receita!$L$2:$L$601)</f>
        <v>0</v>
      </c>
      <c r="K42" s="12">
        <f>SUMIF(Mercado_Receita!$S$2:$S$601,"44440B3BrancaNão se aplicaNão se aplicaNão se aplicaNão se aplicaPonta",Mercado_Receita!$L$2:$L$601)</f>
        <v>0</v>
      </c>
      <c r="L42" s="12">
        <f>SUMIF(Mercado_Receita!$S$2:$S$601,"44470B3BrancaNão se aplicaNão se aplicaNão se aplicaNão se aplicaPonta",Mercado_Receita!$L$2:$L$601)</f>
        <v>0</v>
      </c>
      <c r="M42" s="12">
        <f>SUMIF(Mercado_Receita!$S$2:$S$601,"44501B3BrancaNão se aplicaNão se aplicaNão se aplicaNão se aplicaPonta",Mercado_Receita!$L$2:$L$601)</f>
        <v>0</v>
      </c>
      <c r="N42" s="12">
        <f>SUMIF(Mercado_Receita!$S$2:$S$601,"44531B3BrancaNão se aplicaNão se aplicaNão se aplicaNão se aplicaPonta",Mercado_Receita!$L$2:$L$601)</f>
        <v>0</v>
      </c>
      <c r="O42" s="12">
        <f>SUMIF(Mercado_Receita!$S$2:$S$601,"44562B3BrancaNão se aplicaNão se aplicaNão se aplicaNão se aplicaPonta",Mercado_Receita!$L$2:$L$601)</f>
        <v>0</v>
      </c>
      <c r="P42" s="12">
        <f>SUMIF(Mercado_Receita!$S$2:$S$601,"44593B3BrancaNão se aplicaNão se aplicaNão se aplicaNão se aplicaPonta",Mercado_Receita!$L$2:$L$601)</f>
        <v>0</v>
      </c>
      <c r="Q42" s="12">
        <f>SUMIF(Mercado_Receita!$S$2:$S$601,"44621B3BrancaNão se aplicaNão se aplicaNão se aplicaNão se aplicaPonta",Mercado_Receita!$L$2:$L$601)</f>
        <v>0</v>
      </c>
      <c r="R42" s="12">
        <f>SUMIF(Mercado_Receita!$S$2:$S$601,"44652B3BrancaNão se aplicaNão se aplicaNão se aplicaNão se aplicaPonta",Mercado_Receita!$L$2:$L$601)</f>
        <v>0</v>
      </c>
      <c r="S42" s="12">
        <f>SUMIF(Mercado_Receita!$S$2:$S$601,"44682B3BrancaNão se aplicaNão se aplicaNão se aplicaNão se aplicaPonta",Mercado_Receita!$L$2:$L$601)</f>
        <v>0</v>
      </c>
      <c r="T42" s="12">
        <f>SUMIF(Mercado_Receita!$S$2:$S$601,"44713B3BrancaNão se aplicaNão se aplicaNão se aplicaNão se aplicaPonta",Mercado_Receita!$L$2:$L$601)</f>
        <v>0</v>
      </c>
      <c r="U42" s="12">
        <f t="shared" si="0"/>
        <v>0</v>
      </c>
      <c r="V42" s="12"/>
      <c r="W42" s="12"/>
    </row>
    <row r="43" spans="1:23" ht="11.25" customHeight="1" x14ac:dyDescent="0.25">
      <c r="A43" s="88"/>
      <c r="B43" s="88"/>
      <c r="C43" s="88"/>
      <c r="D43" s="88"/>
      <c r="E43" s="88"/>
      <c r="F43" s="88"/>
      <c r="G43" s="12" t="s">
        <v>83</v>
      </c>
      <c r="H43" s="12" t="s">
        <v>71</v>
      </c>
      <c r="I43" s="12">
        <f>SUMIF(Mercado_Receita!$S$2:$S$601,"44378B3BrancaNão se aplicaNão se aplicaNão se aplicaNão se aplicaIntermediário",Mercado_Receita!$L$2:$L$601)</f>
        <v>0</v>
      </c>
      <c r="J43" s="12">
        <f>SUMIF(Mercado_Receita!$S$2:$S$601,"44409B3BrancaNão se aplicaNão se aplicaNão se aplicaNão se aplicaIntermediário",Mercado_Receita!$L$2:$L$601)</f>
        <v>0</v>
      </c>
      <c r="K43" s="12">
        <f>SUMIF(Mercado_Receita!$S$2:$S$601,"44440B3BrancaNão se aplicaNão se aplicaNão se aplicaNão se aplicaIntermediário",Mercado_Receita!$L$2:$L$601)</f>
        <v>0</v>
      </c>
      <c r="L43" s="12">
        <f>SUMIF(Mercado_Receita!$S$2:$S$601,"44470B3BrancaNão se aplicaNão se aplicaNão se aplicaNão se aplicaIntermediário",Mercado_Receita!$L$2:$L$601)</f>
        <v>0</v>
      </c>
      <c r="M43" s="12">
        <f>SUMIF(Mercado_Receita!$S$2:$S$601,"44501B3BrancaNão se aplicaNão se aplicaNão se aplicaNão se aplicaIntermediário",Mercado_Receita!$L$2:$L$601)</f>
        <v>0</v>
      </c>
      <c r="N43" s="12">
        <f>SUMIF(Mercado_Receita!$S$2:$S$601,"44531B3BrancaNão se aplicaNão se aplicaNão se aplicaNão se aplicaIntermediário",Mercado_Receita!$L$2:$L$601)</f>
        <v>0</v>
      </c>
      <c r="O43" s="12">
        <f>SUMIF(Mercado_Receita!$S$2:$S$601,"44562B3BrancaNão se aplicaNão se aplicaNão se aplicaNão se aplicaIntermediário",Mercado_Receita!$L$2:$L$601)</f>
        <v>0</v>
      </c>
      <c r="P43" s="12">
        <f>SUMIF(Mercado_Receita!$S$2:$S$601,"44593B3BrancaNão se aplicaNão se aplicaNão se aplicaNão se aplicaIntermediário",Mercado_Receita!$L$2:$L$601)</f>
        <v>0</v>
      </c>
      <c r="Q43" s="12">
        <f>SUMIF(Mercado_Receita!$S$2:$S$601,"44621B3BrancaNão se aplicaNão se aplicaNão se aplicaNão se aplicaIntermediário",Mercado_Receita!$L$2:$L$601)</f>
        <v>0</v>
      </c>
      <c r="R43" s="12">
        <f>SUMIF(Mercado_Receita!$S$2:$S$601,"44652B3BrancaNão se aplicaNão se aplicaNão se aplicaNão se aplicaIntermediário",Mercado_Receita!$L$2:$L$601)</f>
        <v>0</v>
      </c>
      <c r="S43" s="12">
        <f>SUMIF(Mercado_Receita!$S$2:$S$601,"44682B3BrancaNão se aplicaNão se aplicaNão se aplicaNão se aplicaIntermediário",Mercado_Receita!$L$2:$L$601)</f>
        <v>0</v>
      </c>
      <c r="T43" s="12">
        <f>SUMIF(Mercado_Receita!$S$2:$S$601,"44713B3BrancaNão se aplicaNão se aplicaNão se aplicaNão se aplicaIntermediário",Mercado_Receita!$L$2:$L$601)</f>
        <v>0</v>
      </c>
      <c r="U43" s="12">
        <f t="shared" si="0"/>
        <v>0</v>
      </c>
      <c r="V43" s="12"/>
      <c r="W43" s="12"/>
    </row>
    <row r="44" spans="1:23" ht="11.25" customHeight="1" x14ac:dyDescent="0.25">
      <c r="A44" s="88"/>
      <c r="B44" s="88"/>
      <c r="C44" s="88"/>
      <c r="D44" s="88"/>
      <c r="E44" s="88"/>
      <c r="F44" s="88"/>
      <c r="G44" s="12" t="s">
        <v>73</v>
      </c>
      <c r="H44" s="12" t="s">
        <v>71</v>
      </c>
      <c r="I44" s="12">
        <f>SUMIF(Mercado_Receita!$S$2:$S$601,"44378B3BrancaNão se aplicaNão se aplicaNão se aplicaNão se aplicaFora ponta",Mercado_Receita!$L$2:$L$601)</f>
        <v>0</v>
      </c>
      <c r="J44" s="12">
        <f>SUMIF(Mercado_Receita!$S$2:$S$601,"44409B3BrancaNão se aplicaNão se aplicaNão se aplicaNão se aplicaFora ponta",Mercado_Receita!$L$2:$L$601)</f>
        <v>0</v>
      </c>
      <c r="K44" s="12">
        <f>SUMIF(Mercado_Receita!$S$2:$S$601,"44440B3BrancaNão se aplicaNão se aplicaNão se aplicaNão se aplicaFora ponta",Mercado_Receita!$L$2:$L$601)</f>
        <v>0</v>
      </c>
      <c r="L44" s="12">
        <f>SUMIF(Mercado_Receita!$S$2:$S$601,"44470B3BrancaNão se aplicaNão se aplicaNão se aplicaNão se aplicaFora ponta",Mercado_Receita!$L$2:$L$601)</f>
        <v>0</v>
      </c>
      <c r="M44" s="12">
        <f>SUMIF(Mercado_Receita!$S$2:$S$601,"44501B3BrancaNão se aplicaNão se aplicaNão se aplicaNão se aplicaFora ponta",Mercado_Receita!$L$2:$L$601)</f>
        <v>0</v>
      </c>
      <c r="N44" s="12">
        <f>SUMIF(Mercado_Receita!$S$2:$S$601,"44531B3BrancaNão se aplicaNão se aplicaNão se aplicaNão se aplicaFora ponta",Mercado_Receita!$L$2:$L$601)</f>
        <v>0</v>
      </c>
      <c r="O44" s="12">
        <f>SUMIF(Mercado_Receita!$S$2:$S$601,"44562B3BrancaNão se aplicaNão se aplicaNão se aplicaNão se aplicaFora ponta",Mercado_Receita!$L$2:$L$601)</f>
        <v>0</v>
      </c>
      <c r="P44" s="12">
        <f>SUMIF(Mercado_Receita!$S$2:$S$601,"44593B3BrancaNão se aplicaNão se aplicaNão se aplicaNão se aplicaFora ponta",Mercado_Receita!$L$2:$L$601)</f>
        <v>0</v>
      </c>
      <c r="Q44" s="12">
        <f>SUMIF(Mercado_Receita!$S$2:$S$601,"44621B3BrancaNão se aplicaNão se aplicaNão se aplicaNão se aplicaFora ponta",Mercado_Receita!$L$2:$L$601)</f>
        <v>0</v>
      </c>
      <c r="R44" s="12">
        <f>SUMIF(Mercado_Receita!$S$2:$S$601,"44652B3BrancaNão se aplicaNão se aplicaNão se aplicaNão se aplicaFora ponta",Mercado_Receita!$L$2:$L$601)</f>
        <v>0</v>
      </c>
      <c r="S44" s="12">
        <f>SUMIF(Mercado_Receita!$S$2:$S$601,"44682B3BrancaNão se aplicaNão se aplicaNão se aplicaNão se aplicaFora ponta",Mercado_Receita!$L$2:$L$601)</f>
        <v>0</v>
      </c>
      <c r="T44" s="12">
        <f>SUMIF(Mercado_Receita!$S$2:$S$601,"44713B3BrancaNão se aplicaNão se aplicaNão se aplicaNão se aplicaFora ponta",Mercado_Receita!$L$2:$L$601)</f>
        <v>0</v>
      </c>
      <c r="U44" s="12">
        <f t="shared" si="0"/>
        <v>0</v>
      </c>
      <c r="V44" s="12"/>
      <c r="W44" s="12"/>
    </row>
    <row r="45" spans="1:23" ht="11.25" customHeight="1" x14ac:dyDescent="0.25">
      <c r="A45" s="88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77</v>
      </c>
      <c r="H45" s="12" t="s">
        <v>71</v>
      </c>
      <c r="I45" s="12">
        <f>SUMIF(Mercado_Receita!$S$2:$S$601,"44378B3ConvencionalNão se aplicaNão se aplicaNão se aplicaNão se aplicaPonta",Mercado_Receita!$L$2:$L$601)+SUMIF(Mercado_Receita!$S$2:$S$601,"44378B3ConvencionalNão se aplicaNão se aplicaNão se aplicaNão se aplicaFora ponta",Mercado_Receita!$L$2:$L$601)+SUMIF(Mercado_Receita!$S$2:$S$601,"44378B3ConvencionalNão se aplicaNão se aplicaNão se aplicaNão se aplicaIntermediário",Mercado_Receita!$L$2:$L$601)+SUMIF(Mercado_Receita!$S$2:$S$601,"44378B3ConvencionalNão se aplicaNão se aplicaNão se aplicaNão se aplicaNão se aplica",Mercado_Receita!$L$2:$L$601)</f>
        <v>726.91500000000008</v>
      </c>
      <c r="J45" s="12">
        <f>SUMIF(Mercado_Receita!$S$2:$S$601,"44409B3ConvencionalNão se aplicaNão se aplicaNão se aplicaNão se aplicaPonta",Mercado_Receita!$L$2:$L$601)+SUMIF(Mercado_Receita!$S$2:$S$601,"44409B3ConvencionalNão se aplicaNão se aplicaNão se aplicaNão se aplicaFora ponta",Mercado_Receita!$L$2:$L$601)+SUMIF(Mercado_Receita!$S$2:$S$601,"44409B3ConvencionalNão se aplicaNão se aplicaNão se aplicaNão se aplicaIntermediário",Mercado_Receita!$L$2:$L$601)+SUMIF(Mercado_Receita!$S$2:$S$601,"44409B3ConvencionalNão se aplicaNão se aplicaNão se aplicaNão se aplicaNão se aplica",Mercado_Receita!$L$2:$L$601)</f>
        <v>722.68100000000004</v>
      </c>
      <c r="K45" s="12">
        <f>SUMIF(Mercado_Receita!$S$2:$S$601,"44440B3ConvencionalNão se aplicaNão se aplicaNão se aplicaNão se aplicaPonta",Mercado_Receita!$L$2:$L$601)+SUMIF(Mercado_Receita!$S$2:$S$601,"44440B3ConvencionalNão se aplicaNão se aplicaNão se aplicaNão se aplicaFora ponta",Mercado_Receita!$L$2:$L$601)+SUMIF(Mercado_Receita!$S$2:$S$601,"44440B3ConvencionalNão se aplicaNão se aplicaNão se aplicaNão se aplicaIntermediário",Mercado_Receita!$L$2:$L$601)+SUMIF(Mercado_Receita!$S$2:$S$601,"44440B3ConvencionalNão se aplicaNão se aplicaNão se aplicaNão se aplicaNão se aplica",Mercado_Receita!$L$2:$L$601)</f>
        <v>743.601</v>
      </c>
      <c r="L45" s="12">
        <f>SUMIF(Mercado_Receita!$S$2:$S$601,"44470B3ConvencionalNão se aplicaNão se aplicaNão se aplicaNão se aplicaPonta",Mercado_Receita!$L$2:$L$601)+SUMIF(Mercado_Receita!$S$2:$S$601,"44470B3ConvencionalNão se aplicaNão se aplicaNão se aplicaNão se aplicaFora ponta",Mercado_Receita!$L$2:$L$601)+SUMIF(Mercado_Receita!$S$2:$S$601,"44470B3ConvencionalNão se aplicaNão se aplicaNão se aplicaNão se aplicaIntermediário",Mercado_Receita!$L$2:$L$601)+SUMIF(Mercado_Receita!$S$2:$S$601,"44470B3ConvencionalNão se aplicaNão se aplicaNão se aplicaNão se aplicaNão se aplica",Mercado_Receita!$L$2:$L$601)</f>
        <v>709.97299999999996</v>
      </c>
      <c r="M45" s="12">
        <f>SUMIF(Mercado_Receita!$S$2:$S$601,"44501B3ConvencionalNão se aplicaNão se aplicaNão se aplicaNão se aplicaPonta",Mercado_Receita!$L$2:$L$601)+SUMIF(Mercado_Receita!$S$2:$S$601,"44501B3ConvencionalNão se aplicaNão se aplicaNão se aplicaNão se aplicaFora ponta",Mercado_Receita!$L$2:$L$601)+SUMIF(Mercado_Receita!$S$2:$S$601,"44501B3ConvencionalNão se aplicaNão se aplicaNão se aplicaNão se aplicaIntermediário",Mercado_Receita!$L$2:$L$601)+SUMIF(Mercado_Receita!$S$2:$S$601,"44501B3ConvencionalNão se aplicaNão se aplicaNão se aplicaNão se aplicaNão se aplica",Mercado_Receita!$L$2:$L$601)</f>
        <v>781.61299999999994</v>
      </c>
      <c r="N45" s="12">
        <f>SUMIF(Mercado_Receita!$S$2:$S$601,"44531B3ConvencionalNão se aplicaNão se aplicaNão se aplicaNão se aplicaPonta",Mercado_Receita!$L$2:$L$601)+SUMIF(Mercado_Receita!$S$2:$S$601,"44531B3ConvencionalNão se aplicaNão se aplicaNão se aplicaNão se aplicaFora ponta",Mercado_Receita!$L$2:$L$601)+SUMIF(Mercado_Receita!$S$2:$S$601,"44531B3ConvencionalNão se aplicaNão se aplicaNão se aplicaNão se aplicaIntermediário",Mercado_Receita!$L$2:$L$601)+SUMIF(Mercado_Receita!$S$2:$S$601,"44531B3ConvencionalNão se aplicaNão se aplicaNão se aplicaNão se aplicaNão se aplica",Mercado_Receita!$L$2:$L$601)</f>
        <v>798.66499999999996</v>
      </c>
      <c r="O45" s="12">
        <f>SUMIF(Mercado_Receita!$S$2:$S$601,"44562B3ConvencionalNão se aplicaNão se aplicaNão se aplicaNão se aplicaPonta",Mercado_Receita!$L$2:$L$601)+SUMIF(Mercado_Receita!$S$2:$S$601,"44562B3ConvencionalNão se aplicaNão se aplicaNão se aplicaNão se aplicaFora ponta",Mercado_Receita!$L$2:$L$601)+SUMIF(Mercado_Receita!$S$2:$S$601,"44562B3ConvencionalNão se aplicaNão se aplicaNão se aplicaNão se aplicaIntermediário",Mercado_Receita!$L$2:$L$601)+SUMIF(Mercado_Receita!$S$2:$S$601,"44562B3ConvencionalNão se aplicaNão se aplicaNão se aplicaNão se aplicaNão se aplica",Mercado_Receita!$L$2:$L$601)</f>
        <v>891.5179999999998</v>
      </c>
      <c r="P45" s="12">
        <f>SUMIF(Mercado_Receita!$S$2:$S$601,"44593B3ConvencionalNão se aplicaNão se aplicaNão se aplicaNão se aplicaPonta",Mercado_Receita!$L$2:$L$601)+SUMIF(Mercado_Receita!$S$2:$S$601,"44593B3ConvencionalNão se aplicaNão se aplicaNão se aplicaNão se aplicaFora ponta",Mercado_Receita!$L$2:$L$601)+SUMIF(Mercado_Receita!$S$2:$S$601,"44593B3ConvencionalNão se aplicaNão se aplicaNão se aplicaNão se aplicaIntermediário",Mercado_Receita!$L$2:$L$601)+SUMIF(Mercado_Receita!$S$2:$S$601,"44593B3ConvencionalNão se aplicaNão se aplicaNão se aplicaNão se aplicaNão se aplica",Mercado_Receita!$L$2:$L$601)</f>
        <v>922.92799999999988</v>
      </c>
      <c r="Q45" s="12">
        <f>SUMIF(Mercado_Receita!$S$2:$S$601,"44621B3ConvencionalNão se aplicaNão se aplicaNão se aplicaNão se aplicaPonta",Mercado_Receita!$L$2:$L$601)+SUMIF(Mercado_Receita!$S$2:$S$601,"44621B3ConvencionalNão se aplicaNão se aplicaNão se aplicaNão se aplicaFora ponta",Mercado_Receita!$L$2:$L$601)+SUMIF(Mercado_Receita!$S$2:$S$601,"44621B3ConvencionalNão se aplicaNão se aplicaNão se aplicaNão se aplicaIntermediário",Mercado_Receita!$L$2:$L$601)+SUMIF(Mercado_Receita!$S$2:$S$601,"44621B3ConvencionalNão se aplicaNão se aplicaNão se aplicaNão se aplicaNão se aplica",Mercado_Receita!$L$2:$L$601)</f>
        <v>896.81399999999996</v>
      </c>
      <c r="R45" s="12">
        <f>SUMIF(Mercado_Receita!$S$2:$S$601,"44652B3ConvencionalNão se aplicaNão se aplicaNão se aplicaNão se aplicaPonta",Mercado_Receita!$L$2:$L$601)+SUMIF(Mercado_Receita!$S$2:$S$601,"44652B3ConvencionalNão se aplicaNão se aplicaNão se aplicaNão se aplicaFora ponta",Mercado_Receita!$L$2:$L$601)+SUMIF(Mercado_Receita!$S$2:$S$601,"44652B3ConvencionalNão se aplicaNão se aplicaNão se aplicaNão se aplicaIntermediário",Mercado_Receita!$L$2:$L$601)+SUMIF(Mercado_Receita!$S$2:$S$601,"44652B3ConvencionalNão se aplicaNão se aplicaNão se aplicaNão se aplicaNão se aplica",Mercado_Receita!$L$2:$L$601)</f>
        <v>775.96499999999992</v>
      </c>
      <c r="S45" s="12">
        <f>SUMIF(Mercado_Receita!$S$2:$S$601,"44682B3ConvencionalNão se aplicaNão se aplicaNão se aplicaNão se aplicaPonta",Mercado_Receita!$L$2:$L$601)+SUMIF(Mercado_Receita!$S$2:$S$601,"44682B3ConvencionalNão se aplicaNão se aplicaNão se aplicaNão se aplicaFora ponta",Mercado_Receita!$L$2:$L$601)+SUMIF(Mercado_Receita!$S$2:$S$601,"44682B3ConvencionalNão se aplicaNão se aplicaNão se aplicaNão se aplicaIntermediário",Mercado_Receita!$L$2:$L$601)+SUMIF(Mercado_Receita!$S$2:$S$601,"44682B3ConvencionalNão se aplicaNão se aplicaNão se aplicaNão se aplicaNão se aplica",Mercado_Receita!$L$2:$L$601)</f>
        <v>804.52200000000005</v>
      </c>
      <c r="T45" s="12">
        <f>SUMIF(Mercado_Receita!$S$2:$S$601,"44713B3ConvencionalNão se aplicaNão se aplicaNão se aplicaNão se aplicaPonta",Mercado_Receita!$L$2:$L$601)+SUMIF(Mercado_Receita!$S$2:$S$601,"44713B3ConvencionalNão se aplicaNão se aplicaNão se aplicaNão se aplicaFora ponta",Mercado_Receita!$L$2:$L$601)+SUMIF(Mercado_Receita!$S$2:$S$601,"44713B3ConvencionalNão se aplicaNão se aplicaNão se aplicaNão se aplicaIntermediário",Mercado_Receita!$L$2:$L$601)+SUMIF(Mercado_Receita!$S$2:$S$601,"44713B3ConvencionalNão se aplicaNão se aplicaNão se aplicaNão se aplicaNão se aplica",Mercado_Receita!$L$2:$L$601)</f>
        <v>776.92600000000004</v>
      </c>
      <c r="U45" s="12">
        <f t="shared" si="0"/>
        <v>9552.121000000001</v>
      </c>
      <c r="V45" s="12"/>
      <c r="W45" s="12"/>
    </row>
    <row r="46" spans="1:23" ht="11.25" customHeight="1" x14ac:dyDescent="0.25">
      <c r="A46" s="88"/>
      <c r="B46" s="13" t="s">
        <v>87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77</v>
      </c>
      <c r="H46" s="12" t="s">
        <v>71</v>
      </c>
      <c r="I46" s="12">
        <f>SUMIF(Mercado_Receita!$S$2:$S$601,"44378B3Convencional pré-pagamentoNão se aplicaNão se aplicaNão se aplicaNão se aplicaPonta",Mercado_Receita!$L$2:$L$601)+SUMIF(Mercado_Receita!$S$2:$S$601,"44378B3Convencional pré-pagamentoNão se aplicaNão se aplicaNão se aplicaNão se aplicaFora ponta",Mercado_Receita!$L$2:$L$601)+SUMIF(Mercado_Receita!$S$2:$S$601,"44378B3Convencional pré-pagamentoNão se aplicaNão se aplicaNão se aplicaNão se aplicaIntermediário",Mercado_Receita!$L$2:$L$601)+SUMIF(Mercado_Receita!$S$2:$S$601,"44378B3Convencional pré-pagamentoNão se aplicaNão se aplicaNão se aplicaNão se aplicaNão se aplica",Mercado_Receita!$L$2:$L$601)</f>
        <v>0</v>
      </c>
      <c r="J46" s="12">
        <f>SUMIF(Mercado_Receita!$S$2:$S$601,"44409B3Convencional pré-pagamentoNão se aplicaNão se aplicaNão se aplicaNão se aplicaPonta",Mercado_Receita!$L$2:$L$601)+SUMIF(Mercado_Receita!$S$2:$S$601,"44409B3Convencional pré-pagamentoNão se aplicaNão se aplicaNão se aplicaNão se aplicaFora ponta",Mercado_Receita!$L$2:$L$601)+SUMIF(Mercado_Receita!$S$2:$S$601,"44409B3Convencional pré-pagamentoNão se aplicaNão se aplicaNão se aplicaNão se aplicaIntermediário",Mercado_Receita!$L$2:$L$601)+SUMIF(Mercado_Receita!$S$2:$S$601,"44409B3Convencional pré-pagamentoNão se aplicaNão se aplicaNão se aplicaNão se aplicaNão se aplica",Mercado_Receita!$L$2:$L$601)</f>
        <v>0</v>
      </c>
      <c r="K46" s="12">
        <f>SUMIF(Mercado_Receita!$S$2:$S$601,"44440B3Convencional pré-pagamentoNão se aplicaNão se aplicaNão se aplicaNão se aplicaPonta",Mercado_Receita!$L$2:$L$601)+SUMIF(Mercado_Receita!$S$2:$S$601,"44440B3Convencional pré-pagamentoNão se aplicaNão se aplicaNão se aplicaNão se aplicaFora ponta",Mercado_Receita!$L$2:$L$601)+SUMIF(Mercado_Receita!$S$2:$S$601,"44440B3Convencional pré-pagamentoNão se aplicaNão se aplicaNão se aplicaNão se aplicaIntermediário",Mercado_Receita!$L$2:$L$601)+SUMIF(Mercado_Receita!$S$2:$S$601,"44440B3Convencional pré-pagamentoNão se aplicaNão se aplicaNão se aplicaNão se aplicaNão se aplica",Mercado_Receita!$L$2:$L$601)</f>
        <v>0</v>
      </c>
      <c r="L46" s="12">
        <f>SUMIF(Mercado_Receita!$S$2:$S$601,"44470B3Convencional pré-pagamentoNão se aplicaNão se aplicaNão se aplicaNão se aplicaPonta",Mercado_Receita!$L$2:$L$601)+SUMIF(Mercado_Receita!$S$2:$S$601,"44470B3Convencional pré-pagamentoNão se aplicaNão se aplicaNão se aplicaNão se aplicaFora ponta",Mercado_Receita!$L$2:$L$601)+SUMIF(Mercado_Receita!$S$2:$S$601,"44470B3Convencional pré-pagamentoNão se aplicaNão se aplicaNão se aplicaNão se aplicaIntermediário",Mercado_Receita!$L$2:$L$601)+SUMIF(Mercado_Receita!$S$2:$S$601,"44470B3Convencional pré-pagamentoNão se aplicaNão se aplicaNão se aplicaNão se aplicaNão se aplica",Mercado_Receita!$L$2:$L$601)</f>
        <v>0</v>
      </c>
      <c r="M46" s="12">
        <f>SUMIF(Mercado_Receita!$S$2:$S$601,"44501B3Convencional pré-pagamentoNão se aplicaNão se aplicaNão se aplicaNão se aplicaPonta",Mercado_Receita!$L$2:$L$601)+SUMIF(Mercado_Receita!$S$2:$S$601,"44501B3Convencional pré-pagamentoNão se aplicaNão se aplicaNão se aplicaNão se aplicaFora ponta",Mercado_Receita!$L$2:$L$601)+SUMIF(Mercado_Receita!$S$2:$S$601,"44501B3Convencional pré-pagamentoNão se aplicaNão se aplicaNão se aplicaNão se aplicaIntermediário",Mercado_Receita!$L$2:$L$601)+SUMIF(Mercado_Receita!$S$2:$S$601,"44501B3Convencional pré-pagamentoNão se aplicaNão se aplicaNão se aplicaNão se aplicaNão se aplica",Mercado_Receita!$L$2:$L$601)</f>
        <v>0</v>
      </c>
      <c r="N46" s="12">
        <f>SUMIF(Mercado_Receita!$S$2:$S$601,"44531B3Convencional pré-pagamentoNão se aplicaNão se aplicaNão se aplicaNão se aplicaPonta",Mercado_Receita!$L$2:$L$601)+SUMIF(Mercado_Receita!$S$2:$S$601,"44531B3Convencional pré-pagamentoNão se aplicaNão se aplicaNão se aplicaNão se aplicaFora ponta",Mercado_Receita!$L$2:$L$601)+SUMIF(Mercado_Receita!$S$2:$S$601,"44531B3Convencional pré-pagamentoNão se aplicaNão se aplicaNão se aplicaNão se aplicaIntermediário",Mercado_Receita!$L$2:$L$601)+SUMIF(Mercado_Receita!$S$2:$S$601,"44531B3Convencional pré-pagamentoNão se aplicaNão se aplicaNão se aplicaNão se aplicaNão se aplica",Mercado_Receita!$L$2:$L$601)</f>
        <v>0</v>
      </c>
      <c r="O46" s="12">
        <f>SUMIF(Mercado_Receita!$S$2:$S$601,"44562B3Convencional pré-pagamentoNão se aplicaNão se aplicaNão se aplicaNão se aplicaPonta",Mercado_Receita!$L$2:$L$601)+SUMIF(Mercado_Receita!$S$2:$S$601,"44562B3Convencional pré-pagamentoNão se aplicaNão se aplicaNão se aplicaNão se aplicaFora ponta",Mercado_Receita!$L$2:$L$601)+SUMIF(Mercado_Receita!$S$2:$S$601,"44562B3Convencional pré-pagamentoNão se aplicaNão se aplicaNão se aplicaNão se aplicaIntermediário",Mercado_Receita!$L$2:$L$601)+SUMIF(Mercado_Receita!$S$2:$S$601,"44562B3Convencional pré-pagamentoNão se aplicaNão se aplicaNão se aplicaNão se aplicaNão se aplica",Mercado_Receita!$L$2:$L$601)</f>
        <v>0</v>
      </c>
      <c r="P46" s="12">
        <f>SUMIF(Mercado_Receita!$S$2:$S$601,"44593B3Convencional pré-pagamentoNão se aplicaNão se aplicaNão se aplicaNão se aplicaPonta",Mercado_Receita!$L$2:$L$601)+SUMIF(Mercado_Receita!$S$2:$S$601,"44593B3Convencional pré-pagamentoNão se aplicaNão se aplicaNão se aplicaNão se aplicaFora ponta",Mercado_Receita!$L$2:$L$601)+SUMIF(Mercado_Receita!$S$2:$S$601,"44593B3Convencional pré-pagamentoNão se aplicaNão se aplicaNão se aplicaNão se aplicaIntermediário",Mercado_Receita!$L$2:$L$601)+SUMIF(Mercado_Receita!$S$2:$S$601,"44593B3Convencional pré-pagamentoNão se aplicaNão se aplicaNão se aplicaNão se aplicaNão se aplica",Mercado_Receita!$L$2:$L$601)</f>
        <v>0</v>
      </c>
      <c r="Q46" s="12">
        <f>SUMIF(Mercado_Receita!$S$2:$S$601,"44621B3Convencional pré-pagamentoNão se aplicaNão se aplicaNão se aplicaNão se aplicaPonta",Mercado_Receita!$L$2:$L$601)+SUMIF(Mercado_Receita!$S$2:$S$601,"44621B3Convencional pré-pagamentoNão se aplicaNão se aplicaNão se aplicaNão se aplicaFora ponta",Mercado_Receita!$L$2:$L$601)+SUMIF(Mercado_Receita!$S$2:$S$601,"44621B3Convencional pré-pagamentoNão se aplicaNão se aplicaNão se aplicaNão se aplicaIntermediário",Mercado_Receita!$L$2:$L$601)+SUMIF(Mercado_Receita!$S$2:$S$601,"44621B3Convencional pré-pagamentoNão se aplicaNão se aplicaNão se aplicaNão se aplicaNão se aplica",Mercado_Receita!$L$2:$L$601)</f>
        <v>0</v>
      </c>
      <c r="R46" s="12">
        <f>SUMIF(Mercado_Receita!$S$2:$S$601,"44652B3Convencional pré-pagamentoNão se aplicaNão se aplicaNão se aplicaNão se aplicaPonta",Mercado_Receita!$L$2:$L$601)+SUMIF(Mercado_Receita!$S$2:$S$601,"44652B3Convencional pré-pagamentoNão se aplicaNão se aplicaNão se aplicaNão se aplicaFora ponta",Mercado_Receita!$L$2:$L$601)+SUMIF(Mercado_Receita!$S$2:$S$601,"44652B3Convencional pré-pagamentoNão se aplicaNão se aplicaNão se aplicaNão se aplicaIntermediário",Mercado_Receita!$L$2:$L$601)+SUMIF(Mercado_Receita!$S$2:$S$601,"44652B3Convencional pré-pagamentoNão se aplicaNão se aplicaNão se aplicaNão se aplicaNão se aplica",Mercado_Receita!$L$2:$L$601)</f>
        <v>0</v>
      </c>
      <c r="S46" s="12">
        <f>SUMIF(Mercado_Receita!$S$2:$S$601,"44682B3Convencional pré-pagamentoNão se aplicaNão se aplicaNão se aplicaNão se aplicaPonta",Mercado_Receita!$L$2:$L$601)+SUMIF(Mercado_Receita!$S$2:$S$601,"44682B3Convencional pré-pagamentoNão se aplicaNão se aplicaNão se aplicaNão se aplicaFora ponta",Mercado_Receita!$L$2:$L$601)+SUMIF(Mercado_Receita!$S$2:$S$601,"44682B3Convencional pré-pagamentoNão se aplicaNão se aplicaNão se aplicaNão se aplicaIntermediário",Mercado_Receita!$L$2:$L$601)+SUMIF(Mercado_Receita!$S$2:$S$601,"44682B3Convencional pré-pagamentoNão se aplicaNão se aplicaNão se aplicaNão se aplicaNão se aplica",Mercado_Receita!$L$2:$L$601)</f>
        <v>0</v>
      </c>
      <c r="T46" s="12">
        <f>SUMIF(Mercado_Receita!$S$2:$S$601,"44713B3Convencional pré-pagamentoNão se aplicaNão se aplicaNão se aplicaNão se aplicaPonta",Mercado_Receita!$L$2:$L$601)+SUMIF(Mercado_Receita!$S$2:$S$601,"44713B3Convencional pré-pagamentoNão se aplicaNão se aplicaNão se aplicaNão se aplicaFora ponta",Mercado_Receita!$L$2:$L$601)+SUMIF(Mercado_Receita!$S$2:$S$601,"44713B3Convencional pré-pagamentoNão se aplicaNão se aplicaNão se aplicaNão se aplicaIntermediário",Mercado_Receita!$L$2:$L$601)+SUMIF(Mercado_Receita!$S$2:$S$601,"44713B3Convencional pré-pagamentoNão se aplicaNão se aplicaNão se aplicaNão se aplicaNão se aplica",Mercado_Receita!$L$2:$L$601)</f>
        <v>0</v>
      </c>
      <c r="U46" s="12">
        <f t="shared" si="0"/>
        <v>0</v>
      </c>
      <c r="V46" s="12"/>
      <c r="W46" s="12"/>
    </row>
    <row r="47" spans="1:23" ht="11.25" customHeight="1" x14ac:dyDescent="0.25">
      <c r="A47" s="87" t="s">
        <v>43</v>
      </c>
      <c r="B47" s="87" t="s">
        <v>23</v>
      </c>
      <c r="C47" s="87" t="s">
        <v>44</v>
      </c>
      <c r="D47" s="13" t="s">
        <v>45</v>
      </c>
      <c r="E47" s="13" t="s">
        <v>25</v>
      </c>
      <c r="F47" s="13" t="s">
        <v>25</v>
      </c>
      <c r="G47" s="12" t="s">
        <v>77</v>
      </c>
      <c r="H47" s="12" t="s">
        <v>71</v>
      </c>
      <c r="I47" s="12">
        <f>SUMIF(Mercado_Receita!$S$2:$S$601,"44378B4ConvencionalIluminação públicaIluminação pública – B4aNão se aplicaNão se aplicaPonta",Mercado_Receita!$L$2:$L$601)+SUMIF(Mercado_Receita!$S$2:$S$601,"44378B4ConvencionalIluminação públicaIluminação pública – B4aNão se aplicaNão se aplicaFora ponta",Mercado_Receita!$L$2:$L$601)+SUMIF(Mercado_Receita!$S$2:$S$601,"44378B4ConvencionalIluminação públicaIluminação pública – B4aNão se aplicaNão se aplicaIntermediário",Mercado_Receita!$L$2:$L$601)+SUMIF(Mercado_Receita!$S$2:$S$601,"44378B4ConvencionalIluminação públicaIluminação pública – B4aNão se aplicaNão se aplicaNão se aplica",Mercado_Receita!$L$2:$L$601)</f>
        <v>416.529</v>
      </c>
      <c r="J47" s="12">
        <f>SUMIF(Mercado_Receita!$S$2:$S$601,"44409B4ConvencionalIluminação públicaIluminação pública – B4aNão se aplicaNão se aplicaPonta",Mercado_Receita!$L$2:$L$601)+SUMIF(Mercado_Receita!$S$2:$S$601,"44409B4ConvencionalIluminação públicaIluminação pública – B4aNão se aplicaNão se aplicaFora ponta",Mercado_Receita!$L$2:$L$601)+SUMIF(Mercado_Receita!$S$2:$S$601,"44409B4ConvencionalIluminação públicaIluminação pública – B4aNão se aplicaNão se aplicaIntermediário",Mercado_Receita!$L$2:$L$601)+SUMIF(Mercado_Receita!$S$2:$S$601,"44409B4ConvencionalIluminação públicaIluminação pública – B4aNão se aplicaNão se aplicaNão se aplica",Mercado_Receita!$L$2:$L$601)</f>
        <v>380.58699999999999</v>
      </c>
      <c r="K47" s="12">
        <f>SUMIF(Mercado_Receita!$S$2:$S$601,"44440B4ConvencionalIluminação públicaIluminação pública – B4aNão se aplicaNão se aplicaPonta",Mercado_Receita!$L$2:$L$601)+SUMIF(Mercado_Receita!$S$2:$S$601,"44440B4ConvencionalIluminação públicaIluminação pública – B4aNão se aplicaNão se aplicaFora ponta",Mercado_Receita!$L$2:$L$601)+SUMIF(Mercado_Receita!$S$2:$S$601,"44440B4ConvencionalIluminação públicaIluminação pública – B4aNão se aplicaNão se aplicaIntermediário",Mercado_Receita!$L$2:$L$601)+SUMIF(Mercado_Receita!$S$2:$S$601,"44440B4ConvencionalIluminação públicaIluminação pública – B4aNão se aplicaNão se aplicaNão se aplica",Mercado_Receita!$L$2:$L$601)</f>
        <v>380.05599999999998</v>
      </c>
      <c r="L47" s="12">
        <f>SUMIF(Mercado_Receita!$S$2:$S$601,"44470B4ConvencionalIluminação públicaIluminação pública – B4aNão se aplicaNão se aplicaPonta",Mercado_Receita!$L$2:$L$601)+SUMIF(Mercado_Receita!$S$2:$S$601,"44470B4ConvencionalIluminação públicaIluminação pública – B4aNão se aplicaNão se aplicaFora ponta",Mercado_Receita!$L$2:$L$601)+SUMIF(Mercado_Receita!$S$2:$S$601,"44470B4ConvencionalIluminação públicaIluminação pública – B4aNão se aplicaNão se aplicaIntermediário",Mercado_Receita!$L$2:$L$601)+SUMIF(Mercado_Receita!$S$2:$S$601,"44470B4ConvencionalIluminação públicaIluminação pública – B4aNão se aplicaNão se aplicaNão se aplica",Mercado_Receita!$L$2:$L$601)</f>
        <v>378.35599999999999</v>
      </c>
      <c r="M47" s="12">
        <f>SUMIF(Mercado_Receita!$S$2:$S$601,"44501B4ConvencionalIluminação públicaIluminação pública – B4aNão se aplicaNão se aplicaPonta",Mercado_Receita!$L$2:$L$601)+SUMIF(Mercado_Receita!$S$2:$S$601,"44501B4ConvencionalIluminação públicaIluminação pública – B4aNão se aplicaNão se aplicaFora ponta",Mercado_Receita!$L$2:$L$601)+SUMIF(Mercado_Receita!$S$2:$S$601,"44501B4ConvencionalIluminação públicaIluminação pública – B4aNão se aplicaNão se aplicaIntermediário",Mercado_Receita!$L$2:$L$601)+SUMIF(Mercado_Receita!$S$2:$S$601,"44501B4ConvencionalIluminação públicaIluminação pública – B4aNão se aplicaNão se aplicaNão se aplica",Mercado_Receita!$L$2:$L$601)</f>
        <v>377.95699999999999</v>
      </c>
      <c r="N47" s="12">
        <f>SUMIF(Mercado_Receita!$S$2:$S$601,"44531B4ConvencionalIluminação públicaIluminação pública – B4aNão se aplicaNão se aplicaPonta",Mercado_Receita!$L$2:$L$601)+SUMIF(Mercado_Receita!$S$2:$S$601,"44531B4ConvencionalIluminação públicaIluminação pública – B4aNão se aplicaNão se aplicaFora ponta",Mercado_Receita!$L$2:$L$601)+SUMIF(Mercado_Receita!$S$2:$S$601,"44531B4ConvencionalIluminação públicaIluminação pública – B4aNão se aplicaNão se aplicaIntermediário",Mercado_Receita!$L$2:$L$601)+SUMIF(Mercado_Receita!$S$2:$S$601,"44531B4ConvencionalIluminação públicaIluminação pública – B4aNão se aplicaNão se aplicaNão se aplica",Mercado_Receita!$L$2:$L$601)</f>
        <v>387.53300000000002</v>
      </c>
      <c r="O47" s="12">
        <f>SUMIF(Mercado_Receita!$S$2:$S$601,"44562B4ConvencionalIluminação públicaIluminação pública – B4aNão se aplicaNão se aplicaPonta",Mercado_Receita!$L$2:$L$601)+SUMIF(Mercado_Receita!$S$2:$S$601,"44562B4ConvencionalIluminação públicaIluminação pública – B4aNão se aplicaNão se aplicaFora ponta",Mercado_Receita!$L$2:$L$601)+SUMIF(Mercado_Receita!$S$2:$S$601,"44562B4ConvencionalIluminação públicaIluminação pública – B4aNão se aplicaNão se aplicaIntermediário",Mercado_Receita!$L$2:$L$601)+SUMIF(Mercado_Receita!$S$2:$S$601,"44562B4ConvencionalIluminação públicaIluminação pública – B4aNão se aplicaNão se aplicaNão se aplica",Mercado_Receita!$L$2:$L$601)</f>
        <v>391.65499999999997</v>
      </c>
      <c r="P47" s="12">
        <f>SUMIF(Mercado_Receita!$S$2:$S$601,"44593B4ConvencionalIluminação públicaIluminação pública – B4aNão se aplicaNão se aplicaPonta",Mercado_Receita!$L$2:$L$601)+SUMIF(Mercado_Receita!$S$2:$S$601,"44593B4ConvencionalIluminação públicaIluminação pública – B4aNão se aplicaNão se aplicaFora ponta",Mercado_Receita!$L$2:$L$601)+SUMIF(Mercado_Receita!$S$2:$S$601,"44593B4ConvencionalIluminação públicaIluminação pública – B4aNão se aplicaNão se aplicaIntermediário",Mercado_Receita!$L$2:$L$601)+SUMIF(Mercado_Receita!$S$2:$S$601,"44593B4ConvencionalIluminação públicaIluminação pública – B4aNão se aplicaNão se aplicaNão se aplica",Mercado_Receita!$L$2:$L$601)</f>
        <v>416.22199999999998</v>
      </c>
      <c r="Q47" s="12">
        <f>SUMIF(Mercado_Receita!$S$2:$S$601,"44621B4ConvencionalIluminação públicaIluminação pública – B4aNão se aplicaNão se aplicaPonta",Mercado_Receita!$L$2:$L$601)+SUMIF(Mercado_Receita!$S$2:$S$601,"44621B4ConvencionalIluminação públicaIluminação pública – B4aNão se aplicaNão se aplicaFora ponta",Mercado_Receita!$L$2:$L$601)+SUMIF(Mercado_Receita!$S$2:$S$601,"44621B4ConvencionalIluminação públicaIluminação pública – B4aNão se aplicaNão se aplicaIntermediário",Mercado_Receita!$L$2:$L$601)+SUMIF(Mercado_Receita!$S$2:$S$601,"44621B4ConvencionalIluminação públicaIluminação pública – B4aNão se aplicaNão se aplicaNão se aplica",Mercado_Receita!$L$2:$L$601)</f>
        <v>933.61500000000001</v>
      </c>
      <c r="R47" s="12">
        <f>SUMIF(Mercado_Receita!$S$2:$S$601,"44652B4ConvencionalIluminação públicaIluminação pública – B4aNão se aplicaNão se aplicaPonta",Mercado_Receita!$L$2:$L$601)+SUMIF(Mercado_Receita!$S$2:$S$601,"44652B4ConvencionalIluminação públicaIluminação pública – B4aNão se aplicaNão se aplicaFora ponta",Mercado_Receita!$L$2:$L$601)+SUMIF(Mercado_Receita!$S$2:$S$601,"44652B4ConvencionalIluminação públicaIluminação pública – B4aNão se aplicaNão se aplicaIntermediário",Mercado_Receita!$L$2:$L$601)+SUMIF(Mercado_Receita!$S$2:$S$601,"44652B4ConvencionalIluminação públicaIluminação pública – B4aNão se aplicaNão se aplicaNão se aplica",Mercado_Receita!$L$2:$L$601)</f>
        <v>-103.69599999999997</v>
      </c>
      <c r="S47" s="12">
        <f>SUMIF(Mercado_Receita!$S$2:$S$601,"44682B4ConvencionalIluminação públicaIluminação pública – B4aNão se aplicaNão se aplicaPonta",Mercado_Receita!$L$2:$L$601)+SUMIF(Mercado_Receita!$S$2:$S$601,"44682B4ConvencionalIluminação públicaIluminação pública – B4aNão se aplicaNão se aplicaFora ponta",Mercado_Receita!$L$2:$L$601)+SUMIF(Mercado_Receita!$S$2:$S$601,"44682B4ConvencionalIluminação públicaIluminação pública – B4aNão se aplicaNão se aplicaIntermediário",Mercado_Receita!$L$2:$L$601)+SUMIF(Mercado_Receita!$S$2:$S$601,"44682B4ConvencionalIluminação públicaIluminação pública – B4aNão se aplicaNão se aplicaNão se aplica",Mercado_Receita!$L$2:$L$601)</f>
        <v>447.61700000000002</v>
      </c>
      <c r="T47" s="12">
        <f>SUMIF(Mercado_Receita!$S$2:$S$601,"44713B4ConvencionalIluminação públicaIluminação pública – B4aNão se aplicaNão se aplicaPonta",Mercado_Receita!$L$2:$L$601)+SUMIF(Mercado_Receita!$S$2:$S$601,"44713B4ConvencionalIluminação públicaIluminação pública – B4aNão se aplicaNão se aplicaFora ponta",Mercado_Receita!$L$2:$L$601)+SUMIF(Mercado_Receita!$S$2:$S$601,"44713B4ConvencionalIluminação públicaIluminação pública – B4aNão se aplicaNão se aplicaIntermediário",Mercado_Receita!$L$2:$L$601)+SUMIF(Mercado_Receita!$S$2:$S$601,"44713B4ConvencionalIluminação públicaIluminação pública – B4aNão se aplicaNão se aplicaNão se aplica",Mercado_Receita!$L$2:$L$601)</f>
        <v>433.98200000000003</v>
      </c>
      <c r="U47" s="12">
        <f t="shared" si="0"/>
        <v>4840.4129999999996</v>
      </c>
      <c r="V47" s="12"/>
      <c r="W47" s="12"/>
    </row>
    <row r="48" spans="1:23" ht="11.25" customHeight="1" x14ac:dyDescent="0.25">
      <c r="A48" s="88"/>
      <c r="B48" s="88"/>
      <c r="C48" s="88"/>
      <c r="D48" s="12" t="s">
        <v>90</v>
      </c>
      <c r="E48" s="12" t="s">
        <v>25</v>
      </c>
      <c r="F48" s="12" t="s">
        <v>25</v>
      </c>
      <c r="G48" s="12" t="s">
        <v>77</v>
      </c>
      <c r="H48" s="12" t="s">
        <v>71</v>
      </c>
      <c r="I48" s="12">
        <f>SUMIF(Mercado_Receita!$S$2:$S$601,"44378B4ConvencionalIluminação públicaIluminação pública – B4bNão se aplicaNão se aplicaPonta",Mercado_Receita!$L$2:$L$601)+SUMIF(Mercado_Receita!$S$2:$S$601,"44378B4ConvencionalIluminação públicaIluminação pública – B4bNão se aplicaNão se aplicaFora ponta",Mercado_Receita!$L$2:$L$601)+SUMIF(Mercado_Receita!$S$2:$S$601,"44378B4ConvencionalIluminação públicaIluminação pública – B4bNão se aplicaNão se aplicaIntermediário",Mercado_Receita!$L$2:$L$601)+SUMIF(Mercado_Receita!$S$2:$S$601,"44378B4ConvencionalIluminação públicaIluminação pública – B4bNão se aplicaNão se aplicaNão se aplica",Mercado_Receita!$L$2:$L$601)</f>
        <v>0</v>
      </c>
      <c r="J48" s="12">
        <f>SUMIF(Mercado_Receita!$S$2:$S$601,"44409B4ConvencionalIluminação públicaIluminação pública – B4bNão se aplicaNão se aplicaPonta",Mercado_Receita!$L$2:$L$601)+SUMIF(Mercado_Receita!$S$2:$S$601,"44409B4ConvencionalIluminação públicaIluminação pública – B4bNão se aplicaNão se aplicaFora ponta",Mercado_Receita!$L$2:$L$601)+SUMIF(Mercado_Receita!$S$2:$S$601,"44409B4ConvencionalIluminação públicaIluminação pública – B4bNão se aplicaNão se aplicaIntermediário",Mercado_Receita!$L$2:$L$601)+SUMIF(Mercado_Receita!$S$2:$S$601,"44409B4ConvencionalIluminação públicaIluminação pública – B4bNão se aplicaNão se aplicaNão se aplica",Mercado_Receita!$L$2:$L$601)</f>
        <v>0</v>
      </c>
      <c r="K48" s="12">
        <f>SUMIF(Mercado_Receita!$S$2:$S$601,"44440B4ConvencionalIluminação públicaIluminação pública – B4bNão se aplicaNão se aplicaPonta",Mercado_Receita!$L$2:$L$601)+SUMIF(Mercado_Receita!$S$2:$S$601,"44440B4ConvencionalIluminação públicaIluminação pública – B4bNão se aplicaNão se aplicaFora ponta",Mercado_Receita!$L$2:$L$601)+SUMIF(Mercado_Receita!$S$2:$S$601,"44440B4ConvencionalIluminação públicaIluminação pública – B4bNão se aplicaNão se aplicaIntermediário",Mercado_Receita!$L$2:$L$601)+SUMIF(Mercado_Receita!$S$2:$S$601,"44440B4ConvencionalIluminação públicaIluminação pública – B4bNão se aplicaNão se aplicaNão se aplica",Mercado_Receita!$L$2:$L$601)</f>
        <v>0</v>
      </c>
      <c r="L48" s="12">
        <f>SUMIF(Mercado_Receita!$S$2:$S$601,"44470B4ConvencionalIluminação públicaIluminação pública – B4bNão se aplicaNão se aplicaPonta",Mercado_Receita!$L$2:$L$601)+SUMIF(Mercado_Receita!$S$2:$S$601,"44470B4ConvencionalIluminação públicaIluminação pública – B4bNão se aplicaNão se aplicaFora ponta",Mercado_Receita!$L$2:$L$601)+SUMIF(Mercado_Receita!$S$2:$S$601,"44470B4ConvencionalIluminação públicaIluminação pública – B4bNão se aplicaNão se aplicaIntermediário",Mercado_Receita!$L$2:$L$601)+SUMIF(Mercado_Receita!$S$2:$S$601,"44470B4ConvencionalIluminação públicaIluminação pública – B4bNão se aplicaNão se aplicaNão se aplica",Mercado_Receita!$L$2:$L$601)</f>
        <v>0</v>
      </c>
      <c r="M48" s="12">
        <f>SUMIF(Mercado_Receita!$S$2:$S$601,"44501B4ConvencionalIluminação públicaIluminação pública – B4bNão se aplicaNão se aplicaPonta",Mercado_Receita!$L$2:$L$601)+SUMIF(Mercado_Receita!$S$2:$S$601,"44501B4ConvencionalIluminação públicaIluminação pública – B4bNão se aplicaNão se aplicaFora ponta",Mercado_Receita!$L$2:$L$601)+SUMIF(Mercado_Receita!$S$2:$S$601,"44501B4ConvencionalIluminação públicaIluminação pública – B4bNão se aplicaNão se aplicaIntermediário",Mercado_Receita!$L$2:$L$601)+SUMIF(Mercado_Receita!$S$2:$S$601,"44501B4ConvencionalIluminação públicaIluminação pública – B4bNão se aplicaNão se aplicaNão se aplica",Mercado_Receita!$L$2:$L$601)</f>
        <v>0</v>
      </c>
      <c r="N48" s="12">
        <f>SUMIF(Mercado_Receita!$S$2:$S$601,"44531B4ConvencionalIluminação públicaIluminação pública – B4bNão se aplicaNão se aplicaPonta",Mercado_Receita!$L$2:$L$601)+SUMIF(Mercado_Receita!$S$2:$S$601,"44531B4ConvencionalIluminação públicaIluminação pública – B4bNão se aplicaNão se aplicaFora ponta",Mercado_Receita!$L$2:$L$601)+SUMIF(Mercado_Receita!$S$2:$S$601,"44531B4ConvencionalIluminação públicaIluminação pública – B4bNão se aplicaNão se aplicaIntermediário",Mercado_Receita!$L$2:$L$601)+SUMIF(Mercado_Receita!$S$2:$S$601,"44531B4ConvencionalIluminação públicaIluminação pública – B4bNão se aplicaNão se aplicaNão se aplica",Mercado_Receita!$L$2:$L$601)</f>
        <v>0</v>
      </c>
      <c r="O48" s="12">
        <f>SUMIF(Mercado_Receita!$S$2:$S$601,"44562B4ConvencionalIluminação públicaIluminação pública – B4bNão se aplicaNão se aplicaPonta",Mercado_Receita!$L$2:$L$601)+SUMIF(Mercado_Receita!$S$2:$S$601,"44562B4ConvencionalIluminação públicaIluminação pública – B4bNão se aplicaNão se aplicaFora ponta",Mercado_Receita!$L$2:$L$601)+SUMIF(Mercado_Receita!$S$2:$S$601,"44562B4ConvencionalIluminação públicaIluminação pública – B4bNão se aplicaNão se aplicaIntermediário",Mercado_Receita!$L$2:$L$601)+SUMIF(Mercado_Receita!$S$2:$S$601,"44562B4ConvencionalIluminação públicaIluminação pública – B4bNão se aplicaNão se aplicaNão se aplica",Mercado_Receita!$L$2:$L$601)</f>
        <v>0</v>
      </c>
      <c r="P48" s="12">
        <f>SUMIF(Mercado_Receita!$S$2:$S$601,"44593B4ConvencionalIluminação públicaIluminação pública – B4bNão se aplicaNão se aplicaPonta",Mercado_Receita!$L$2:$L$601)+SUMIF(Mercado_Receita!$S$2:$S$601,"44593B4ConvencionalIluminação públicaIluminação pública – B4bNão se aplicaNão se aplicaFora ponta",Mercado_Receita!$L$2:$L$601)+SUMIF(Mercado_Receita!$S$2:$S$601,"44593B4ConvencionalIluminação públicaIluminação pública – B4bNão se aplicaNão se aplicaIntermediário",Mercado_Receita!$L$2:$L$601)+SUMIF(Mercado_Receita!$S$2:$S$601,"44593B4ConvencionalIluminação públicaIluminação pública – B4bNão se aplicaNão se aplicaNão se aplica",Mercado_Receita!$L$2:$L$601)</f>
        <v>0</v>
      </c>
      <c r="Q48" s="12">
        <f>SUMIF(Mercado_Receita!$S$2:$S$601,"44621B4ConvencionalIluminação públicaIluminação pública – B4bNão se aplicaNão se aplicaPonta",Mercado_Receita!$L$2:$L$601)+SUMIF(Mercado_Receita!$S$2:$S$601,"44621B4ConvencionalIluminação públicaIluminação pública – B4bNão se aplicaNão se aplicaFora ponta",Mercado_Receita!$L$2:$L$601)+SUMIF(Mercado_Receita!$S$2:$S$601,"44621B4ConvencionalIluminação públicaIluminação pública – B4bNão se aplicaNão se aplicaIntermediário",Mercado_Receita!$L$2:$L$601)+SUMIF(Mercado_Receita!$S$2:$S$601,"44621B4ConvencionalIluminação públicaIluminação pública – B4bNão se aplicaNão se aplicaNão se aplica",Mercado_Receita!$L$2:$L$601)</f>
        <v>0</v>
      </c>
      <c r="R48" s="12">
        <f>SUMIF(Mercado_Receita!$S$2:$S$601,"44652B4ConvencionalIluminação públicaIluminação pública – B4bNão se aplicaNão se aplicaPonta",Mercado_Receita!$L$2:$L$601)+SUMIF(Mercado_Receita!$S$2:$S$601,"44652B4ConvencionalIluminação públicaIluminação pública – B4bNão se aplicaNão se aplicaFora ponta",Mercado_Receita!$L$2:$L$601)+SUMIF(Mercado_Receita!$S$2:$S$601,"44652B4ConvencionalIluminação públicaIluminação pública – B4bNão se aplicaNão se aplicaIntermediário",Mercado_Receita!$L$2:$L$601)+SUMIF(Mercado_Receita!$S$2:$S$601,"44652B4ConvencionalIluminação públicaIluminação pública – B4bNão se aplicaNão se aplicaNão se aplica",Mercado_Receita!$L$2:$L$601)</f>
        <v>0</v>
      </c>
      <c r="S48" s="12">
        <f>SUMIF(Mercado_Receita!$S$2:$S$601,"44682B4ConvencionalIluminação públicaIluminação pública – B4bNão se aplicaNão se aplicaPonta",Mercado_Receita!$L$2:$L$601)+SUMIF(Mercado_Receita!$S$2:$S$601,"44682B4ConvencionalIluminação públicaIluminação pública – B4bNão se aplicaNão se aplicaFora ponta",Mercado_Receita!$L$2:$L$601)+SUMIF(Mercado_Receita!$S$2:$S$601,"44682B4ConvencionalIluminação públicaIluminação pública – B4bNão se aplicaNão se aplicaIntermediário",Mercado_Receita!$L$2:$L$601)+SUMIF(Mercado_Receita!$S$2:$S$601,"44682B4ConvencionalIluminação públicaIluminação pública – B4bNão se aplicaNão se aplicaNão se aplica",Mercado_Receita!$L$2:$L$601)</f>
        <v>0</v>
      </c>
      <c r="T48" s="12">
        <f>SUMIF(Mercado_Receita!$S$2:$S$601,"44713B4ConvencionalIluminação públicaIluminação pública – B4bNão se aplicaNão se aplicaPonta",Mercado_Receita!$L$2:$L$601)+SUMIF(Mercado_Receita!$S$2:$S$601,"44713B4ConvencionalIluminação públicaIluminação pública – B4bNão se aplicaNão se aplicaFora ponta",Mercado_Receita!$L$2:$L$601)+SUMIF(Mercado_Receita!$S$2:$S$601,"44713B4ConvencionalIluminação públicaIluminação pública – B4bNão se aplicaNão se aplicaIntermediário",Mercado_Receita!$L$2:$L$601)+SUMIF(Mercado_Receita!$S$2:$S$601,"44713B4ConvencionalIluminação públicaIluminação pública – B4bNão se aplicaNão se aplicaNão se aplica",Mercado_Receita!$L$2:$L$601)</f>
        <v>0</v>
      </c>
      <c r="U48" s="12">
        <f t="shared" si="0"/>
        <v>0</v>
      </c>
      <c r="V48" s="12"/>
      <c r="W48" s="12"/>
    </row>
    <row r="49" spans="1:23" ht="11.25" customHeight="1" x14ac:dyDescent="0.25">
      <c r="A49" s="89" t="s">
        <v>359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12"/>
      <c r="W49" s="12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58DF-B384-4E23-ADF6-E6B29BE7487D}">
  <sheetPr codeName="Planilha5"/>
  <dimension ref="A1:AD39"/>
  <sheetViews>
    <sheetView showGridLines="0" workbookViewId="0">
      <selection sqref="A1:W39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69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7" t="s">
        <v>35</v>
      </c>
      <c r="B2" s="87" t="s">
        <v>70</v>
      </c>
      <c r="C2" s="87" t="s">
        <v>25</v>
      </c>
      <c r="D2" s="87" t="s">
        <v>25</v>
      </c>
      <c r="E2" s="87" t="s">
        <v>25</v>
      </c>
      <c r="F2" s="87" t="s">
        <v>25</v>
      </c>
      <c r="G2" s="12" t="s">
        <v>72</v>
      </c>
      <c r="H2" s="12" t="s">
        <v>71</v>
      </c>
      <c r="I2" s="12">
        <f>SUMIF(Mercado_Receita!$T$2:$T$601,"44378A4Energia horáriaNão se aplicaNão se aplicaNão se aplicaNão se aplicaPonta",Mercado_Receita!$N$2:$N$601)</f>
        <v>22.695999999999998</v>
      </c>
      <c r="J2" s="12">
        <f>SUMIF(Mercado_Receita!$T$2:$T$601,"44409A4Energia horáriaNão se aplicaNão se aplicaNão se aplicaNão se aplicaPonta",Mercado_Receita!$N$2:$N$601)</f>
        <v>38.707000000000001</v>
      </c>
      <c r="K2" s="12">
        <f>SUMIF(Mercado_Receita!$T$2:$T$601,"44440A4Energia horáriaNão se aplicaNão se aplicaNão se aplicaNão se aplicaPonta",Mercado_Receita!$N$2:$N$601)</f>
        <v>36.925000000000004</v>
      </c>
      <c r="L2" s="12">
        <f>SUMIF(Mercado_Receita!$T$2:$T$601,"44470A4Energia horáriaNão se aplicaNão se aplicaNão se aplicaNão se aplicaPonta",Mercado_Receita!$N$2:$N$601)</f>
        <v>36.291999999999994</v>
      </c>
      <c r="M2" s="12">
        <f>SUMIF(Mercado_Receita!$T$2:$T$601,"44501A4Energia horáriaNão se aplicaNão se aplicaNão se aplicaNão se aplicaPonta",Mercado_Receita!$N$2:$N$601)</f>
        <v>84.250999999999991</v>
      </c>
      <c r="N2" s="12">
        <f>SUMIF(Mercado_Receita!$T$2:$T$601,"44531A4Energia horáriaNão se aplicaNão se aplicaNão se aplicaNão se aplicaPonta",Mercado_Receita!$N$2:$N$601)</f>
        <v>100.563</v>
      </c>
      <c r="O2" s="12">
        <f>SUMIF(Mercado_Receita!$T$2:$T$601,"44562A4Energia horáriaNão se aplicaNão se aplicaNão se aplicaNão se aplicaPonta",Mercado_Receita!$N$2:$N$601)</f>
        <v>123.56399999999999</v>
      </c>
      <c r="P2" s="12">
        <f>SUMIF(Mercado_Receita!$T$2:$T$601,"44593A4Energia horáriaNão se aplicaNão se aplicaNão se aplicaNão se aplicaPonta",Mercado_Receita!$N$2:$N$601)</f>
        <v>100.601</v>
      </c>
      <c r="Q2" s="12">
        <f>SUMIF(Mercado_Receita!$T$2:$T$601,"44621A4Energia horáriaNão se aplicaNão se aplicaNão se aplicaNão se aplicaPonta",Mercado_Receita!$N$2:$N$601)</f>
        <v>88.650999999999996</v>
      </c>
      <c r="R2" s="12">
        <f>SUMIF(Mercado_Receita!$T$2:$T$601,"44652A4Energia horáriaNão se aplicaNão se aplicaNão se aplicaNão se aplicaPonta",Mercado_Receita!$N$2:$N$601)</f>
        <v>109.892</v>
      </c>
      <c r="S2" s="12">
        <f>SUMIF(Mercado_Receita!$T$2:$T$601,"44682A4Energia horáriaNão se aplicaNão se aplicaNão se aplicaNão se aplicaPonta",Mercado_Receita!$N$2:$N$601)</f>
        <v>102.54699999999998</v>
      </c>
      <c r="T2" s="12">
        <f>SUMIF(Mercado_Receita!$T$2:$T$601,"44713A4Energia horáriaNão se aplicaNão se aplicaNão se aplicaNão se aplicaPonta",Mercado_Receita!$N$2:$N$601)</f>
        <v>72.336000000000013</v>
      </c>
      <c r="U2" s="12">
        <f t="shared" ref="U2:U38" si="0">SUM(I2:T2)</f>
        <v>917.02499999999986</v>
      </c>
      <c r="V2" s="12"/>
      <c r="W2" s="12"/>
    </row>
    <row r="3" spans="1:30" ht="11.25" customHeight="1" x14ac:dyDescent="0.25">
      <c r="A3" s="88"/>
      <c r="B3" s="88"/>
      <c r="C3" s="88"/>
      <c r="D3" s="88"/>
      <c r="E3" s="88"/>
      <c r="F3" s="88"/>
      <c r="G3" s="12" t="s">
        <v>73</v>
      </c>
      <c r="H3" s="12" t="s">
        <v>71</v>
      </c>
      <c r="I3" s="12">
        <f>SUMIF(Mercado_Receita!$T$2:$T$601,"44378A4Energia horáriaNão se aplicaNão se aplicaNão se aplicaNão se aplicaFora ponta",Mercado_Receita!$N$2:$N$601)</f>
        <v>561.76300000000003</v>
      </c>
      <c r="J3" s="12">
        <f>SUMIF(Mercado_Receita!$T$2:$T$601,"44409A4Energia horáriaNão se aplicaNão se aplicaNão se aplicaNão se aplicaFora ponta",Mercado_Receita!$N$2:$N$601)</f>
        <v>811.01599999999996</v>
      </c>
      <c r="K3" s="12">
        <f>SUMIF(Mercado_Receita!$T$2:$T$601,"44440A4Energia horáriaNão se aplicaNão se aplicaNão se aplicaNão se aplicaFora ponta",Mercado_Receita!$N$2:$N$601)</f>
        <v>690.31200000000001</v>
      </c>
      <c r="L3" s="12">
        <f>SUMIF(Mercado_Receita!$T$2:$T$601,"44470A4Energia horáriaNão se aplicaNão se aplicaNão se aplicaNão se aplicaFora ponta",Mercado_Receita!$N$2:$N$601)</f>
        <v>749.19900000000007</v>
      </c>
      <c r="M3" s="12">
        <f>SUMIF(Mercado_Receita!$T$2:$T$601,"44501A4Energia horáriaNão se aplicaNão se aplicaNão se aplicaNão se aplicaFora ponta",Mercado_Receita!$N$2:$N$601)</f>
        <v>1493.316</v>
      </c>
      <c r="N3" s="12">
        <f>SUMIF(Mercado_Receita!$T$2:$T$601,"44531A4Energia horáriaNão se aplicaNão se aplicaNão se aplicaNão se aplicaFora ponta",Mercado_Receita!$N$2:$N$601)</f>
        <v>1618.6110000000001</v>
      </c>
      <c r="O3" s="12">
        <f>SUMIF(Mercado_Receita!$T$2:$T$601,"44562A4Energia horáriaNão se aplicaNão se aplicaNão se aplicaNão se aplicaFora ponta",Mercado_Receita!$N$2:$N$601)</f>
        <v>1750.7220000000002</v>
      </c>
      <c r="P3" s="12">
        <f>SUMIF(Mercado_Receita!$T$2:$T$601,"44593A4Energia horáriaNão se aplicaNão se aplicaNão se aplicaNão se aplicaFora ponta",Mercado_Receita!$N$2:$N$601)</f>
        <v>1573.1399999999999</v>
      </c>
      <c r="Q3" s="12">
        <f>SUMIF(Mercado_Receita!$T$2:$T$601,"44621A4Energia horáriaNão se aplicaNão se aplicaNão se aplicaNão se aplicaFora ponta",Mercado_Receita!$N$2:$N$601)</f>
        <v>1218.412</v>
      </c>
      <c r="R3" s="12">
        <f>SUMIF(Mercado_Receita!$T$2:$T$601,"44652A4Energia horáriaNão se aplicaNão se aplicaNão se aplicaNão se aplicaFora ponta",Mercado_Receita!$N$2:$N$601)</f>
        <v>1547.9190000000003</v>
      </c>
      <c r="S3" s="12">
        <f>SUMIF(Mercado_Receita!$T$2:$T$601,"44682A4Energia horáriaNão se aplicaNão se aplicaNão se aplicaNão se aplicaFora ponta",Mercado_Receita!$N$2:$N$601)</f>
        <v>1290.3609999999999</v>
      </c>
      <c r="T3" s="12">
        <f>SUMIF(Mercado_Receita!$T$2:$T$601,"44713A4Energia horáriaNão se aplicaNão se aplicaNão se aplicaNão se aplicaFora ponta",Mercado_Receita!$N$2:$N$601)</f>
        <v>1156.9850000000001</v>
      </c>
      <c r="U3" s="12">
        <f t="shared" si="0"/>
        <v>14461.756000000001</v>
      </c>
      <c r="V3" s="12"/>
      <c r="W3" s="12"/>
    </row>
    <row r="4" spans="1:30" ht="11.25" customHeight="1" x14ac:dyDescent="0.25">
      <c r="A4" s="87" t="s">
        <v>22</v>
      </c>
      <c r="B4" s="87" t="s">
        <v>70</v>
      </c>
      <c r="C4" s="87" t="s">
        <v>24</v>
      </c>
      <c r="D4" s="87" t="s">
        <v>24</v>
      </c>
      <c r="E4" s="87" t="s">
        <v>25</v>
      </c>
      <c r="F4" s="87" t="s">
        <v>25</v>
      </c>
      <c r="G4" s="12" t="s">
        <v>72</v>
      </c>
      <c r="H4" s="12" t="s">
        <v>71</v>
      </c>
      <c r="I4" s="12">
        <f>SUMIF(Mercado_Receita!$T$2:$T$601,"44378B1Energia horáriaResidencialResidencialNão se aplicaNão se aplicaPonta",Mercado_Receita!$N$2:$N$601)</f>
        <v>0</v>
      </c>
      <c r="J4" s="12">
        <f>SUMIF(Mercado_Receita!$T$2:$T$601,"44409B1Energia horáriaResidencialResidencialNão se aplicaNão se aplicaPonta",Mercado_Receita!$N$2:$N$601)</f>
        <v>0</v>
      </c>
      <c r="K4" s="12">
        <f>SUMIF(Mercado_Receita!$T$2:$T$601,"44440B1Energia horáriaResidencialResidencialNão se aplicaNão se aplicaPonta",Mercado_Receita!$N$2:$N$601)</f>
        <v>0</v>
      </c>
      <c r="L4" s="12">
        <f>SUMIF(Mercado_Receita!$T$2:$T$601,"44470B1Energia horáriaResidencialResidencialNão se aplicaNão se aplicaPonta",Mercado_Receita!$N$2:$N$601)</f>
        <v>0</v>
      </c>
      <c r="M4" s="12">
        <f>SUMIF(Mercado_Receita!$T$2:$T$601,"44501B1Energia horáriaResidencialResidencialNão se aplicaNão se aplicaPonta",Mercado_Receita!$N$2:$N$601)</f>
        <v>0</v>
      </c>
      <c r="N4" s="12">
        <f>SUMIF(Mercado_Receita!$T$2:$T$601,"44531B1Energia horáriaResidencialResidencialNão se aplicaNão se aplicaPonta",Mercado_Receita!$N$2:$N$601)</f>
        <v>0</v>
      </c>
      <c r="O4" s="12">
        <f>SUMIF(Mercado_Receita!$T$2:$T$601,"44562B1Energia horáriaResidencialResidencialNão se aplicaNão se aplicaPonta",Mercado_Receita!$N$2:$N$601)</f>
        <v>0</v>
      </c>
      <c r="P4" s="12">
        <f>SUMIF(Mercado_Receita!$T$2:$T$601,"44593B1Energia horáriaResidencialResidencialNão se aplicaNão se aplicaPonta",Mercado_Receita!$N$2:$N$601)</f>
        <v>0</v>
      </c>
      <c r="Q4" s="12">
        <f>SUMIF(Mercado_Receita!$T$2:$T$601,"44621B1Energia horáriaResidencialResidencialNão se aplicaNão se aplicaPonta",Mercado_Receita!$N$2:$N$601)</f>
        <v>0</v>
      </c>
      <c r="R4" s="12">
        <f>SUMIF(Mercado_Receita!$T$2:$T$601,"44652B1Energia horáriaResidencialResidencialNão se aplicaNão se aplicaPonta",Mercado_Receita!$N$2:$N$601)</f>
        <v>0</v>
      </c>
      <c r="S4" s="12">
        <f>SUMIF(Mercado_Receita!$T$2:$T$601,"44682B1Energia horáriaResidencialResidencialNão se aplicaNão se aplicaPonta",Mercado_Receita!$N$2:$N$601)</f>
        <v>0</v>
      </c>
      <c r="T4" s="12">
        <f>SUMIF(Mercado_Receita!$T$2:$T$601,"44713B1Energia horáriaResidencialResidencialNão se aplicaNão se aplicaPonta",Mercado_Receita!$N$2:$N$601)</f>
        <v>0</v>
      </c>
      <c r="U4" s="12">
        <f t="shared" si="0"/>
        <v>0</v>
      </c>
      <c r="V4" s="12"/>
      <c r="W4" s="12"/>
    </row>
    <row r="5" spans="1:30" ht="11.25" customHeight="1" x14ac:dyDescent="0.25">
      <c r="A5" s="88"/>
      <c r="B5" s="88"/>
      <c r="C5" s="88"/>
      <c r="D5" s="88"/>
      <c r="E5" s="88"/>
      <c r="F5" s="88"/>
      <c r="G5" s="12" t="s">
        <v>83</v>
      </c>
      <c r="H5" s="12" t="s">
        <v>71</v>
      </c>
      <c r="I5" s="12">
        <f>SUMIF(Mercado_Receita!$T$2:$T$601,"44378B1Energia horáriaResidencialResidencialNão se aplicaNão se aplicaIntermediário",Mercado_Receita!$N$2:$N$601)</f>
        <v>0</v>
      </c>
      <c r="J5" s="12">
        <f>SUMIF(Mercado_Receita!$T$2:$T$601,"44409B1Energia horáriaResidencialResidencialNão se aplicaNão se aplicaIntermediário",Mercado_Receita!$N$2:$N$601)</f>
        <v>0</v>
      </c>
      <c r="K5" s="12">
        <f>SUMIF(Mercado_Receita!$T$2:$T$601,"44440B1Energia horáriaResidencialResidencialNão se aplicaNão se aplicaIntermediário",Mercado_Receita!$N$2:$N$601)</f>
        <v>0</v>
      </c>
      <c r="L5" s="12">
        <f>SUMIF(Mercado_Receita!$T$2:$T$601,"44470B1Energia horáriaResidencialResidencialNão se aplicaNão se aplicaIntermediário",Mercado_Receita!$N$2:$N$601)</f>
        <v>0</v>
      </c>
      <c r="M5" s="12">
        <f>SUMIF(Mercado_Receita!$T$2:$T$601,"44501B1Energia horáriaResidencialResidencialNão se aplicaNão se aplicaIntermediário",Mercado_Receita!$N$2:$N$601)</f>
        <v>0</v>
      </c>
      <c r="N5" s="12">
        <f>SUMIF(Mercado_Receita!$T$2:$T$601,"44531B1Energia horáriaResidencialResidencialNão se aplicaNão se aplicaIntermediário",Mercado_Receita!$N$2:$N$601)</f>
        <v>0</v>
      </c>
      <c r="O5" s="12">
        <f>SUMIF(Mercado_Receita!$T$2:$T$601,"44562B1Energia horáriaResidencialResidencialNão se aplicaNão se aplicaIntermediário",Mercado_Receita!$N$2:$N$601)</f>
        <v>0</v>
      </c>
      <c r="P5" s="12">
        <f>SUMIF(Mercado_Receita!$T$2:$T$601,"44593B1Energia horáriaResidencialResidencialNão se aplicaNão se aplicaIntermediário",Mercado_Receita!$N$2:$N$601)</f>
        <v>0</v>
      </c>
      <c r="Q5" s="12">
        <f>SUMIF(Mercado_Receita!$T$2:$T$601,"44621B1Energia horáriaResidencialResidencialNão se aplicaNão se aplicaIntermediário",Mercado_Receita!$N$2:$N$601)</f>
        <v>0</v>
      </c>
      <c r="R5" s="12">
        <f>SUMIF(Mercado_Receita!$T$2:$T$601,"44652B1Energia horáriaResidencialResidencialNão se aplicaNão se aplicaIntermediário",Mercado_Receita!$N$2:$N$601)</f>
        <v>0</v>
      </c>
      <c r="S5" s="12">
        <f>SUMIF(Mercado_Receita!$T$2:$T$601,"44682B1Energia horáriaResidencialResidencialNão se aplicaNão se aplicaIntermediário",Mercado_Receita!$N$2:$N$601)</f>
        <v>0</v>
      </c>
      <c r="T5" s="12">
        <f>SUMIF(Mercado_Receita!$T$2:$T$601,"44713B1Energia horáriaResidencialResidencialNão se aplicaNão se aplicaIntermediário",Mercado_Receita!$N$2:$N$601)</f>
        <v>0</v>
      </c>
      <c r="U5" s="12">
        <f t="shared" si="0"/>
        <v>0</v>
      </c>
      <c r="V5" s="12"/>
      <c r="W5" s="12"/>
    </row>
    <row r="6" spans="1:30" ht="11.25" customHeight="1" x14ac:dyDescent="0.25">
      <c r="A6" s="88"/>
      <c r="B6" s="88"/>
      <c r="C6" s="88"/>
      <c r="D6" s="88"/>
      <c r="E6" s="88"/>
      <c r="F6" s="88"/>
      <c r="G6" s="12" t="s">
        <v>73</v>
      </c>
      <c r="H6" s="12" t="s">
        <v>71</v>
      </c>
      <c r="I6" s="12">
        <f>SUMIF(Mercado_Receita!$T$2:$T$601,"44378B1Energia horáriaResidencialResidencialNão se aplicaNão se aplicaFora ponta",Mercado_Receita!$N$2:$N$601)</f>
        <v>0</v>
      </c>
      <c r="J6" s="12">
        <f>SUMIF(Mercado_Receita!$T$2:$T$601,"44409B1Energia horáriaResidencialResidencialNão se aplicaNão se aplicaFora ponta",Mercado_Receita!$N$2:$N$601)</f>
        <v>0</v>
      </c>
      <c r="K6" s="12">
        <f>SUMIF(Mercado_Receita!$T$2:$T$601,"44440B1Energia horáriaResidencialResidencialNão se aplicaNão se aplicaFora ponta",Mercado_Receita!$N$2:$N$601)</f>
        <v>0</v>
      </c>
      <c r="L6" s="12">
        <f>SUMIF(Mercado_Receita!$T$2:$T$601,"44470B1Energia horáriaResidencialResidencialNão se aplicaNão se aplicaFora ponta",Mercado_Receita!$N$2:$N$601)</f>
        <v>0</v>
      </c>
      <c r="M6" s="12">
        <f>SUMIF(Mercado_Receita!$T$2:$T$601,"44501B1Energia horáriaResidencialResidencialNão se aplicaNão se aplicaFora ponta",Mercado_Receita!$N$2:$N$601)</f>
        <v>0</v>
      </c>
      <c r="N6" s="12">
        <f>SUMIF(Mercado_Receita!$T$2:$T$601,"44531B1Energia horáriaResidencialResidencialNão se aplicaNão se aplicaFora ponta",Mercado_Receita!$N$2:$N$601)</f>
        <v>0</v>
      </c>
      <c r="O6" s="12">
        <f>SUMIF(Mercado_Receita!$T$2:$T$601,"44562B1Energia horáriaResidencialResidencialNão se aplicaNão se aplicaFora ponta",Mercado_Receita!$N$2:$N$601)</f>
        <v>0</v>
      </c>
      <c r="P6" s="12">
        <f>SUMIF(Mercado_Receita!$T$2:$T$601,"44593B1Energia horáriaResidencialResidencialNão se aplicaNão se aplicaFora ponta",Mercado_Receita!$N$2:$N$601)</f>
        <v>0</v>
      </c>
      <c r="Q6" s="12">
        <f>SUMIF(Mercado_Receita!$T$2:$T$601,"44621B1Energia horáriaResidencialResidencialNão se aplicaNão se aplicaFora ponta",Mercado_Receita!$N$2:$N$601)</f>
        <v>0</v>
      </c>
      <c r="R6" s="12">
        <f>SUMIF(Mercado_Receita!$T$2:$T$601,"44652B1Energia horáriaResidencialResidencialNão se aplicaNão se aplicaFora ponta",Mercado_Receita!$N$2:$N$601)</f>
        <v>0</v>
      </c>
      <c r="S6" s="12">
        <f>SUMIF(Mercado_Receita!$T$2:$T$601,"44682B1Energia horáriaResidencialResidencialNão se aplicaNão se aplicaFora ponta",Mercado_Receita!$N$2:$N$601)</f>
        <v>0</v>
      </c>
      <c r="T6" s="12">
        <f>SUMIF(Mercado_Receita!$T$2:$T$601,"44713B1Energia horáriaResidencialResidencialNão se aplicaNão se aplicaFora ponta",Mercado_Receita!$N$2:$N$601)</f>
        <v>0</v>
      </c>
      <c r="U6" s="12">
        <f t="shared" si="0"/>
        <v>0</v>
      </c>
      <c r="V6" s="12"/>
      <c r="W6" s="12"/>
    </row>
    <row r="7" spans="1:30" ht="11.25" customHeight="1" x14ac:dyDescent="0.25">
      <c r="A7" s="88"/>
      <c r="B7" s="87" t="s">
        <v>84</v>
      </c>
      <c r="C7" s="87" t="s">
        <v>24</v>
      </c>
      <c r="D7" s="13" t="s">
        <v>24</v>
      </c>
      <c r="E7" s="13" t="s">
        <v>25</v>
      </c>
      <c r="F7" s="13" t="s">
        <v>25</v>
      </c>
      <c r="G7" s="12" t="s">
        <v>77</v>
      </c>
      <c r="H7" s="12" t="s">
        <v>71</v>
      </c>
      <c r="I7" s="12">
        <f>SUMIF(Mercado_Receita!$T$2:$T$601,"44378B1Energia convencionalResidencialResidencialNão se aplicaNão se aplicaNão se aplica",Mercado_Receita!$N$2:$N$601)</f>
        <v>1036.346</v>
      </c>
      <c r="J7" s="12">
        <f>SUMIF(Mercado_Receita!$T$2:$T$601,"44409B1Energia convencionalResidencialResidencialNão se aplicaNão se aplicaNão se aplica",Mercado_Receita!$N$2:$N$601)</f>
        <v>1048.0170000000001</v>
      </c>
      <c r="K7" s="12">
        <f>SUMIF(Mercado_Receita!$T$2:$T$601,"44440B1Energia convencionalResidencialResidencialNão se aplicaNão se aplicaNão se aplica",Mercado_Receita!$N$2:$N$601)</f>
        <v>1062.0989999999999</v>
      </c>
      <c r="L7" s="12">
        <f>SUMIF(Mercado_Receita!$T$2:$T$601,"44470B1Energia convencionalResidencialResidencialNão se aplicaNão se aplicaNão se aplica",Mercado_Receita!$N$2:$N$601)</f>
        <v>1027.1089999999999</v>
      </c>
      <c r="M7" s="12">
        <f>SUMIF(Mercado_Receita!$T$2:$T$601,"44501B1Energia convencionalResidencialResidencialNão se aplicaNão se aplicaNão se aplica",Mercado_Receita!$N$2:$N$601)</f>
        <v>1139.431</v>
      </c>
      <c r="N7" s="12">
        <f>SUMIF(Mercado_Receita!$T$2:$T$601,"44531B1Energia convencionalResidencialResidencialNão se aplicaNão se aplicaNão se aplica",Mercado_Receita!$N$2:$N$601)</f>
        <v>1141.5360000000001</v>
      </c>
      <c r="O7" s="12">
        <f>SUMIF(Mercado_Receita!$T$2:$T$601,"44562B1Energia convencionalResidencialResidencialNão se aplicaNão se aplicaNão se aplica",Mercado_Receita!$N$2:$N$601)</f>
        <v>1438.7950000000001</v>
      </c>
      <c r="P7" s="12">
        <f>SUMIF(Mercado_Receita!$T$2:$T$601,"44593B1Energia convencionalResidencialResidencialNão se aplicaNão se aplicaNão se aplica",Mercado_Receita!$N$2:$N$601)</f>
        <v>1506.2329999999999</v>
      </c>
      <c r="Q7" s="12">
        <f>SUMIF(Mercado_Receita!$T$2:$T$601,"44621B1Energia convencionalResidencialResidencialNão se aplicaNão se aplicaNão se aplica",Mercado_Receita!$N$2:$N$601)</f>
        <v>1335.174</v>
      </c>
      <c r="R7" s="12">
        <f>SUMIF(Mercado_Receita!$T$2:$T$601,"44652B1Energia convencionalResidencialResidencialNão se aplicaNão se aplicaNão se aplica",Mercado_Receita!$N$2:$N$601)</f>
        <v>1068.0309999999997</v>
      </c>
      <c r="S7" s="12">
        <f>SUMIF(Mercado_Receita!$T$2:$T$601,"44682B1Energia convencionalResidencialResidencialNão se aplicaNão se aplicaNão se aplica",Mercado_Receita!$N$2:$N$601)</f>
        <v>1017.5329999999999</v>
      </c>
      <c r="T7" s="12">
        <f>SUMIF(Mercado_Receita!$T$2:$T$601,"44713B1Energia convencionalResidencialResidencialNão se aplicaNão se aplicaNão se aplica",Mercado_Receita!$N$2:$N$601)</f>
        <v>997.09400000000005</v>
      </c>
      <c r="U7" s="12">
        <f t="shared" si="0"/>
        <v>13817.398000000001</v>
      </c>
      <c r="V7" s="12"/>
      <c r="W7" s="12"/>
    </row>
    <row r="8" spans="1:30" ht="11.25" customHeight="1" x14ac:dyDescent="0.25">
      <c r="A8" s="88"/>
      <c r="B8" s="88"/>
      <c r="C8" s="88"/>
      <c r="D8" s="13" t="s">
        <v>29</v>
      </c>
      <c r="E8" s="13" t="s">
        <v>25</v>
      </c>
      <c r="F8" s="13" t="s">
        <v>25</v>
      </c>
      <c r="G8" s="12" t="s">
        <v>77</v>
      </c>
      <c r="H8" s="12" t="s">
        <v>71</v>
      </c>
      <c r="I8" s="12">
        <f>SUMIF(Mercado_Receita!$T$2:$T$601,"44378B1Energia convencionalResidencialResidencial baixa renda – faixa 01Não se aplicaNão se aplicaNão se aplica",Mercado_Receita!$N$2:$N$601)</f>
        <v>8.129999999999999</v>
      </c>
      <c r="J8" s="12">
        <f>SUMIF(Mercado_Receita!$T$2:$T$601,"44409B1Energia convencionalResidencialResidencial baixa renda – faixa 01Não se aplicaNão se aplicaNão se aplica",Mercado_Receita!$N$2:$N$601)</f>
        <v>8.5960000000000001</v>
      </c>
      <c r="K8" s="12">
        <f>SUMIF(Mercado_Receita!$T$2:$T$601,"44440B1Energia convencionalResidencialResidencial baixa renda – faixa 01Não se aplicaNão se aplicaNão se aplica",Mercado_Receita!$N$2:$N$601)</f>
        <v>8.5659999999999989</v>
      </c>
      <c r="L8" s="12">
        <f>SUMIF(Mercado_Receita!$T$2:$T$601,"44470B1Energia convencionalResidencialResidencial baixa renda – faixa 01Não se aplicaNão se aplicaNão se aplica",Mercado_Receita!$N$2:$N$601)</f>
        <v>8.7240000000000002</v>
      </c>
      <c r="M8" s="12">
        <f>SUMIF(Mercado_Receita!$T$2:$T$601,"44501B1Energia convencionalResidencialResidencial baixa renda – faixa 01Não se aplicaNão se aplicaNão se aplica",Mercado_Receita!$N$2:$N$601)</f>
        <v>8.7900000000000009</v>
      </c>
      <c r="N8" s="12">
        <f>SUMIF(Mercado_Receita!$T$2:$T$601,"44531B1Energia convencionalResidencialResidencial baixa renda – faixa 01Não se aplicaNão se aplicaNão se aplica",Mercado_Receita!$N$2:$N$601)</f>
        <v>9.120000000000001</v>
      </c>
      <c r="O8" s="12">
        <f>SUMIF(Mercado_Receita!$T$2:$T$601,"44562B1Energia convencionalResidencialResidencial baixa renda – faixa 01Não se aplicaNão se aplicaNão se aplica",Mercado_Receita!$N$2:$N$601)</f>
        <v>9.2700000000000014</v>
      </c>
      <c r="P8" s="12">
        <f>SUMIF(Mercado_Receita!$T$2:$T$601,"44593B1Energia convencionalResidencialResidencial baixa renda – faixa 01Não se aplicaNão se aplicaNão se aplica",Mercado_Receita!$N$2:$N$601)</f>
        <v>9.42</v>
      </c>
      <c r="Q8" s="12">
        <f>SUMIF(Mercado_Receita!$T$2:$T$601,"44621B1Energia convencionalResidencialResidencial baixa renda – faixa 01Não se aplicaNão se aplicaNão se aplica",Mercado_Receita!$N$2:$N$601)</f>
        <v>9.7200000000000006</v>
      </c>
      <c r="R8" s="12">
        <f>SUMIF(Mercado_Receita!$T$2:$T$601,"44652B1Energia convencionalResidencialResidencial baixa renda – faixa 01Não se aplicaNão se aplicaNão se aplica",Mercado_Receita!$N$2:$N$601)</f>
        <v>23.036999999999999</v>
      </c>
      <c r="S8" s="12">
        <f>SUMIF(Mercado_Receita!$T$2:$T$601,"44682B1Energia convencionalResidencialResidencial baixa renda – faixa 01Não se aplicaNão se aplicaNão se aplica",Mercado_Receita!$N$2:$N$601)</f>
        <v>23.656000000000002</v>
      </c>
      <c r="T8" s="12">
        <f>SUMIF(Mercado_Receita!$T$2:$T$601,"44713B1Energia convencionalResidencialResidencial baixa renda – faixa 01Não se aplicaNão se aplicaNão se aplica",Mercado_Receita!$N$2:$N$601)</f>
        <v>25.193000000000001</v>
      </c>
      <c r="U8" s="12">
        <f t="shared" si="0"/>
        <v>152.22200000000001</v>
      </c>
      <c r="V8" s="12"/>
      <c r="W8" s="12"/>
    </row>
    <row r="9" spans="1:30" ht="11.25" customHeight="1" x14ac:dyDescent="0.25">
      <c r="A9" s="88"/>
      <c r="B9" s="88"/>
      <c r="C9" s="88"/>
      <c r="D9" s="13" t="s">
        <v>30</v>
      </c>
      <c r="E9" s="13" t="s">
        <v>25</v>
      </c>
      <c r="F9" s="13" t="s">
        <v>25</v>
      </c>
      <c r="G9" s="12" t="s">
        <v>77</v>
      </c>
      <c r="H9" s="12" t="s">
        <v>71</v>
      </c>
      <c r="I9" s="12">
        <f>SUMIF(Mercado_Receita!$T$2:$T$601,"44378B1Energia convencionalResidencialResidencial baixa renda – faixa 02Não se aplicaNão se aplicaNão se aplica",Mercado_Receita!$N$2:$N$601)</f>
        <v>13.380999999999998</v>
      </c>
      <c r="J9" s="12">
        <f>SUMIF(Mercado_Receita!$T$2:$T$601,"44409B1Energia convencionalResidencialResidencial baixa renda – faixa 02Não se aplicaNão se aplicaNão se aplica",Mercado_Receita!$N$2:$N$601)</f>
        <v>14.515000000000001</v>
      </c>
      <c r="K9" s="12">
        <f>SUMIF(Mercado_Receita!$T$2:$T$601,"44440B1Energia convencionalResidencialResidencial baixa renda – faixa 02Não se aplicaNão se aplicaNão se aplica",Mercado_Receita!$N$2:$N$601)</f>
        <v>15.055999999999999</v>
      </c>
      <c r="L9" s="12">
        <f>SUMIF(Mercado_Receita!$T$2:$T$601,"44470B1Energia convencionalResidencialResidencial baixa renda – faixa 02Não se aplicaNão se aplicaNão se aplica",Mercado_Receita!$N$2:$N$601)</f>
        <v>15.439</v>
      </c>
      <c r="M9" s="12">
        <f>SUMIF(Mercado_Receita!$T$2:$T$601,"44501B1Energia convencionalResidencialResidencial baixa renda – faixa 02Não se aplicaNão se aplicaNão se aplica",Mercado_Receita!$N$2:$N$601)</f>
        <v>16.486000000000001</v>
      </c>
      <c r="N9" s="12">
        <f>SUMIF(Mercado_Receita!$T$2:$T$601,"44531B1Energia convencionalResidencialResidencial baixa renda – faixa 02Não se aplicaNão se aplicaNão se aplica",Mercado_Receita!$N$2:$N$601)</f>
        <v>17.509</v>
      </c>
      <c r="O9" s="12">
        <f>SUMIF(Mercado_Receita!$T$2:$T$601,"44562B1Energia convencionalResidencialResidencial baixa renda – faixa 02Não se aplicaNão se aplicaNão se aplica",Mercado_Receita!$N$2:$N$601)</f>
        <v>18.545999999999999</v>
      </c>
      <c r="P9" s="12">
        <f>SUMIF(Mercado_Receita!$T$2:$T$601,"44593B1Energia convencionalResidencialResidencial baixa renda – faixa 02Não se aplicaNão se aplicaNão se aplica",Mercado_Receita!$N$2:$N$601)</f>
        <v>19.137</v>
      </c>
      <c r="Q9" s="12">
        <f>SUMIF(Mercado_Receita!$T$2:$T$601,"44621B1Energia convencionalResidencialResidencial baixa renda – faixa 02Não se aplicaNão se aplicaNão se aplica",Mercado_Receita!$N$2:$N$601)</f>
        <v>19.541</v>
      </c>
      <c r="R9" s="12">
        <f>SUMIF(Mercado_Receita!$T$2:$T$601,"44652B1Energia convencionalResidencialResidencial baixa renda – faixa 02Não se aplicaNão se aplicaNão se aplica",Mercado_Receita!$N$2:$N$601)</f>
        <v>40.335999999999999</v>
      </c>
      <c r="S9" s="12">
        <f>SUMIF(Mercado_Receita!$T$2:$T$601,"44682B1Energia convencionalResidencialResidencial baixa renda – faixa 02Não se aplicaNão se aplicaNão se aplica",Mercado_Receita!$N$2:$N$601)</f>
        <v>40.542000000000002</v>
      </c>
      <c r="T9" s="12">
        <f>SUMIF(Mercado_Receita!$T$2:$T$601,"44713B1Energia convencionalResidencialResidencial baixa renda – faixa 02Não se aplicaNão se aplicaNão se aplica",Mercado_Receita!$N$2:$N$601)</f>
        <v>41.134</v>
      </c>
      <c r="U9" s="12">
        <f t="shared" si="0"/>
        <v>271.62199999999996</v>
      </c>
      <c r="V9" s="12"/>
      <c r="W9" s="12"/>
    </row>
    <row r="10" spans="1:30" ht="11.25" customHeight="1" x14ac:dyDescent="0.25">
      <c r="A10" s="88"/>
      <c r="B10" s="88"/>
      <c r="C10" s="88"/>
      <c r="D10" s="13" t="s">
        <v>31</v>
      </c>
      <c r="E10" s="13" t="s">
        <v>25</v>
      </c>
      <c r="F10" s="13" t="s">
        <v>25</v>
      </c>
      <c r="G10" s="12" t="s">
        <v>77</v>
      </c>
      <c r="H10" s="12" t="s">
        <v>71</v>
      </c>
      <c r="I10" s="12">
        <f>SUMIF(Mercado_Receita!$T$2:$T$601,"44378B1Energia convencionalResidencialResidencial baixa renda – faixa 03Não se aplicaNão se aplicaNão se aplica",Mercado_Receita!$N$2:$N$601)</f>
        <v>8.3789999999999996</v>
      </c>
      <c r="J10" s="12">
        <f>SUMIF(Mercado_Receita!$T$2:$T$601,"44409B1Energia convencionalResidencialResidencial baixa renda – faixa 03Não se aplicaNão se aplicaNão se aplica",Mercado_Receita!$N$2:$N$601)</f>
        <v>9.2449999999999992</v>
      </c>
      <c r="K10" s="12">
        <f>SUMIF(Mercado_Receita!$T$2:$T$601,"44440B1Energia convencionalResidencialResidencial baixa renda – faixa 03Não se aplicaNão se aplicaNão se aplica",Mercado_Receita!$N$2:$N$601)</f>
        <v>10.483000000000001</v>
      </c>
      <c r="L10" s="12">
        <f>SUMIF(Mercado_Receita!$T$2:$T$601,"44470B1Energia convencionalResidencialResidencial baixa renda – faixa 03Não se aplicaNão se aplicaNão se aplica",Mercado_Receita!$N$2:$N$601)</f>
        <v>10.374000000000001</v>
      </c>
      <c r="M10" s="12">
        <f>SUMIF(Mercado_Receita!$T$2:$T$601,"44501B1Energia convencionalResidencialResidencial baixa renda – faixa 03Não se aplicaNão se aplicaNão se aplica",Mercado_Receita!$N$2:$N$601)</f>
        <v>12.676</v>
      </c>
      <c r="N10" s="12">
        <f>SUMIF(Mercado_Receita!$T$2:$T$601,"44531B1Energia convencionalResidencialResidencial baixa renda – faixa 03Não se aplicaNão se aplicaNão se aplica",Mercado_Receita!$N$2:$N$601)</f>
        <v>13.223000000000001</v>
      </c>
      <c r="O10" s="12">
        <f>SUMIF(Mercado_Receita!$T$2:$T$601,"44562B1Energia convencionalResidencialResidencial baixa renda – faixa 03Não se aplicaNão se aplicaNão se aplica",Mercado_Receita!$N$2:$N$601)</f>
        <v>17.148</v>
      </c>
      <c r="P10" s="12">
        <f>SUMIF(Mercado_Receita!$T$2:$T$601,"44593B1Energia convencionalResidencialResidencial baixa renda – faixa 03Não se aplicaNão se aplicaNão se aplica",Mercado_Receita!$N$2:$N$601)</f>
        <v>18.954999999999998</v>
      </c>
      <c r="Q10" s="12">
        <f>SUMIF(Mercado_Receita!$T$2:$T$601,"44621B1Energia convencionalResidencialResidencial baixa renda – faixa 03Não se aplicaNão se aplicaNão se aplica",Mercado_Receita!$N$2:$N$601)</f>
        <v>18.23</v>
      </c>
      <c r="R10" s="12">
        <f>SUMIF(Mercado_Receita!$T$2:$T$601,"44652B1Energia convencionalResidencialResidencial baixa renda – faixa 03Não se aplicaNão se aplicaNão se aplica",Mercado_Receita!$N$2:$N$601)</f>
        <v>28.111999999999998</v>
      </c>
      <c r="S10" s="12">
        <f>SUMIF(Mercado_Receita!$T$2:$T$601,"44682B1Energia convencionalResidencialResidencial baixa renda – faixa 03Não se aplicaNão se aplicaNão se aplica",Mercado_Receita!$N$2:$N$601)</f>
        <v>25.003999999999998</v>
      </c>
      <c r="T10" s="12">
        <f>SUMIF(Mercado_Receita!$T$2:$T$601,"44713B1Energia convencionalResidencialResidencial baixa renda – faixa 03Não se aplicaNão se aplicaNão se aplica",Mercado_Receita!$N$2:$N$601)</f>
        <v>23.893000000000001</v>
      </c>
      <c r="U10" s="12">
        <f t="shared" si="0"/>
        <v>195.72200000000001</v>
      </c>
      <c r="V10" s="12"/>
      <c r="W10" s="12"/>
    </row>
    <row r="11" spans="1:30" ht="11.25" customHeight="1" x14ac:dyDescent="0.25">
      <c r="A11" s="88"/>
      <c r="B11" s="88"/>
      <c r="C11" s="88"/>
      <c r="D11" s="13" t="s">
        <v>32</v>
      </c>
      <c r="E11" s="13" t="s">
        <v>25</v>
      </c>
      <c r="F11" s="13" t="s">
        <v>25</v>
      </c>
      <c r="G11" s="12" t="s">
        <v>77</v>
      </c>
      <c r="H11" s="12" t="s">
        <v>71</v>
      </c>
      <c r="I11" s="12">
        <f>SUMIF(Mercado_Receita!$T$2:$T$601,"44378B1Energia convencionalResidencialResidencial baixa renda – faixa 04Não se aplicaNão se aplicaNão se aplica",Mercado_Receita!$N$2:$N$601)</f>
        <v>1.22</v>
      </c>
      <c r="J11" s="12">
        <f>SUMIF(Mercado_Receita!$T$2:$T$601,"44409B1Energia convencionalResidencialResidencial baixa renda – faixa 04Não se aplicaNão se aplicaNão se aplica",Mercado_Receita!$N$2:$N$601)</f>
        <v>1.6419999999999999</v>
      </c>
      <c r="K11" s="12">
        <f>SUMIF(Mercado_Receita!$T$2:$T$601,"44440B1Energia convencionalResidencialResidencial baixa renda – faixa 04Não se aplicaNão se aplicaNão se aplica",Mercado_Receita!$N$2:$N$601)</f>
        <v>2.2559999999999998</v>
      </c>
      <c r="L11" s="12">
        <f>SUMIF(Mercado_Receita!$T$2:$T$601,"44470B1Energia convencionalResidencialResidencial baixa renda – faixa 04Não se aplicaNão se aplicaNão se aplica",Mercado_Receita!$N$2:$N$601)</f>
        <v>1.8440000000000001</v>
      </c>
      <c r="M11" s="12">
        <f>SUMIF(Mercado_Receita!$T$2:$T$601,"44501B1Energia convencionalResidencialResidencial baixa renda – faixa 04Não se aplicaNão se aplicaNão se aplica",Mercado_Receita!$N$2:$N$601)</f>
        <v>3.5609999999999999</v>
      </c>
      <c r="N11" s="12">
        <f>SUMIF(Mercado_Receita!$T$2:$T$601,"44531B1Energia convencionalResidencialResidencial baixa renda – faixa 04Não se aplicaNão se aplicaNão se aplica",Mercado_Receita!$N$2:$N$601)</f>
        <v>4.069</v>
      </c>
      <c r="O11" s="12">
        <f>SUMIF(Mercado_Receita!$T$2:$T$601,"44562B1Energia convencionalResidencialResidencial baixa renda – faixa 04Não se aplicaNão se aplicaNão se aplica",Mercado_Receita!$N$2:$N$601)</f>
        <v>8.4060000000000006</v>
      </c>
      <c r="P11" s="12">
        <f>SUMIF(Mercado_Receita!$T$2:$T$601,"44593B1Energia convencionalResidencialResidencial baixa renda – faixa 04Não se aplicaNão se aplicaNão se aplica",Mercado_Receita!$N$2:$N$601)</f>
        <v>9.0579999999999998</v>
      </c>
      <c r="Q11" s="12">
        <f>SUMIF(Mercado_Receita!$T$2:$T$601,"44621B1Energia convencionalResidencialResidencial baixa renda – faixa 04Não se aplicaNão se aplicaNão se aplica",Mercado_Receita!$N$2:$N$601)</f>
        <v>5.7720000000000002</v>
      </c>
      <c r="R11" s="12">
        <f>SUMIF(Mercado_Receita!$T$2:$T$601,"44652B1Energia convencionalResidencialResidencial baixa renda – faixa 04Não se aplicaNão se aplicaNão se aplica",Mercado_Receita!$N$2:$N$601)</f>
        <v>7.0389999999999997</v>
      </c>
      <c r="S11" s="12">
        <f>SUMIF(Mercado_Receita!$T$2:$T$601,"44682B1Energia convencionalResidencialResidencial baixa renda – faixa 04Não se aplicaNão se aplicaNão se aplica",Mercado_Receita!$N$2:$N$601)</f>
        <v>5.6019999999999994</v>
      </c>
      <c r="T11" s="12">
        <f>SUMIF(Mercado_Receita!$T$2:$T$601,"44713B1Energia convencionalResidencialResidencial baixa renda – faixa 04Não se aplicaNão se aplicaNão se aplica",Mercado_Receita!$N$2:$N$601)</f>
        <v>5.8520000000000003</v>
      </c>
      <c r="U11" s="12">
        <f t="shared" si="0"/>
        <v>56.320999999999998</v>
      </c>
      <c r="V11" s="12"/>
      <c r="W11" s="12"/>
    </row>
    <row r="12" spans="1:30" ht="11.25" customHeight="1" x14ac:dyDescent="0.25">
      <c r="A12" s="88"/>
      <c r="B12" s="87" t="s">
        <v>86</v>
      </c>
      <c r="C12" s="87" t="s">
        <v>24</v>
      </c>
      <c r="D12" s="13" t="s">
        <v>24</v>
      </c>
      <c r="E12" s="13" t="s">
        <v>25</v>
      </c>
      <c r="F12" s="13" t="s">
        <v>25</v>
      </c>
      <c r="G12" s="12" t="s">
        <v>77</v>
      </c>
      <c r="H12" s="12" t="s">
        <v>71</v>
      </c>
      <c r="I12" s="12">
        <f>SUMIF(Mercado_Receita!$T$2:$T$601,"44378B1Energia convencional pré-pagamentoResidencialResidencialNão se aplicaNão se aplicaNão se aplica",Mercado_Receita!$N$2:$N$601)</f>
        <v>0</v>
      </c>
      <c r="J12" s="12">
        <f>SUMIF(Mercado_Receita!$T$2:$T$601,"44409B1Energia convencional pré-pagamentoResidencialResidencialNão se aplicaNão se aplicaNão se aplica",Mercado_Receita!$N$2:$N$601)</f>
        <v>0</v>
      </c>
      <c r="K12" s="12">
        <f>SUMIF(Mercado_Receita!$T$2:$T$601,"44440B1Energia convencional pré-pagamentoResidencialResidencialNão se aplicaNão se aplicaNão se aplica",Mercado_Receita!$N$2:$N$601)</f>
        <v>0</v>
      </c>
      <c r="L12" s="12">
        <f>SUMIF(Mercado_Receita!$T$2:$T$601,"44470B1Energia convencional pré-pagamentoResidencialResidencialNão se aplicaNão se aplicaNão se aplica",Mercado_Receita!$N$2:$N$601)</f>
        <v>0</v>
      </c>
      <c r="M12" s="12">
        <f>SUMIF(Mercado_Receita!$T$2:$T$601,"44501B1Energia convencional pré-pagamentoResidencialResidencialNão se aplicaNão se aplicaNão se aplica",Mercado_Receita!$N$2:$N$601)</f>
        <v>0</v>
      </c>
      <c r="N12" s="12">
        <f>SUMIF(Mercado_Receita!$T$2:$T$601,"44531B1Energia convencional pré-pagamentoResidencialResidencialNão se aplicaNão se aplicaNão se aplica",Mercado_Receita!$N$2:$N$601)</f>
        <v>0</v>
      </c>
      <c r="O12" s="12">
        <f>SUMIF(Mercado_Receita!$T$2:$T$601,"44562B1Energia convencional pré-pagamentoResidencialResidencialNão se aplicaNão se aplicaNão se aplica",Mercado_Receita!$N$2:$N$601)</f>
        <v>0</v>
      </c>
      <c r="P12" s="12">
        <f>SUMIF(Mercado_Receita!$T$2:$T$601,"44593B1Energia convencional pré-pagamentoResidencialResidencialNão se aplicaNão se aplicaNão se aplica",Mercado_Receita!$N$2:$N$601)</f>
        <v>0</v>
      </c>
      <c r="Q12" s="12">
        <f>SUMIF(Mercado_Receita!$T$2:$T$601,"44621B1Energia convencional pré-pagamentoResidencialResidencialNão se aplicaNão se aplicaNão se aplica",Mercado_Receita!$N$2:$N$601)</f>
        <v>0</v>
      </c>
      <c r="R12" s="12">
        <f>SUMIF(Mercado_Receita!$T$2:$T$601,"44652B1Energia convencional pré-pagamentoResidencialResidencialNão se aplicaNão se aplicaNão se aplica",Mercado_Receita!$N$2:$N$601)</f>
        <v>0</v>
      </c>
      <c r="S12" s="12">
        <f>SUMIF(Mercado_Receita!$T$2:$T$601,"44682B1Energia convencional pré-pagamentoResidencialResidencialNão se aplicaNão se aplicaNão se aplica",Mercado_Receita!$N$2:$N$601)</f>
        <v>0</v>
      </c>
      <c r="T12" s="12">
        <f>SUMIF(Mercado_Receita!$T$2:$T$601,"44713B1Energia convencional pré-pagamentoResidencialResidencialNão se aplicaNão se aplicaNão se aplica",Mercado_Receita!$N$2:$N$601)</f>
        <v>0</v>
      </c>
      <c r="U12" s="12">
        <f t="shared" si="0"/>
        <v>0</v>
      </c>
      <c r="V12" s="12"/>
      <c r="W12" s="12"/>
    </row>
    <row r="13" spans="1:30" ht="11.25" customHeight="1" x14ac:dyDescent="0.25">
      <c r="A13" s="88"/>
      <c r="B13" s="88"/>
      <c r="C13" s="88"/>
      <c r="D13" s="13" t="s">
        <v>29</v>
      </c>
      <c r="E13" s="13" t="s">
        <v>25</v>
      </c>
      <c r="F13" s="13" t="s">
        <v>25</v>
      </c>
      <c r="G13" s="12" t="s">
        <v>77</v>
      </c>
      <c r="H13" s="12" t="s">
        <v>71</v>
      </c>
      <c r="I13" s="12">
        <f>SUMIF(Mercado_Receita!$T$2:$T$601,"44378B1Energia convencional pré-pagamentoResidencialResidencial baixa renda – faixa 01Não se aplicaNão se aplicaNão se aplica",Mercado_Receita!$N$2:$N$601)</f>
        <v>0</v>
      </c>
      <c r="J13" s="12">
        <f>SUMIF(Mercado_Receita!$T$2:$T$601,"44409B1Energia convencional pré-pagamentoResidencialResidencial baixa renda – faixa 01Não se aplicaNão se aplicaNão se aplica",Mercado_Receita!$N$2:$N$601)</f>
        <v>0</v>
      </c>
      <c r="K13" s="12">
        <f>SUMIF(Mercado_Receita!$T$2:$T$601,"44440B1Energia convencional pré-pagamentoResidencialResidencial baixa renda – faixa 01Não se aplicaNão se aplicaNão se aplica",Mercado_Receita!$N$2:$N$601)</f>
        <v>0</v>
      </c>
      <c r="L13" s="12">
        <f>SUMIF(Mercado_Receita!$T$2:$T$601,"44470B1Energia convencional pré-pagamentoResidencialResidencial baixa renda – faixa 01Não se aplicaNão se aplicaNão se aplica",Mercado_Receita!$N$2:$N$601)</f>
        <v>0</v>
      </c>
      <c r="M13" s="12">
        <f>SUMIF(Mercado_Receita!$T$2:$T$601,"44501B1Energia convencional pré-pagamentoResidencialResidencial baixa renda – faixa 01Não se aplicaNão se aplicaNão se aplica",Mercado_Receita!$N$2:$N$601)</f>
        <v>0</v>
      </c>
      <c r="N13" s="12">
        <f>SUMIF(Mercado_Receita!$T$2:$T$601,"44531B1Energia convencional pré-pagamentoResidencialResidencial baixa renda – faixa 01Não se aplicaNão se aplicaNão se aplica",Mercado_Receita!$N$2:$N$601)</f>
        <v>0</v>
      </c>
      <c r="O13" s="12">
        <f>SUMIF(Mercado_Receita!$T$2:$T$601,"44562B1Energia convencional pré-pagamentoResidencialResidencial baixa renda – faixa 01Não se aplicaNão se aplicaNão se aplica",Mercado_Receita!$N$2:$N$601)</f>
        <v>0</v>
      </c>
      <c r="P13" s="12">
        <f>SUMIF(Mercado_Receita!$T$2:$T$601,"44593B1Energia convencional pré-pagamentoResidencialResidencial baixa renda – faixa 01Não se aplicaNão se aplicaNão se aplica",Mercado_Receita!$N$2:$N$601)</f>
        <v>0</v>
      </c>
      <c r="Q13" s="12">
        <f>SUMIF(Mercado_Receita!$T$2:$T$601,"44621B1Energia convencional pré-pagamentoResidencialResidencial baixa renda – faixa 01Não se aplicaNão se aplicaNão se aplica",Mercado_Receita!$N$2:$N$601)</f>
        <v>0</v>
      </c>
      <c r="R13" s="12">
        <f>SUMIF(Mercado_Receita!$T$2:$T$601,"44652B1Energia convencional pré-pagamentoResidencialResidencial baixa renda – faixa 01Não se aplicaNão se aplicaNão se aplica",Mercado_Receita!$N$2:$N$601)</f>
        <v>0</v>
      </c>
      <c r="S13" s="12">
        <f>SUMIF(Mercado_Receita!$T$2:$T$601,"44682B1Energia convencional pré-pagamentoResidencialResidencial baixa renda – faixa 01Não se aplicaNão se aplicaNão se aplica",Mercado_Receita!$N$2:$N$601)</f>
        <v>0</v>
      </c>
      <c r="T13" s="12">
        <f>SUMIF(Mercado_Receita!$T$2:$T$601,"44713B1Energia convencional pré-pagamentoResidencialResidencial baixa renda – faixa 01Não se aplicaNão se aplicaNão se aplica",Mercado_Receita!$N$2:$N$601)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88"/>
      <c r="B14" s="88"/>
      <c r="C14" s="88"/>
      <c r="D14" s="13" t="s">
        <v>30</v>
      </c>
      <c r="E14" s="13" t="s">
        <v>25</v>
      </c>
      <c r="F14" s="13" t="s">
        <v>25</v>
      </c>
      <c r="G14" s="12" t="s">
        <v>77</v>
      </c>
      <c r="H14" s="12" t="s">
        <v>71</v>
      </c>
      <c r="I14" s="12">
        <f>SUMIF(Mercado_Receita!$T$2:$T$601,"44378B1Energia convencional pré-pagamentoResidencialResidencial baixa renda – faixa 02Não se aplicaNão se aplicaNão se aplica",Mercado_Receita!$N$2:$N$601)</f>
        <v>0</v>
      </c>
      <c r="J14" s="12">
        <f>SUMIF(Mercado_Receita!$T$2:$T$601,"44409B1Energia convencional pré-pagamentoResidencialResidencial baixa renda – faixa 02Não se aplicaNão se aplicaNão se aplica",Mercado_Receita!$N$2:$N$601)</f>
        <v>0</v>
      </c>
      <c r="K14" s="12">
        <f>SUMIF(Mercado_Receita!$T$2:$T$601,"44440B1Energia convencional pré-pagamentoResidencialResidencial baixa renda – faixa 02Não se aplicaNão se aplicaNão se aplica",Mercado_Receita!$N$2:$N$601)</f>
        <v>0</v>
      </c>
      <c r="L14" s="12">
        <f>SUMIF(Mercado_Receita!$T$2:$T$601,"44470B1Energia convencional pré-pagamentoResidencialResidencial baixa renda – faixa 02Não se aplicaNão se aplicaNão se aplica",Mercado_Receita!$N$2:$N$601)</f>
        <v>0</v>
      </c>
      <c r="M14" s="12">
        <f>SUMIF(Mercado_Receita!$T$2:$T$601,"44501B1Energia convencional pré-pagamentoResidencialResidencial baixa renda – faixa 02Não se aplicaNão se aplicaNão se aplica",Mercado_Receita!$N$2:$N$601)</f>
        <v>0</v>
      </c>
      <c r="N14" s="12">
        <f>SUMIF(Mercado_Receita!$T$2:$T$601,"44531B1Energia convencional pré-pagamentoResidencialResidencial baixa renda – faixa 02Não se aplicaNão se aplicaNão se aplica",Mercado_Receita!$N$2:$N$601)</f>
        <v>0</v>
      </c>
      <c r="O14" s="12">
        <f>SUMIF(Mercado_Receita!$T$2:$T$601,"44562B1Energia convencional pré-pagamentoResidencialResidencial baixa renda – faixa 02Não se aplicaNão se aplicaNão se aplica",Mercado_Receita!$N$2:$N$601)</f>
        <v>0</v>
      </c>
      <c r="P14" s="12">
        <f>SUMIF(Mercado_Receita!$T$2:$T$601,"44593B1Energia convencional pré-pagamentoResidencialResidencial baixa renda – faixa 02Não se aplicaNão se aplicaNão se aplica",Mercado_Receita!$N$2:$N$601)</f>
        <v>0</v>
      </c>
      <c r="Q14" s="12">
        <f>SUMIF(Mercado_Receita!$T$2:$T$601,"44621B1Energia convencional pré-pagamentoResidencialResidencial baixa renda – faixa 02Não se aplicaNão se aplicaNão se aplica",Mercado_Receita!$N$2:$N$601)</f>
        <v>0</v>
      </c>
      <c r="R14" s="12">
        <f>SUMIF(Mercado_Receita!$T$2:$T$601,"44652B1Energia convencional pré-pagamentoResidencialResidencial baixa renda – faixa 02Não se aplicaNão se aplicaNão se aplica",Mercado_Receita!$N$2:$N$601)</f>
        <v>0</v>
      </c>
      <c r="S14" s="12">
        <f>SUMIF(Mercado_Receita!$T$2:$T$601,"44682B1Energia convencional pré-pagamentoResidencialResidencial baixa renda – faixa 02Não se aplicaNão se aplicaNão se aplica",Mercado_Receita!$N$2:$N$601)</f>
        <v>0</v>
      </c>
      <c r="T14" s="12">
        <f>SUMIF(Mercado_Receita!$T$2:$T$601,"44713B1Energia convencional pré-pagamentoResidencialResidencial baixa renda – faixa 02Não se aplicaNão se aplicaNão se aplica",Mercado_Receita!$N$2:$N$601)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88"/>
      <c r="B15" s="88"/>
      <c r="C15" s="88"/>
      <c r="D15" s="13" t="s">
        <v>31</v>
      </c>
      <c r="E15" s="13" t="s">
        <v>25</v>
      </c>
      <c r="F15" s="13" t="s">
        <v>25</v>
      </c>
      <c r="G15" s="12" t="s">
        <v>77</v>
      </c>
      <c r="H15" s="12" t="s">
        <v>71</v>
      </c>
      <c r="I15" s="12">
        <f>SUMIF(Mercado_Receita!$T$2:$T$601,"44378B1Energia convencional pré-pagamentoResidencialResidencial baixa renda – faixa 03Não se aplicaNão se aplicaNão se aplica",Mercado_Receita!$N$2:$N$601)</f>
        <v>0</v>
      </c>
      <c r="J15" s="12">
        <f>SUMIF(Mercado_Receita!$T$2:$T$601,"44409B1Energia convencional pré-pagamentoResidencialResidencial baixa renda – faixa 03Não se aplicaNão se aplicaNão se aplica",Mercado_Receita!$N$2:$N$601)</f>
        <v>0</v>
      </c>
      <c r="K15" s="12">
        <f>SUMIF(Mercado_Receita!$T$2:$T$601,"44440B1Energia convencional pré-pagamentoResidencialResidencial baixa renda – faixa 03Não se aplicaNão se aplicaNão se aplica",Mercado_Receita!$N$2:$N$601)</f>
        <v>0</v>
      </c>
      <c r="L15" s="12">
        <f>SUMIF(Mercado_Receita!$T$2:$T$601,"44470B1Energia convencional pré-pagamentoResidencialResidencial baixa renda – faixa 03Não se aplicaNão se aplicaNão se aplica",Mercado_Receita!$N$2:$N$601)</f>
        <v>0</v>
      </c>
      <c r="M15" s="12">
        <f>SUMIF(Mercado_Receita!$T$2:$T$601,"44501B1Energia convencional pré-pagamentoResidencialResidencial baixa renda – faixa 03Não se aplicaNão se aplicaNão se aplica",Mercado_Receita!$N$2:$N$601)</f>
        <v>0</v>
      </c>
      <c r="N15" s="12">
        <f>SUMIF(Mercado_Receita!$T$2:$T$601,"44531B1Energia convencional pré-pagamentoResidencialResidencial baixa renda – faixa 03Não se aplicaNão se aplicaNão se aplica",Mercado_Receita!$N$2:$N$601)</f>
        <v>0</v>
      </c>
      <c r="O15" s="12">
        <f>SUMIF(Mercado_Receita!$T$2:$T$601,"44562B1Energia convencional pré-pagamentoResidencialResidencial baixa renda – faixa 03Não se aplicaNão se aplicaNão se aplica",Mercado_Receita!$N$2:$N$601)</f>
        <v>0</v>
      </c>
      <c r="P15" s="12">
        <f>SUMIF(Mercado_Receita!$T$2:$T$601,"44593B1Energia convencional pré-pagamentoResidencialResidencial baixa renda – faixa 03Não se aplicaNão se aplicaNão se aplica",Mercado_Receita!$N$2:$N$601)</f>
        <v>0</v>
      </c>
      <c r="Q15" s="12">
        <f>SUMIF(Mercado_Receita!$T$2:$T$601,"44621B1Energia convencional pré-pagamentoResidencialResidencial baixa renda – faixa 03Não se aplicaNão se aplicaNão se aplica",Mercado_Receita!$N$2:$N$601)</f>
        <v>0</v>
      </c>
      <c r="R15" s="12">
        <f>SUMIF(Mercado_Receita!$T$2:$T$601,"44652B1Energia convencional pré-pagamentoResidencialResidencial baixa renda – faixa 03Não se aplicaNão se aplicaNão se aplica",Mercado_Receita!$N$2:$N$601)</f>
        <v>0</v>
      </c>
      <c r="S15" s="12">
        <f>SUMIF(Mercado_Receita!$T$2:$T$601,"44682B1Energia convencional pré-pagamentoResidencialResidencial baixa renda – faixa 03Não se aplicaNão se aplicaNão se aplica",Mercado_Receita!$N$2:$N$601)</f>
        <v>0</v>
      </c>
      <c r="T15" s="12">
        <f>SUMIF(Mercado_Receita!$T$2:$T$601,"44713B1Energia convencional pré-pagamentoResidencialResidencial baixa renda – faixa 03Não se aplicaNão se aplicaNão se aplica",Mercado_Receita!$N$2:$N$601)</f>
        <v>0</v>
      </c>
      <c r="U15" s="12">
        <f t="shared" si="0"/>
        <v>0</v>
      </c>
      <c r="V15" s="12"/>
      <c r="W15" s="12"/>
    </row>
    <row r="16" spans="1:30" ht="11.25" customHeight="1" x14ac:dyDescent="0.25">
      <c r="A16" s="88"/>
      <c r="B16" s="88"/>
      <c r="C16" s="88"/>
      <c r="D16" s="13" t="s">
        <v>32</v>
      </c>
      <c r="E16" s="13" t="s">
        <v>25</v>
      </c>
      <c r="F16" s="13" t="s">
        <v>25</v>
      </c>
      <c r="G16" s="12" t="s">
        <v>77</v>
      </c>
      <c r="H16" s="12" t="s">
        <v>71</v>
      </c>
      <c r="I16" s="12">
        <f>SUMIF(Mercado_Receita!$T$2:$T$601,"44378B1Energia convencional pré-pagamentoResidencialResidencial baixa renda – faixa 04Não se aplicaNão se aplicaNão se aplica",Mercado_Receita!$N$2:$N$601)</f>
        <v>0</v>
      </c>
      <c r="J16" s="12">
        <f>SUMIF(Mercado_Receita!$T$2:$T$601,"44409B1Energia convencional pré-pagamentoResidencialResidencial baixa renda – faixa 04Não se aplicaNão se aplicaNão se aplica",Mercado_Receita!$N$2:$N$601)</f>
        <v>0</v>
      </c>
      <c r="K16" s="12">
        <f>SUMIF(Mercado_Receita!$T$2:$T$601,"44440B1Energia convencional pré-pagamentoResidencialResidencial baixa renda – faixa 04Não se aplicaNão se aplicaNão se aplica",Mercado_Receita!$N$2:$N$601)</f>
        <v>0</v>
      </c>
      <c r="L16" s="12">
        <f>SUMIF(Mercado_Receita!$T$2:$T$601,"44470B1Energia convencional pré-pagamentoResidencialResidencial baixa renda – faixa 04Não se aplicaNão se aplicaNão se aplica",Mercado_Receita!$N$2:$N$601)</f>
        <v>0</v>
      </c>
      <c r="M16" s="12">
        <f>SUMIF(Mercado_Receita!$T$2:$T$601,"44501B1Energia convencional pré-pagamentoResidencialResidencial baixa renda – faixa 04Não se aplicaNão se aplicaNão se aplica",Mercado_Receita!$N$2:$N$601)</f>
        <v>0</v>
      </c>
      <c r="N16" s="12">
        <f>SUMIF(Mercado_Receita!$T$2:$T$601,"44531B1Energia convencional pré-pagamentoResidencialResidencial baixa renda – faixa 04Não se aplicaNão se aplicaNão se aplica",Mercado_Receita!$N$2:$N$601)</f>
        <v>0</v>
      </c>
      <c r="O16" s="12">
        <f>SUMIF(Mercado_Receita!$T$2:$T$601,"44562B1Energia convencional pré-pagamentoResidencialResidencial baixa renda – faixa 04Não se aplicaNão se aplicaNão se aplica",Mercado_Receita!$N$2:$N$601)</f>
        <v>0</v>
      </c>
      <c r="P16" s="12">
        <f>SUMIF(Mercado_Receita!$T$2:$T$601,"44593B1Energia convencional pré-pagamentoResidencialResidencial baixa renda – faixa 04Não se aplicaNão se aplicaNão se aplica",Mercado_Receita!$N$2:$N$601)</f>
        <v>0</v>
      </c>
      <c r="Q16" s="12">
        <f>SUMIF(Mercado_Receita!$T$2:$T$601,"44621B1Energia convencional pré-pagamentoResidencialResidencial baixa renda – faixa 04Não se aplicaNão se aplicaNão se aplica",Mercado_Receita!$N$2:$N$601)</f>
        <v>0</v>
      </c>
      <c r="R16" s="12">
        <f>SUMIF(Mercado_Receita!$T$2:$T$601,"44652B1Energia convencional pré-pagamentoResidencialResidencial baixa renda – faixa 04Não se aplicaNão se aplicaNão se aplica",Mercado_Receita!$N$2:$N$601)</f>
        <v>0</v>
      </c>
      <c r="S16" s="12">
        <f>SUMIF(Mercado_Receita!$T$2:$T$601,"44682B1Energia convencional pré-pagamentoResidencialResidencial baixa renda – faixa 04Não se aplicaNão se aplicaNão se aplica",Mercado_Receita!$N$2:$N$601)</f>
        <v>0</v>
      </c>
      <c r="T16" s="12">
        <f>SUMIF(Mercado_Receita!$T$2:$T$601,"44713B1Energia convencional pré-pagamentoResidencialResidencial baixa renda – faixa 04Não se aplicaNão se aplicaNão se aplica",Mercado_Receita!$N$2:$N$601)</f>
        <v>0</v>
      </c>
      <c r="U16" s="12">
        <f t="shared" si="0"/>
        <v>0</v>
      </c>
      <c r="V16" s="12"/>
      <c r="W16" s="12"/>
    </row>
    <row r="17" spans="1:23" ht="11.25" customHeight="1" x14ac:dyDescent="0.25">
      <c r="A17" s="87" t="s">
        <v>40</v>
      </c>
      <c r="B17" s="87" t="s">
        <v>70</v>
      </c>
      <c r="C17" s="87" t="s">
        <v>41</v>
      </c>
      <c r="D17" s="87" t="s">
        <v>25</v>
      </c>
      <c r="E17" s="87" t="s">
        <v>25</v>
      </c>
      <c r="F17" s="87" t="s">
        <v>25</v>
      </c>
      <c r="G17" s="12" t="s">
        <v>72</v>
      </c>
      <c r="H17" s="12" t="s">
        <v>71</v>
      </c>
      <c r="I17" s="12">
        <f>SUMIF(Mercado_Receita!$T$2:$T$601,"44378B2Energia horáriaRuralNão se aplicaNão se aplicaNão se aplicaPonta",Mercado_Receita!$N$2:$N$601)</f>
        <v>0</v>
      </c>
      <c r="J17" s="12">
        <f>SUMIF(Mercado_Receita!$T$2:$T$601,"44409B2Energia horáriaRuralNão se aplicaNão se aplicaNão se aplicaPonta",Mercado_Receita!$N$2:$N$601)</f>
        <v>0</v>
      </c>
      <c r="K17" s="12">
        <f>SUMIF(Mercado_Receita!$T$2:$T$601,"44440B2Energia horáriaRuralNão se aplicaNão se aplicaNão se aplicaPonta",Mercado_Receita!$N$2:$N$601)</f>
        <v>0</v>
      </c>
      <c r="L17" s="12">
        <f>SUMIF(Mercado_Receita!$T$2:$T$601,"44470B2Energia horáriaRuralNão se aplicaNão se aplicaNão se aplicaPonta",Mercado_Receita!$N$2:$N$601)</f>
        <v>0</v>
      </c>
      <c r="M17" s="12">
        <f>SUMIF(Mercado_Receita!$T$2:$T$601,"44501B2Energia horáriaRuralNão se aplicaNão se aplicaNão se aplicaPonta",Mercado_Receita!$N$2:$N$601)</f>
        <v>0</v>
      </c>
      <c r="N17" s="12">
        <f>SUMIF(Mercado_Receita!$T$2:$T$601,"44531B2Energia horáriaRuralNão se aplicaNão se aplicaNão se aplicaPonta",Mercado_Receita!$N$2:$N$601)</f>
        <v>0</v>
      </c>
      <c r="O17" s="12">
        <f>SUMIF(Mercado_Receita!$T$2:$T$601,"44562B2Energia horáriaRuralNão se aplicaNão se aplicaNão se aplicaPonta",Mercado_Receita!$N$2:$N$601)</f>
        <v>0</v>
      </c>
      <c r="P17" s="12">
        <f>SUMIF(Mercado_Receita!$T$2:$T$601,"44593B2Energia horáriaRuralNão se aplicaNão se aplicaNão se aplicaPonta",Mercado_Receita!$N$2:$N$601)</f>
        <v>0</v>
      </c>
      <c r="Q17" s="12">
        <f>SUMIF(Mercado_Receita!$T$2:$T$601,"44621B2Energia horáriaRuralNão se aplicaNão se aplicaNão se aplicaPonta",Mercado_Receita!$N$2:$N$601)</f>
        <v>0</v>
      </c>
      <c r="R17" s="12">
        <f>SUMIF(Mercado_Receita!$T$2:$T$601,"44652B2Energia horáriaRuralNão se aplicaNão se aplicaNão se aplicaPonta",Mercado_Receita!$N$2:$N$601)</f>
        <v>0</v>
      </c>
      <c r="S17" s="12">
        <f>SUMIF(Mercado_Receita!$T$2:$T$601,"44682B2Energia horáriaRuralNão se aplicaNão se aplicaNão se aplicaPonta",Mercado_Receita!$N$2:$N$601)</f>
        <v>0</v>
      </c>
      <c r="T17" s="12">
        <f>SUMIF(Mercado_Receita!$T$2:$T$601,"44713B2Energia horáriaRuralNão se aplicaNão se aplicaNão se aplicaPonta",Mercado_Receita!$N$2:$N$601)</f>
        <v>0</v>
      </c>
      <c r="U17" s="12">
        <f t="shared" si="0"/>
        <v>0</v>
      </c>
      <c r="V17" s="12"/>
      <c r="W17" s="12"/>
    </row>
    <row r="18" spans="1:23" ht="11.25" customHeight="1" x14ac:dyDescent="0.25">
      <c r="A18" s="88"/>
      <c r="B18" s="88"/>
      <c r="C18" s="88"/>
      <c r="D18" s="88"/>
      <c r="E18" s="88"/>
      <c r="F18" s="88"/>
      <c r="G18" s="12" t="s">
        <v>83</v>
      </c>
      <c r="H18" s="12" t="s">
        <v>71</v>
      </c>
      <c r="I18" s="12">
        <f>SUMIF(Mercado_Receita!$T$2:$T$601,"44378B2Energia horáriaRuralNão se aplicaNão se aplicaNão se aplicaIntermediário",Mercado_Receita!$N$2:$N$601)</f>
        <v>0</v>
      </c>
      <c r="J18" s="12">
        <f>SUMIF(Mercado_Receita!$T$2:$T$601,"44409B2Energia horáriaRuralNão se aplicaNão se aplicaNão se aplicaIntermediário",Mercado_Receita!$N$2:$N$601)</f>
        <v>0</v>
      </c>
      <c r="K18" s="12">
        <f>SUMIF(Mercado_Receita!$T$2:$T$601,"44440B2Energia horáriaRuralNão se aplicaNão se aplicaNão se aplicaIntermediário",Mercado_Receita!$N$2:$N$601)</f>
        <v>0</v>
      </c>
      <c r="L18" s="12">
        <f>SUMIF(Mercado_Receita!$T$2:$T$601,"44470B2Energia horáriaRuralNão se aplicaNão se aplicaNão se aplicaIntermediário",Mercado_Receita!$N$2:$N$601)</f>
        <v>0</v>
      </c>
      <c r="M18" s="12">
        <f>SUMIF(Mercado_Receita!$T$2:$T$601,"44501B2Energia horáriaRuralNão se aplicaNão se aplicaNão se aplicaIntermediário",Mercado_Receita!$N$2:$N$601)</f>
        <v>0</v>
      </c>
      <c r="N18" s="12">
        <f>SUMIF(Mercado_Receita!$T$2:$T$601,"44531B2Energia horáriaRuralNão se aplicaNão se aplicaNão se aplicaIntermediário",Mercado_Receita!$N$2:$N$601)</f>
        <v>0</v>
      </c>
      <c r="O18" s="12">
        <f>SUMIF(Mercado_Receita!$T$2:$T$601,"44562B2Energia horáriaRuralNão se aplicaNão se aplicaNão se aplicaIntermediário",Mercado_Receita!$N$2:$N$601)</f>
        <v>0</v>
      </c>
      <c r="P18" s="12">
        <f>SUMIF(Mercado_Receita!$T$2:$T$601,"44593B2Energia horáriaRuralNão se aplicaNão se aplicaNão se aplicaIntermediário",Mercado_Receita!$N$2:$N$601)</f>
        <v>0</v>
      </c>
      <c r="Q18" s="12">
        <f>SUMIF(Mercado_Receita!$T$2:$T$601,"44621B2Energia horáriaRuralNão se aplicaNão se aplicaNão se aplicaIntermediário",Mercado_Receita!$N$2:$N$601)</f>
        <v>0</v>
      </c>
      <c r="R18" s="12">
        <f>SUMIF(Mercado_Receita!$T$2:$T$601,"44652B2Energia horáriaRuralNão se aplicaNão se aplicaNão se aplicaIntermediário",Mercado_Receita!$N$2:$N$601)</f>
        <v>0</v>
      </c>
      <c r="S18" s="12">
        <f>SUMIF(Mercado_Receita!$T$2:$T$601,"44682B2Energia horáriaRuralNão se aplicaNão se aplicaNão se aplicaIntermediário",Mercado_Receita!$N$2:$N$601)</f>
        <v>0</v>
      </c>
      <c r="T18" s="12">
        <f>SUMIF(Mercado_Receita!$T$2:$T$601,"44713B2Energia horáriaRuralNão se aplicaNão se aplicaNão se aplicaIntermediário",Mercado_Receita!$N$2:$N$601)</f>
        <v>0</v>
      </c>
      <c r="U18" s="12">
        <f t="shared" si="0"/>
        <v>0</v>
      </c>
      <c r="V18" s="12"/>
      <c r="W18" s="12"/>
    </row>
    <row r="19" spans="1:23" ht="11.25" customHeight="1" x14ac:dyDescent="0.25">
      <c r="A19" s="88"/>
      <c r="B19" s="88"/>
      <c r="C19" s="88"/>
      <c r="D19" s="88"/>
      <c r="E19" s="88"/>
      <c r="F19" s="88"/>
      <c r="G19" s="12" t="s">
        <v>73</v>
      </c>
      <c r="H19" s="12" t="s">
        <v>71</v>
      </c>
      <c r="I19" s="12">
        <f>SUMIF(Mercado_Receita!$T$2:$T$601,"44378B2Energia horáriaRuralNão se aplicaNão se aplicaNão se aplicaFora ponta",Mercado_Receita!$N$2:$N$601)</f>
        <v>0</v>
      </c>
      <c r="J19" s="12">
        <f>SUMIF(Mercado_Receita!$T$2:$T$601,"44409B2Energia horáriaRuralNão se aplicaNão se aplicaNão se aplicaFora ponta",Mercado_Receita!$N$2:$N$601)</f>
        <v>0</v>
      </c>
      <c r="K19" s="12">
        <f>SUMIF(Mercado_Receita!$T$2:$T$601,"44440B2Energia horáriaRuralNão se aplicaNão se aplicaNão se aplicaFora ponta",Mercado_Receita!$N$2:$N$601)</f>
        <v>0</v>
      </c>
      <c r="L19" s="12">
        <f>SUMIF(Mercado_Receita!$T$2:$T$601,"44470B2Energia horáriaRuralNão se aplicaNão se aplicaNão se aplicaFora ponta",Mercado_Receita!$N$2:$N$601)</f>
        <v>0</v>
      </c>
      <c r="M19" s="12">
        <f>SUMIF(Mercado_Receita!$T$2:$T$601,"44501B2Energia horáriaRuralNão se aplicaNão se aplicaNão se aplicaFora ponta",Mercado_Receita!$N$2:$N$601)</f>
        <v>0</v>
      </c>
      <c r="N19" s="12">
        <f>SUMIF(Mercado_Receita!$T$2:$T$601,"44531B2Energia horáriaRuralNão se aplicaNão se aplicaNão se aplicaFora ponta",Mercado_Receita!$N$2:$N$601)</f>
        <v>0</v>
      </c>
      <c r="O19" s="12">
        <f>SUMIF(Mercado_Receita!$T$2:$T$601,"44562B2Energia horáriaRuralNão se aplicaNão se aplicaNão se aplicaFora ponta",Mercado_Receita!$N$2:$N$601)</f>
        <v>0</v>
      </c>
      <c r="P19" s="12">
        <f>SUMIF(Mercado_Receita!$T$2:$T$601,"44593B2Energia horáriaRuralNão se aplicaNão se aplicaNão se aplicaFora ponta",Mercado_Receita!$N$2:$N$601)</f>
        <v>0</v>
      </c>
      <c r="Q19" s="12">
        <f>SUMIF(Mercado_Receita!$T$2:$T$601,"44621B2Energia horáriaRuralNão se aplicaNão se aplicaNão se aplicaFora ponta",Mercado_Receita!$N$2:$N$601)</f>
        <v>0</v>
      </c>
      <c r="R19" s="12">
        <f>SUMIF(Mercado_Receita!$T$2:$T$601,"44652B2Energia horáriaRuralNão se aplicaNão se aplicaNão se aplicaFora ponta",Mercado_Receita!$N$2:$N$601)</f>
        <v>0</v>
      </c>
      <c r="S19" s="12">
        <f>SUMIF(Mercado_Receita!$T$2:$T$601,"44682B2Energia horáriaRuralNão se aplicaNão se aplicaNão se aplicaFora ponta",Mercado_Receita!$N$2:$N$601)</f>
        <v>0</v>
      </c>
      <c r="T19" s="12">
        <f>SUMIF(Mercado_Receita!$T$2:$T$601,"44713B2Energia horáriaRuralNão se aplicaNão se aplicaNão se aplicaFora ponta",Mercado_Receita!$N$2:$N$601)</f>
        <v>0</v>
      </c>
      <c r="U19" s="12">
        <f t="shared" si="0"/>
        <v>0</v>
      </c>
      <c r="V19" s="12"/>
      <c r="W19" s="12"/>
    </row>
    <row r="20" spans="1:23" ht="11.25" customHeight="1" x14ac:dyDescent="0.25">
      <c r="A20" s="88"/>
      <c r="B20" s="13" t="s">
        <v>84</v>
      </c>
      <c r="C20" s="13" t="s">
        <v>41</v>
      </c>
      <c r="D20" s="13" t="s">
        <v>25</v>
      </c>
      <c r="E20" s="13" t="s">
        <v>25</v>
      </c>
      <c r="F20" s="13" t="s">
        <v>25</v>
      </c>
      <c r="G20" s="12" t="s">
        <v>77</v>
      </c>
      <c r="H20" s="12" t="s">
        <v>71</v>
      </c>
      <c r="I20" s="12">
        <f>SUMIF(Mercado_Receita!$T$2:$T$601,"44378B2Energia convencionalRuralNão se aplicaNão se aplicaNão se aplicaNão se aplica",Mercado_Receita!$N$2:$N$601)</f>
        <v>2552.6010000000006</v>
      </c>
      <c r="J20" s="12">
        <f>SUMIF(Mercado_Receita!$T$2:$T$601,"44409B2Energia convencionalRuralNão se aplicaNão se aplicaNão se aplicaNão se aplica",Mercado_Receita!$N$2:$N$601)</f>
        <v>2663.91</v>
      </c>
      <c r="K20" s="12">
        <f>SUMIF(Mercado_Receita!$T$2:$T$601,"44440B2Energia convencionalRuralNão se aplicaNão se aplicaNão se aplicaNão se aplica",Mercado_Receita!$N$2:$N$601)</f>
        <v>2659.3900000000003</v>
      </c>
      <c r="L20" s="12">
        <f>SUMIF(Mercado_Receita!$T$2:$T$601,"44470B2Energia convencionalRuralNão se aplicaNão se aplicaNão se aplicaNão se aplica",Mercado_Receita!$N$2:$N$601)</f>
        <v>2794.297</v>
      </c>
      <c r="M20" s="12">
        <f>SUMIF(Mercado_Receita!$T$2:$T$601,"44501B2Energia convencionalRuralNão se aplicaNão se aplicaNão se aplicaNão se aplica",Mercado_Receita!$N$2:$N$601)</f>
        <v>4079.7669999999998</v>
      </c>
      <c r="N20" s="12">
        <f>SUMIF(Mercado_Receita!$T$2:$T$601,"44531B2Energia convencionalRuralNão se aplicaNão se aplicaNão se aplicaNão se aplica",Mercado_Receita!$N$2:$N$601)</f>
        <v>5342.2910000000002</v>
      </c>
      <c r="O20" s="12">
        <f>SUMIF(Mercado_Receita!$T$2:$T$601,"44562B2Energia convencionalRuralNão se aplicaNão se aplicaNão se aplicaNão se aplica",Mercado_Receita!$N$2:$N$601)</f>
        <v>6891.5069999999987</v>
      </c>
      <c r="P20" s="12">
        <f>SUMIF(Mercado_Receita!$T$2:$T$601,"44593B2Energia convencionalRuralNão se aplicaNão se aplicaNão se aplicaNão se aplica",Mercado_Receita!$N$2:$N$601)</f>
        <v>6072.7920000000004</v>
      </c>
      <c r="Q20" s="12">
        <f>SUMIF(Mercado_Receita!$T$2:$T$601,"44621B2Energia convencionalRuralNão se aplicaNão se aplicaNão se aplicaNão se aplica",Mercado_Receita!$N$2:$N$601)</f>
        <v>4995.0380000000005</v>
      </c>
      <c r="R20" s="12">
        <f>SUMIF(Mercado_Receita!$T$2:$T$601,"44652B2Energia convencionalRuralNão se aplicaNão se aplicaNão se aplicaNão se aplica",Mercado_Receita!$N$2:$N$601)</f>
        <v>3734.5819999999999</v>
      </c>
      <c r="S20" s="12">
        <f>SUMIF(Mercado_Receita!$T$2:$T$601,"44682B2Energia convencionalRuralNão se aplicaNão se aplicaNão se aplicaNão se aplica",Mercado_Receita!$N$2:$N$601)</f>
        <v>3171.5050000000006</v>
      </c>
      <c r="T20" s="12">
        <f>SUMIF(Mercado_Receita!$T$2:$T$601,"44713B2Energia convencionalRuralNão se aplicaNão se aplicaNão se aplicaNão se aplica",Mercado_Receita!$N$2:$N$601)</f>
        <v>2832.8680000000004</v>
      </c>
      <c r="U20" s="12">
        <f t="shared" si="0"/>
        <v>47790.548000000003</v>
      </c>
      <c r="V20" s="12"/>
      <c r="W20" s="12"/>
    </row>
    <row r="21" spans="1:23" ht="11.25" customHeight="1" x14ac:dyDescent="0.25">
      <c r="A21" s="88"/>
      <c r="B21" s="87" t="s">
        <v>70</v>
      </c>
      <c r="C21" s="87" t="s">
        <v>41</v>
      </c>
      <c r="D21" s="87" t="s">
        <v>88</v>
      </c>
      <c r="E21" s="87" t="s">
        <v>25</v>
      </c>
      <c r="F21" s="87" t="s">
        <v>25</v>
      </c>
      <c r="G21" s="12" t="s">
        <v>72</v>
      </c>
      <c r="H21" s="12" t="s">
        <v>71</v>
      </c>
      <c r="I21" s="12">
        <f>SUMIF(Mercado_Receita!$T$2:$T$601,"44378B2Energia horáriaRuralCooperativa de eletrificação ruralNão se aplicaNão se aplicaPonta",Mercado_Receita!$N$2:$N$601)</f>
        <v>0</v>
      </c>
      <c r="J21" s="12">
        <f>SUMIF(Mercado_Receita!$T$2:$T$601,"44409B2Energia horáriaRuralCooperativa de eletrificação ruralNão se aplicaNão se aplicaPonta",Mercado_Receita!$N$2:$N$601)</f>
        <v>0</v>
      </c>
      <c r="K21" s="12">
        <f>SUMIF(Mercado_Receita!$T$2:$T$601,"44440B2Energia horáriaRuralCooperativa de eletrificação ruralNão se aplicaNão se aplicaPonta",Mercado_Receita!$N$2:$N$601)</f>
        <v>0</v>
      </c>
      <c r="L21" s="12">
        <f>SUMIF(Mercado_Receita!$T$2:$T$601,"44470B2Energia horáriaRuralCooperativa de eletrificação ruralNão se aplicaNão se aplicaPonta",Mercado_Receita!$N$2:$N$601)</f>
        <v>0</v>
      </c>
      <c r="M21" s="12">
        <f>SUMIF(Mercado_Receita!$T$2:$T$601,"44501B2Energia horáriaRuralCooperativa de eletrificação ruralNão se aplicaNão se aplicaPonta",Mercado_Receita!$N$2:$N$601)</f>
        <v>0</v>
      </c>
      <c r="N21" s="12">
        <f>SUMIF(Mercado_Receita!$T$2:$T$601,"44531B2Energia horáriaRuralCooperativa de eletrificação ruralNão se aplicaNão se aplicaPonta",Mercado_Receita!$N$2:$N$601)</f>
        <v>0</v>
      </c>
      <c r="O21" s="12">
        <f>SUMIF(Mercado_Receita!$T$2:$T$601,"44562B2Energia horáriaRuralCooperativa de eletrificação ruralNão se aplicaNão se aplicaPonta",Mercado_Receita!$N$2:$N$601)</f>
        <v>0</v>
      </c>
      <c r="P21" s="12">
        <f>SUMIF(Mercado_Receita!$T$2:$T$601,"44593B2Energia horáriaRuralCooperativa de eletrificação ruralNão se aplicaNão se aplicaPonta",Mercado_Receita!$N$2:$N$601)</f>
        <v>0</v>
      </c>
      <c r="Q21" s="12">
        <f>SUMIF(Mercado_Receita!$T$2:$T$601,"44621B2Energia horáriaRuralCooperativa de eletrificação ruralNão se aplicaNão se aplicaPonta",Mercado_Receita!$N$2:$N$601)</f>
        <v>0</v>
      </c>
      <c r="R21" s="12">
        <f>SUMIF(Mercado_Receita!$T$2:$T$601,"44652B2Energia horáriaRuralCooperativa de eletrificação ruralNão se aplicaNão se aplicaPonta",Mercado_Receita!$N$2:$N$601)</f>
        <v>0</v>
      </c>
      <c r="S21" s="12">
        <f>SUMIF(Mercado_Receita!$T$2:$T$601,"44682B2Energia horáriaRuralCooperativa de eletrificação ruralNão se aplicaNão se aplicaPonta",Mercado_Receita!$N$2:$N$601)</f>
        <v>0</v>
      </c>
      <c r="T21" s="12">
        <f>SUMIF(Mercado_Receita!$T$2:$T$601,"44713B2Energia horáriaRuralCooperativa de eletrificação ruralNão se aplicaNão se aplicaPonta",Mercado_Receita!$N$2:$N$601)</f>
        <v>0</v>
      </c>
      <c r="U21" s="12">
        <f t="shared" si="0"/>
        <v>0</v>
      </c>
      <c r="V21" s="12"/>
      <c r="W21" s="12"/>
    </row>
    <row r="22" spans="1:23" ht="11.25" customHeight="1" x14ac:dyDescent="0.25">
      <c r="A22" s="88"/>
      <c r="B22" s="88"/>
      <c r="C22" s="88"/>
      <c r="D22" s="88"/>
      <c r="E22" s="88"/>
      <c r="F22" s="88"/>
      <c r="G22" s="12" t="s">
        <v>83</v>
      </c>
      <c r="H22" s="12" t="s">
        <v>71</v>
      </c>
      <c r="I22" s="12">
        <f>SUMIF(Mercado_Receita!$T$2:$T$601,"44378B2Energia horáriaRuralCooperativa de eletrificação ruralNão se aplicaNão se aplicaIntermediário",Mercado_Receita!$N$2:$N$601)</f>
        <v>0</v>
      </c>
      <c r="J22" s="12">
        <f>SUMIF(Mercado_Receita!$T$2:$T$601,"44409B2Energia horáriaRuralCooperativa de eletrificação ruralNão se aplicaNão se aplicaIntermediário",Mercado_Receita!$N$2:$N$601)</f>
        <v>0</v>
      </c>
      <c r="K22" s="12">
        <f>SUMIF(Mercado_Receita!$T$2:$T$601,"44440B2Energia horáriaRuralCooperativa de eletrificação ruralNão se aplicaNão se aplicaIntermediário",Mercado_Receita!$N$2:$N$601)</f>
        <v>0</v>
      </c>
      <c r="L22" s="12">
        <f>SUMIF(Mercado_Receita!$T$2:$T$601,"44470B2Energia horáriaRuralCooperativa de eletrificação ruralNão se aplicaNão se aplicaIntermediário",Mercado_Receita!$N$2:$N$601)</f>
        <v>0</v>
      </c>
      <c r="M22" s="12">
        <f>SUMIF(Mercado_Receita!$T$2:$T$601,"44501B2Energia horáriaRuralCooperativa de eletrificação ruralNão se aplicaNão se aplicaIntermediário",Mercado_Receita!$N$2:$N$601)</f>
        <v>0</v>
      </c>
      <c r="N22" s="12">
        <f>SUMIF(Mercado_Receita!$T$2:$T$601,"44531B2Energia horáriaRuralCooperativa de eletrificação ruralNão se aplicaNão se aplicaIntermediário",Mercado_Receita!$N$2:$N$601)</f>
        <v>0</v>
      </c>
      <c r="O22" s="12">
        <f>SUMIF(Mercado_Receita!$T$2:$T$601,"44562B2Energia horáriaRuralCooperativa de eletrificação ruralNão se aplicaNão se aplicaIntermediário",Mercado_Receita!$N$2:$N$601)</f>
        <v>0</v>
      </c>
      <c r="P22" s="12">
        <f>SUMIF(Mercado_Receita!$T$2:$T$601,"44593B2Energia horáriaRuralCooperativa de eletrificação ruralNão se aplicaNão se aplicaIntermediário",Mercado_Receita!$N$2:$N$601)</f>
        <v>0</v>
      </c>
      <c r="Q22" s="12">
        <f>SUMIF(Mercado_Receita!$T$2:$T$601,"44621B2Energia horáriaRuralCooperativa de eletrificação ruralNão se aplicaNão se aplicaIntermediário",Mercado_Receita!$N$2:$N$601)</f>
        <v>0</v>
      </c>
      <c r="R22" s="12">
        <f>SUMIF(Mercado_Receita!$T$2:$T$601,"44652B2Energia horáriaRuralCooperativa de eletrificação ruralNão se aplicaNão se aplicaIntermediário",Mercado_Receita!$N$2:$N$601)</f>
        <v>0</v>
      </c>
      <c r="S22" s="12">
        <f>SUMIF(Mercado_Receita!$T$2:$T$601,"44682B2Energia horáriaRuralCooperativa de eletrificação ruralNão se aplicaNão se aplicaIntermediário",Mercado_Receita!$N$2:$N$601)</f>
        <v>0</v>
      </c>
      <c r="T22" s="12">
        <f>SUMIF(Mercado_Receita!$T$2:$T$601,"44713B2Energia horáriaRuralCooperativa de eletrificação ruralNão se aplicaNão se aplicaIntermediário",Mercado_Receita!$N$2:$N$601)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88"/>
      <c r="B23" s="88"/>
      <c r="C23" s="88"/>
      <c r="D23" s="88"/>
      <c r="E23" s="88"/>
      <c r="F23" s="88"/>
      <c r="G23" s="12" t="s">
        <v>73</v>
      </c>
      <c r="H23" s="12" t="s">
        <v>71</v>
      </c>
      <c r="I23" s="12">
        <f>SUMIF(Mercado_Receita!$T$2:$T$601,"44378B2Energia horáriaRuralCooperativa de eletrificação ruralNão se aplicaNão se aplicaFora ponta",Mercado_Receita!$N$2:$N$601)</f>
        <v>0</v>
      </c>
      <c r="J23" s="12">
        <f>SUMIF(Mercado_Receita!$T$2:$T$601,"44409B2Energia horáriaRuralCooperativa de eletrificação ruralNão se aplicaNão se aplicaFora ponta",Mercado_Receita!$N$2:$N$601)</f>
        <v>0</v>
      </c>
      <c r="K23" s="12">
        <f>SUMIF(Mercado_Receita!$T$2:$T$601,"44440B2Energia horáriaRuralCooperativa de eletrificação ruralNão se aplicaNão se aplicaFora ponta",Mercado_Receita!$N$2:$N$601)</f>
        <v>0</v>
      </c>
      <c r="L23" s="12">
        <f>SUMIF(Mercado_Receita!$T$2:$T$601,"44470B2Energia horáriaRuralCooperativa de eletrificação ruralNão se aplicaNão se aplicaFora ponta",Mercado_Receita!$N$2:$N$601)</f>
        <v>0</v>
      </c>
      <c r="M23" s="12">
        <f>SUMIF(Mercado_Receita!$T$2:$T$601,"44501B2Energia horáriaRuralCooperativa de eletrificação ruralNão se aplicaNão se aplicaFora ponta",Mercado_Receita!$N$2:$N$601)</f>
        <v>0</v>
      </c>
      <c r="N23" s="12">
        <f>SUMIF(Mercado_Receita!$T$2:$T$601,"44531B2Energia horáriaRuralCooperativa de eletrificação ruralNão se aplicaNão se aplicaFora ponta",Mercado_Receita!$N$2:$N$601)</f>
        <v>0</v>
      </c>
      <c r="O23" s="12">
        <f>SUMIF(Mercado_Receita!$T$2:$T$601,"44562B2Energia horáriaRuralCooperativa de eletrificação ruralNão se aplicaNão se aplicaFora ponta",Mercado_Receita!$N$2:$N$601)</f>
        <v>0</v>
      </c>
      <c r="P23" s="12">
        <f>SUMIF(Mercado_Receita!$T$2:$T$601,"44593B2Energia horáriaRuralCooperativa de eletrificação ruralNão se aplicaNão se aplicaFora ponta",Mercado_Receita!$N$2:$N$601)</f>
        <v>0</v>
      </c>
      <c r="Q23" s="12">
        <f>SUMIF(Mercado_Receita!$T$2:$T$601,"44621B2Energia horáriaRuralCooperativa de eletrificação ruralNão se aplicaNão se aplicaFora ponta",Mercado_Receita!$N$2:$N$601)</f>
        <v>0</v>
      </c>
      <c r="R23" s="12">
        <f>SUMIF(Mercado_Receita!$T$2:$T$601,"44652B2Energia horáriaRuralCooperativa de eletrificação ruralNão se aplicaNão se aplicaFora ponta",Mercado_Receita!$N$2:$N$601)</f>
        <v>0</v>
      </c>
      <c r="S23" s="12">
        <f>SUMIF(Mercado_Receita!$T$2:$T$601,"44682B2Energia horáriaRuralCooperativa de eletrificação ruralNão se aplicaNão se aplicaFora ponta",Mercado_Receita!$N$2:$N$601)</f>
        <v>0</v>
      </c>
      <c r="T23" s="12">
        <f>SUMIF(Mercado_Receita!$T$2:$T$601,"44713B2Energia horáriaRuralCooperativa de eletrificação ruralNão se aplicaNão se aplicaFora ponta",Mercado_Receita!$N$2:$N$601)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88"/>
      <c r="B24" s="13" t="s">
        <v>84</v>
      </c>
      <c r="C24" s="13" t="s">
        <v>41</v>
      </c>
      <c r="D24" s="13" t="s">
        <v>88</v>
      </c>
      <c r="E24" s="13" t="s">
        <v>25</v>
      </c>
      <c r="F24" s="13" t="s">
        <v>25</v>
      </c>
      <c r="G24" s="12" t="s">
        <v>77</v>
      </c>
      <c r="H24" s="12" t="s">
        <v>71</v>
      </c>
      <c r="I24" s="12">
        <f>SUMIF(Mercado_Receita!$T$2:$T$601,"44378B2Energia convencionalRuralCooperativa de eletrificação ruralNão se aplicaNão se aplicaNão se aplica",Mercado_Receita!$N$2:$N$601)</f>
        <v>0</v>
      </c>
      <c r="J24" s="12">
        <f>SUMIF(Mercado_Receita!$T$2:$T$601,"44409B2Energia convencionalRuralCooperativa de eletrificação ruralNão se aplicaNão se aplicaNão se aplica",Mercado_Receita!$N$2:$N$601)</f>
        <v>0</v>
      </c>
      <c r="K24" s="12">
        <f>SUMIF(Mercado_Receita!$T$2:$T$601,"44440B2Energia convencionalRuralCooperativa de eletrificação ruralNão se aplicaNão se aplicaNão se aplica",Mercado_Receita!$N$2:$N$601)</f>
        <v>0</v>
      </c>
      <c r="L24" s="12">
        <f>SUMIF(Mercado_Receita!$T$2:$T$601,"44470B2Energia convencionalRuralCooperativa de eletrificação ruralNão se aplicaNão se aplicaNão se aplica",Mercado_Receita!$N$2:$N$601)</f>
        <v>0</v>
      </c>
      <c r="M24" s="12">
        <f>SUMIF(Mercado_Receita!$T$2:$T$601,"44501B2Energia convencionalRuralCooperativa de eletrificação ruralNão se aplicaNão se aplicaNão se aplica",Mercado_Receita!$N$2:$N$601)</f>
        <v>0</v>
      </c>
      <c r="N24" s="12">
        <f>SUMIF(Mercado_Receita!$T$2:$T$601,"44531B2Energia convencionalRuralCooperativa de eletrificação ruralNão se aplicaNão se aplicaNão se aplica",Mercado_Receita!$N$2:$N$601)</f>
        <v>0</v>
      </c>
      <c r="O24" s="12">
        <f>SUMIF(Mercado_Receita!$T$2:$T$601,"44562B2Energia convencionalRuralCooperativa de eletrificação ruralNão se aplicaNão se aplicaNão se aplica",Mercado_Receita!$N$2:$N$601)</f>
        <v>0</v>
      </c>
      <c r="P24" s="12">
        <f>SUMIF(Mercado_Receita!$T$2:$T$601,"44593B2Energia convencionalRuralCooperativa de eletrificação ruralNão se aplicaNão se aplicaNão se aplica",Mercado_Receita!$N$2:$N$601)</f>
        <v>0</v>
      </c>
      <c r="Q24" s="12">
        <f>SUMIF(Mercado_Receita!$T$2:$T$601,"44621B2Energia convencionalRuralCooperativa de eletrificação ruralNão se aplicaNão se aplicaNão se aplica",Mercado_Receita!$N$2:$N$601)</f>
        <v>0</v>
      </c>
      <c r="R24" s="12">
        <f>SUMIF(Mercado_Receita!$T$2:$T$601,"44652B2Energia convencionalRuralCooperativa de eletrificação ruralNão se aplicaNão se aplicaNão se aplica",Mercado_Receita!$N$2:$N$601)</f>
        <v>0</v>
      </c>
      <c r="S24" s="12">
        <f>SUMIF(Mercado_Receita!$T$2:$T$601,"44682B2Energia convencionalRuralCooperativa de eletrificação ruralNão se aplicaNão se aplicaNão se aplica",Mercado_Receita!$N$2:$N$601)</f>
        <v>0</v>
      </c>
      <c r="T24" s="12">
        <f>SUMIF(Mercado_Receita!$T$2:$T$601,"44713B2Energia convencionalRuralCooperativa de eletrificação ruralNão se aplicaNão se aplicaNão se aplica",Mercado_Receita!$N$2:$N$601)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88"/>
      <c r="B25" s="87" t="s">
        <v>70</v>
      </c>
      <c r="C25" s="87" t="s">
        <v>41</v>
      </c>
      <c r="D25" s="87" t="s">
        <v>89</v>
      </c>
      <c r="E25" s="87" t="s">
        <v>25</v>
      </c>
      <c r="F25" s="87" t="s">
        <v>25</v>
      </c>
      <c r="G25" s="12" t="s">
        <v>72</v>
      </c>
      <c r="H25" s="12" t="s">
        <v>71</v>
      </c>
      <c r="I25" s="12">
        <f>SUMIF(Mercado_Receita!$T$2:$T$601,"44378B2Energia horáriaRuralServiço público de irrigação ruralNão se aplicaNão se aplicaPonta",Mercado_Receita!$N$2:$N$601)</f>
        <v>0</v>
      </c>
      <c r="J25" s="12">
        <f>SUMIF(Mercado_Receita!$T$2:$T$601,"44409B2Energia horáriaRuralServiço público de irrigação ruralNão se aplicaNão se aplicaPonta",Mercado_Receita!$N$2:$N$601)</f>
        <v>0</v>
      </c>
      <c r="K25" s="12">
        <f>SUMIF(Mercado_Receita!$T$2:$T$601,"44440B2Energia horáriaRuralServiço público de irrigação ruralNão se aplicaNão se aplicaPonta",Mercado_Receita!$N$2:$N$601)</f>
        <v>0</v>
      </c>
      <c r="L25" s="12">
        <f>SUMIF(Mercado_Receita!$T$2:$T$601,"44470B2Energia horáriaRuralServiço público de irrigação ruralNão se aplicaNão se aplicaPonta",Mercado_Receita!$N$2:$N$601)</f>
        <v>0</v>
      </c>
      <c r="M25" s="12">
        <f>SUMIF(Mercado_Receita!$T$2:$T$601,"44501B2Energia horáriaRuralServiço público de irrigação ruralNão se aplicaNão se aplicaPonta",Mercado_Receita!$N$2:$N$601)</f>
        <v>0</v>
      </c>
      <c r="N25" s="12">
        <f>SUMIF(Mercado_Receita!$T$2:$T$601,"44531B2Energia horáriaRuralServiço público de irrigação ruralNão se aplicaNão se aplicaPonta",Mercado_Receita!$N$2:$N$601)</f>
        <v>0</v>
      </c>
      <c r="O25" s="12">
        <f>SUMIF(Mercado_Receita!$T$2:$T$601,"44562B2Energia horáriaRuralServiço público de irrigação ruralNão se aplicaNão se aplicaPonta",Mercado_Receita!$N$2:$N$601)</f>
        <v>0</v>
      </c>
      <c r="P25" s="12">
        <f>SUMIF(Mercado_Receita!$T$2:$T$601,"44593B2Energia horáriaRuralServiço público de irrigação ruralNão se aplicaNão se aplicaPonta",Mercado_Receita!$N$2:$N$601)</f>
        <v>0</v>
      </c>
      <c r="Q25" s="12">
        <f>SUMIF(Mercado_Receita!$T$2:$T$601,"44621B2Energia horáriaRuralServiço público de irrigação ruralNão se aplicaNão se aplicaPonta",Mercado_Receita!$N$2:$N$601)</f>
        <v>0</v>
      </c>
      <c r="R25" s="12">
        <f>SUMIF(Mercado_Receita!$T$2:$T$601,"44652B2Energia horáriaRuralServiço público de irrigação ruralNão se aplicaNão se aplicaPonta",Mercado_Receita!$N$2:$N$601)</f>
        <v>0</v>
      </c>
      <c r="S25" s="12">
        <f>SUMIF(Mercado_Receita!$T$2:$T$601,"44682B2Energia horáriaRuralServiço público de irrigação ruralNão se aplicaNão se aplicaPonta",Mercado_Receita!$N$2:$N$601)</f>
        <v>0</v>
      </c>
      <c r="T25" s="12">
        <f>SUMIF(Mercado_Receita!$T$2:$T$601,"44713B2Energia horáriaRuralServiço público de irrigação ruralNão se aplicaNão se aplicaPonta",Mercado_Receita!$N$2:$N$601)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88"/>
      <c r="B26" s="88"/>
      <c r="C26" s="88"/>
      <c r="D26" s="88"/>
      <c r="E26" s="88"/>
      <c r="F26" s="88"/>
      <c r="G26" s="12" t="s">
        <v>83</v>
      </c>
      <c r="H26" s="12" t="s">
        <v>71</v>
      </c>
      <c r="I26" s="12">
        <f>SUMIF(Mercado_Receita!$T$2:$T$601,"44378B2Energia horáriaRuralServiço público de irrigação ruralNão se aplicaNão se aplicaIntermediário",Mercado_Receita!$N$2:$N$601)</f>
        <v>0</v>
      </c>
      <c r="J26" s="12">
        <f>SUMIF(Mercado_Receita!$T$2:$T$601,"44409B2Energia horáriaRuralServiço público de irrigação ruralNão se aplicaNão se aplicaIntermediário",Mercado_Receita!$N$2:$N$601)</f>
        <v>0</v>
      </c>
      <c r="K26" s="12">
        <f>SUMIF(Mercado_Receita!$T$2:$T$601,"44440B2Energia horáriaRuralServiço público de irrigação ruralNão se aplicaNão se aplicaIntermediário",Mercado_Receita!$N$2:$N$601)</f>
        <v>0</v>
      </c>
      <c r="L26" s="12">
        <f>SUMIF(Mercado_Receita!$T$2:$T$601,"44470B2Energia horáriaRuralServiço público de irrigação ruralNão se aplicaNão se aplicaIntermediário",Mercado_Receita!$N$2:$N$601)</f>
        <v>0</v>
      </c>
      <c r="M26" s="12">
        <f>SUMIF(Mercado_Receita!$T$2:$T$601,"44501B2Energia horáriaRuralServiço público de irrigação ruralNão se aplicaNão se aplicaIntermediário",Mercado_Receita!$N$2:$N$601)</f>
        <v>0</v>
      </c>
      <c r="N26" s="12">
        <f>SUMIF(Mercado_Receita!$T$2:$T$601,"44531B2Energia horáriaRuralServiço público de irrigação ruralNão se aplicaNão se aplicaIntermediário",Mercado_Receita!$N$2:$N$601)</f>
        <v>0</v>
      </c>
      <c r="O26" s="12">
        <f>SUMIF(Mercado_Receita!$T$2:$T$601,"44562B2Energia horáriaRuralServiço público de irrigação ruralNão se aplicaNão se aplicaIntermediário",Mercado_Receita!$N$2:$N$601)</f>
        <v>0</v>
      </c>
      <c r="P26" s="12">
        <f>SUMIF(Mercado_Receita!$T$2:$T$601,"44593B2Energia horáriaRuralServiço público de irrigação ruralNão se aplicaNão se aplicaIntermediário",Mercado_Receita!$N$2:$N$601)</f>
        <v>0</v>
      </c>
      <c r="Q26" s="12">
        <f>SUMIF(Mercado_Receita!$T$2:$T$601,"44621B2Energia horáriaRuralServiço público de irrigação ruralNão se aplicaNão se aplicaIntermediário",Mercado_Receita!$N$2:$N$601)</f>
        <v>0</v>
      </c>
      <c r="R26" s="12">
        <f>SUMIF(Mercado_Receita!$T$2:$T$601,"44652B2Energia horáriaRuralServiço público de irrigação ruralNão se aplicaNão se aplicaIntermediário",Mercado_Receita!$N$2:$N$601)</f>
        <v>0</v>
      </c>
      <c r="S26" s="12">
        <f>SUMIF(Mercado_Receita!$T$2:$T$601,"44682B2Energia horáriaRuralServiço público de irrigação ruralNão se aplicaNão se aplicaIntermediário",Mercado_Receita!$N$2:$N$601)</f>
        <v>0</v>
      </c>
      <c r="T26" s="12">
        <f>SUMIF(Mercado_Receita!$T$2:$T$601,"44713B2Energia horáriaRuralServiço público de irrigação ruralNão se aplicaNão se aplicaIntermediário",Mercado_Receita!$N$2:$N$601)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88"/>
      <c r="B27" s="88"/>
      <c r="C27" s="88"/>
      <c r="D27" s="88"/>
      <c r="E27" s="88"/>
      <c r="F27" s="88"/>
      <c r="G27" s="12" t="s">
        <v>73</v>
      </c>
      <c r="H27" s="12" t="s">
        <v>71</v>
      </c>
      <c r="I27" s="12">
        <f>SUMIF(Mercado_Receita!$T$2:$T$601,"44378B2Energia horáriaRuralServiço público de irrigação ruralNão se aplicaNão se aplicaFora ponta",Mercado_Receita!$N$2:$N$601)</f>
        <v>0</v>
      </c>
      <c r="J27" s="12">
        <f>SUMIF(Mercado_Receita!$T$2:$T$601,"44409B2Energia horáriaRuralServiço público de irrigação ruralNão se aplicaNão se aplicaFora ponta",Mercado_Receita!$N$2:$N$601)</f>
        <v>0</v>
      </c>
      <c r="K27" s="12">
        <f>SUMIF(Mercado_Receita!$T$2:$T$601,"44440B2Energia horáriaRuralServiço público de irrigação ruralNão se aplicaNão se aplicaFora ponta",Mercado_Receita!$N$2:$N$601)</f>
        <v>0</v>
      </c>
      <c r="L27" s="12">
        <f>SUMIF(Mercado_Receita!$T$2:$T$601,"44470B2Energia horáriaRuralServiço público de irrigação ruralNão se aplicaNão se aplicaFora ponta",Mercado_Receita!$N$2:$N$601)</f>
        <v>0</v>
      </c>
      <c r="M27" s="12">
        <f>SUMIF(Mercado_Receita!$T$2:$T$601,"44501B2Energia horáriaRuralServiço público de irrigação ruralNão se aplicaNão se aplicaFora ponta",Mercado_Receita!$N$2:$N$601)</f>
        <v>0</v>
      </c>
      <c r="N27" s="12">
        <f>SUMIF(Mercado_Receita!$T$2:$T$601,"44531B2Energia horáriaRuralServiço público de irrigação ruralNão se aplicaNão se aplicaFora ponta",Mercado_Receita!$N$2:$N$601)</f>
        <v>0</v>
      </c>
      <c r="O27" s="12">
        <f>SUMIF(Mercado_Receita!$T$2:$T$601,"44562B2Energia horáriaRuralServiço público de irrigação ruralNão se aplicaNão se aplicaFora ponta",Mercado_Receita!$N$2:$N$601)</f>
        <v>0</v>
      </c>
      <c r="P27" s="12">
        <f>SUMIF(Mercado_Receita!$T$2:$T$601,"44593B2Energia horáriaRuralServiço público de irrigação ruralNão se aplicaNão se aplicaFora ponta",Mercado_Receita!$N$2:$N$601)</f>
        <v>0</v>
      </c>
      <c r="Q27" s="12">
        <f>SUMIF(Mercado_Receita!$T$2:$T$601,"44621B2Energia horáriaRuralServiço público de irrigação ruralNão se aplicaNão se aplicaFora ponta",Mercado_Receita!$N$2:$N$601)</f>
        <v>0</v>
      </c>
      <c r="R27" s="12">
        <f>SUMIF(Mercado_Receita!$T$2:$T$601,"44652B2Energia horáriaRuralServiço público de irrigação ruralNão se aplicaNão se aplicaFora ponta",Mercado_Receita!$N$2:$N$601)</f>
        <v>0</v>
      </c>
      <c r="S27" s="12">
        <f>SUMIF(Mercado_Receita!$T$2:$T$601,"44682B2Energia horáriaRuralServiço público de irrigação ruralNão se aplicaNão se aplicaFora ponta",Mercado_Receita!$N$2:$N$601)</f>
        <v>0</v>
      </c>
      <c r="T27" s="12">
        <f>SUMIF(Mercado_Receita!$T$2:$T$601,"44713B2Energia horáriaRuralServiço público de irrigação ruralNão se aplicaNão se aplicaFora ponta",Mercado_Receita!$N$2:$N$601)</f>
        <v>0</v>
      </c>
      <c r="U27" s="12">
        <f t="shared" si="0"/>
        <v>0</v>
      </c>
      <c r="V27" s="12"/>
      <c r="W27" s="12"/>
    </row>
    <row r="28" spans="1:23" ht="11.25" customHeight="1" x14ac:dyDescent="0.25">
      <c r="A28" s="88"/>
      <c r="B28" s="13" t="s">
        <v>84</v>
      </c>
      <c r="C28" s="13" t="s">
        <v>41</v>
      </c>
      <c r="D28" s="13" t="s">
        <v>89</v>
      </c>
      <c r="E28" s="13" t="s">
        <v>25</v>
      </c>
      <c r="F28" s="13" t="s">
        <v>25</v>
      </c>
      <c r="G28" s="12" t="s">
        <v>77</v>
      </c>
      <c r="H28" s="12" t="s">
        <v>71</v>
      </c>
      <c r="I28" s="12">
        <f>SUMIF(Mercado_Receita!$T$2:$T$601,"44378B2Energia convencionalRuralServiço público de irrigação ruralNão se aplicaNão se aplicaNão se aplica",Mercado_Receita!$N$2:$N$601)</f>
        <v>0</v>
      </c>
      <c r="J28" s="12">
        <f>SUMIF(Mercado_Receita!$T$2:$T$601,"44409B2Energia convencionalRuralServiço público de irrigação ruralNão se aplicaNão se aplicaNão se aplica",Mercado_Receita!$N$2:$N$601)</f>
        <v>0</v>
      </c>
      <c r="K28" s="12">
        <f>SUMIF(Mercado_Receita!$T$2:$T$601,"44440B2Energia convencionalRuralServiço público de irrigação ruralNão se aplicaNão se aplicaNão se aplica",Mercado_Receita!$N$2:$N$601)</f>
        <v>0</v>
      </c>
      <c r="L28" s="12">
        <f>SUMIF(Mercado_Receita!$T$2:$T$601,"44470B2Energia convencionalRuralServiço público de irrigação ruralNão se aplicaNão se aplicaNão se aplica",Mercado_Receita!$N$2:$N$601)</f>
        <v>0</v>
      </c>
      <c r="M28" s="12">
        <f>SUMIF(Mercado_Receita!$T$2:$T$601,"44501B2Energia convencionalRuralServiço público de irrigação ruralNão se aplicaNão se aplicaNão se aplica",Mercado_Receita!$N$2:$N$601)</f>
        <v>0</v>
      </c>
      <c r="N28" s="12">
        <f>SUMIF(Mercado_Receita!$T$2:$T$601,"44531B2Energia convencionalRuralServiço público de irrigação ruralNão se aplicaNão se aplicaNão se aplica",Mercado_Receita!$N$2:$N$601)</f>
        <v>0</v>
      </c>
      <c r="O28" s="12">
        <f>SUMIF(Mercado_Receita!$T$2:$T$601,"44562B2Energia convencionalRuralServiço público de irrigação ruralNão se aplicaNão se aplicaNão se aplica",Mercado_Receita!$N$2:$N$601)</f>
        <v>0</v>
      </c>
      <c r="P28" s="12">
        <f>SUMIF(Mercado_Receita!$T$2:$T$601,"44593B2Energia convencionalRuralServiço público de irrigação ruralNão se aplicaNão se aplicaNão se aplica",Mercado_Receita!$N$2:$N$601)</f>
        <v>0</v>
      </c>
      <c r="Q28" s="12">
        <f>SUMIF(Mercado_Receita!$T$2:$T$601,"44621B2Energia convencionalRuralServiço público de irrigação ruralNão se aplicaNão se aplicaNão se aplica",Mercado_Receita!$N$2:$N$601)</f>
        <v>0</v>
      </c>
      <c r="R28" s="12">
        <f>SUMIF(Mercado_Receita!$T$2:$T$601,"44652B2Energia convencionalRuralServiço público de irrigação ruralNão se aplicaNão se aplicaNão se aplica",Mercado_Receita!$N$2:$N$601)</f>
        <v>0</v>
      </c>
      <c r="S28" s="12">
        <f>SUMIF(Mercado_Receita!$T$2:$T$601,"44682B2Energia convencionalRuralServiço público de irrigação ruralNão se aplicaNão se aplicaNão se aplica",Mercado_Receita!$N$2:$N$601)</f>
        <v>0</v>
      </c>
      <c r="T28" s="12">
        <f>SUMIF(Mercado_Receita!$T$2:$T$601,"44713B2Energia convencionalRuralServiço público de irrigação ruralNão se aplicaNão se aplicaNão se aplica",Mercado_Receita!$N$2:$N$601)</f>
        <v>0</v>
      </c>
      <c r="U28" s="12">
        <f t="shared" si="0"/>
        <v>0</v>
      </c>
      <c r="V28" s="12"/>
      <c r="W28" s="12"/>
    </row>
    <row r="29" spans="1:23" ht="11.25" customHeight="1" x14ac:dyDescent="0.25">
      <c r="A29" s="88"/>
      <c r="B29" s="87" t="s">
        <v>86</v>
      </c>
      <c r="C29" s="87" t="s">
        <v>41</v>
      </c>
      <c r="D29" s="13" t="s">
        <v>25</v>
      </c>
      <c r="E29" s="13" t="s">
        <v>25</v>
      </c>
      <c r="F29" s="13" t="s">
        <v>25</v>
      </c>
      <c r="G29" s="12" t="s">
        <v>77</v>
      </c>
      <c r="H29" s="12" t="s">
        <v>71</v>
      </c>
      <c r="I29" s="12">
        <f>SUMIF(Mercado_Receita!$T$2:$T$601,"44378B2Energia convencional pré-pagamentoRuralNão se aplicaNão se aplicaNão se aplicaNão se aplica",Mercado_Receita!$N$2:$N$601)</f>
        <v>0</v>
      </c>
      <c r="J29" s="12">
        <f>SUMIF(Mercado_Receita!$T$2:$T$601,"44409B2Energia convencional pré-pagamentoRuralNão se aplicaNão se aplicaNão se aplicaNão se aplica",Mercado_Receita!$N$2:$N$601)</f>
        <v>0</v>
      </c>
      <c r="K29" s="12">
        <f>SUMIF(Mercado_Receita!$T$2:$T$601,"44440B2Energia convencional pré-pagamentoRuralNão se aplicaNão se aplicaNão se aplicaNão se aplica",Mercado_Receita!$N$2:$N$601)</f>
        <v>0</v>
      </c>
      <c r="L29" s="12">
        <f>SUMIF(Mercado_Receita!$T$2:$T$601,"44470B2Energia convencional pré-pagamentoRuralNão se aplicaNão se aplicaNão se aplicaNão se aplica",Mercado_Receita!$N$2:$N$601)</f>
        <v>0</v>
      </c>
      <c r="M29" s="12">
        <f>SUMIF(Mercado_Receita!$T$2:$T$601,"44501B2Energia convencional pré-pagamentoRuralNão se aplicaNão se aplicaNão se aplicaNão se aplica",Mercado_Receita!$N$2:$N$601)</f>
        <v>0</v>
      </c>
      <c r="N29" s="12">
        <f>SUMIF(Mercado_Receita!$T$2:$T$601,"44531B2Energia convencional pré-pagamentoRuralNão se aplicaNão se aplicaNão se aplicaNão se aplica",Mercado_Receita!$N$2:$N$601)</f>
        <v>0</v>
      </c>
      <c r="O29" s="12">
        <f>SUMIF(Mercado_Receita!$T$2:$T$601,"44562B2Energia convencional pré-pagamentoRuralNão se aplicaNão se aplicaNão se aplicaNão se aplica",Mercado_Receita!$N$2:$N$601)</f>
        <v>0</v>
      </c>
      <c r="P29" s="12">
        <f>SUMIF(Mercado_Receita!$T$2:$T$601,"44593B2Energia convencional pré-pagamentoRuralNão se aplicaNão se aplicaNão se aplicaNão se aplica",Mercado_Receita!$N$2:$N$601)</f>
        <v>0</v>
      </c>
      <c r="Q29" s="12">
        <f>SUMIF(Mercado_Receita!$T$2:$T$601,"44621B2Energia convencional pré-pagamentoRuralNão se aplicaNão se aplicaNão se aplicaNão se aplica",Mercado_Receita!$N$2:$N$601)</f>
        <v>0</v>
      </c>
      <c r="R29" s="12">
        <f>SUMIF(Mercado_Receita!$T$2:$T$601,"44652B2Energia convencional pré-pagamentoRuralNão se aplicaNão se aplicaNão se aplicaNão se aplica",Mercado_Receita!$N$2:$N$601)</f>
        <v>0</v>
      </c>
      <c r="S29" s="12">
        <f>SUMIF(Mercado_Receita!$T$2:$T$601,"44682B2Energia convencional pré-pagamentoRuralNão se aplicaNão se aplicaNão se aplicaNão se aplica",Mercado_Receita!$N$2:$N$601)</f>
        <v>0</v>
      </c>
      <c r="T29" s="12">
        <f>SUMIF(Mercado_Receita!$T$2:$T$601,"44713B2Energia convencional pré-pagamentoRuralNão se aplicaNão se aplicaNão se aplicaNão se aplica",Mercado_Receita!$N$2:$N$601)</f>
        <v>0</v>
      </c>
      <c r="U29" s="12">
        <f t="shared" si="0"/>
        <v>0</v>
      </c>
      <c r="V29" s="12"/>
      <c r="W29" s="12"/>
    </row>
    <row r="30" spans="1:23" ht="11.25" customHeight="1" x14ac:dyDescent="0.25">
      <c r="A30" s="88"/>
      <c r="B30" s="88"/>
      <c r="C30" s="88"/>
      <c r="D30" s="13" t="s">
        <v>88</v>
      </c>
      <c r="E30" s="13" t="s">
        <v>25</v>
      </c>
      <c r="F30" s="13" t="s">
        <v>25</v>
      </c>
      <c r="G30" s="12" t="s">
        <v>77</v>
      </c>
      <c r="H30" s="12" t="s">
        <v>71</v>
      </c>
      <c r="I30" s="12">
        <f>SUMIF(Mercado_Receita!$T$2:$T$601,"44378B2Energia convencional pré-pagamentoRuralCooperativa de eletrificação ruralNão se aplicaNão se aplicaNão se aplica",Mercado_Receita!$N$2:$N$601)</f>
        <v>0</v>
      </c>
      <c r="J30" s="12">
        <f>SUMIF(Mercado_Receita!$T$2:$T$601,"44409B2Energia convencional pré-pagamentoRuralCooperativa de eletrificação ruralNão se aplicaNão se aplicaNão se aplica",Mercado_Receita!$N$2:$N$601)</f>
        <v>0</v>
      </c>
      <c r="K30" s="12">
        <f>SUMIF(Mercado_Receita!$T$2:$T$601,"44440B2Energia convencional pré-pagamentoRuralCooperativa de eletrificação ruralNão se aplicaNão se aplicaNão se aplica",Mercado_Receita!$N$2:$N$601)</f>
        <v>0</v>
      </c>
      <c r="L30" s="12">
        <f>SUMIF(Mercado_Receita!$T$2:$T$601,"44470B2Energia convencional pré-pagamentoRuralCooperativa de eletrificação ruralNão se aplicaNão se aplicaNão se aplica",Mercado_Receita!$N$2:$N$601)</f>
        <v>0</v>
      </c>
      <c r="M30" s="12">
        <f>SUMIF(Mercado_Receita!$T$2:$T$601,"44501B2Energia convencional pré-pagamentoRuralCooperativa de eletrificação ruralNão se aplicaNão se aplicaNão se aplica",Mercado_Receita!$N$2:$N$601)</f>
        <v>0</v>
      </c>
      <c r="N30" s="12">
        <f>SUMIF(Mercado_Receita!$T$2:$T$601,"44531B2Energia convencional pré-pagamentoRuralCooperativa de eletrificação ruralNão se aplicaNão se aplicaNão se aplica",Mercado_Receita!$N$2:$N$601)</f>
        <v>0</v>
      </c>
      <c r="O30" s="12">
        <f>SUMIF(Mercado_Receita!$T$2:$T$601,"44562B2Energia convencional pré-pagamentoRuralCooperativa de eletrificação ruralNão se aplicaNão se aplicaNão se aplica",Mercado_Receita!$N$2:$N$601)</f>
        <v>0</v>
      </c>
      <c r="P30" s="12">
        <f>SUMIF(Mercado_Receita!$T$2:$T$601,"44593B2Energia convencional pré-pagamentoRuralCooperativa de eletrificação ruralNão se aplicaNão se aplicaNão se aplica",Mercado_Receita!$N$2:$N$601)</f>
        <v>0</v>
      </c>
      <c r="Q30" s="12">
        <f>SUMIF(Mercado_Receita!$T$2:$T$601,"44621B2Energia convencional pré-pagamentoRuralCooperativa de eletrificação ruralNão se aplicaNão se aplicaNão se aplica",Mercado_Receita!$N$2:$N$601)</f>
        <v>0</v>
      </c>
      <c r="R30" s="12">
        <f>SUMIF(Mercado_Receita!$T$2:$T$601,"44652B2Energia convencional pré-pagamentoRuralCooperativa de eletrificação ruralNão se aplicaNão se aplicaNão se aplica",Mercado_Receita!$N$2:$N$601)</f>
        <v>0</v>
      </c>
      <c r="S30" s="12">
        <f>SUMIF(Mercado_Receita!$T$2:$T$601,"44682B2Energia convencional pré-pagamentoRuralCooperativa de eletrificação ruralNão se aplicaNão se aplicaNão se aplica",Mercado_Receita!$N$2:$N$601)</f>
        <v>0</v>
      </c>
      <c r="T30" s="12">
        <f>SUMIF(Mercado_Receita!$T$2:$T$601,"44713B2Energia convencional pré-pagamentoRuralCooperativa de eletrificação ruralNão se aplicaNão se aplicaNão se aplica",Mercado_Receita!$N$2:$N$601)</f>
        <v>0</v>
      </c>
      <c r="U30" s="12">
        <f t="shared" si="0"/>
        <v>0</v>
      </c>
      <c r="V30" s="12"/>
      <c r="W30" s="12"/>
    </row>
    <row r="31" spans="1:23" ht="11.25" customHeight="1" x14ac:dyDescent="0.25">
      <c r="A31" s="88"/>
      <c r="B31" s="88"/>
      <c r="C31" s="88"/>
      <c r="D31" s="13" t="s">
        <v>89</v>
      </c>
      <c r="E31" s="13" t="s">
        <v>25</v>
      </c>
      <c r="F31" s="13" t="s">
        <v>25</v>
      </c>
      <c r="G31" s="12" t="s">
        <v>77</v>
      </c>
      <c r="H31" s="12" t="s">
        <v>71</v>
      </c>
      <c r="I31" s="12">
        <f>SUMIF(Mercado_Receita!$T$2:$T$601,"44378B2Energia convencional pré-pagamentoRuralServiço público de irrigação ruralNão se aplicaNão se aplicaNão se aplica",Mercado_Receita!$N$2:$N$601)</f>
        <v>0</v>
      </c>
      <c r="J31" s="12">
        <f>SUMIF(Mercado_Receita!$T$2:$T$601,"44409B2Energia convencional pré-pagamentoRuralServiço público de irrigação ruralNão se aplicaNão se aplicaNão se aplica",Mercado_Receita!$N$2:$N$601)</f>
        <v>0</v>
      </c>
      <c r="K31" s="12">
        <f>SUMIF(Mercado_Receita!$T$2:$T$601,"44440B2Energia convencional pré-pagamentoRuralServiço público de irrigação ruralNão se aplicaNão se aplicaNão se aplica",Mercado_Receita!$N$2:$N$601)</f>
        <v>0</v>
      </c>
      <c r="L31" s="12">
        <f>SUMIF(Mercado_Receita!$T$2:$T$601,"44470B2Energia convencional pré-pagamentoRuralServiço público de irrigação ruralNão se aplicaNão se aplicaNão se aplica",Mercado_Receita!$N$2:$N$601)</f>
        <v>0</v>
      </c>
      <c r="M31" s="12">
        <f>SUMIF(Mercado_Receita!$T$2:$T$601,"44501B2Energia convencional pré-pagamentoRuralServiço público de irrigação ruralNão se aplicaNão se aplicaNão se aplica",Mercado_Receita!$N$2:$N$601)</f>
        <v>0</v>
      </c>
      <c r="N31" s="12">
        <f>SUMIF(Mercado_Receita!$T$2:$T$601,"44531B2Energia convencional pré-pagamentoRuralServiço público de irrigação ruralNão se aplicaNão se aplicaNão se aplica",Mercado_Receita!$N$2:$N$601)</f>
        <v>0</v>
      </c>
      <c r="O31" s="12">
        <f>SUMIF(Mercado_Receita!$T$2:$T$601,"44562B2Energia convencional pré-pagamentoRuralServiço público de irrigação ruralNão se aplicaNão se aplicaNão se aplica",Mercado_Receita!$N$2:$N$601)</f>
        <v>0</v>
      </c>
      <c r="P31" s="12">
        <f>SUMIF(Mercado_Receita!$T$2:$T$601,"44593B2Energia convencional pré-pagamentoRuralServiço público de irrigação ruralNão se aplicaNão se aplicaNão se aplica",Mercado_Receita!$N$2:$N$601)</f>
        <v>0</v>
      </c>
      <c r="Q31" s="12">
        <f>SUMIF(Mercado_Receita!$T$2:$T$601,"44621B2Energia convencional pré-pagamentoRuralServiço público de irrigação ruralNão se aplicaNão se aplicaNão se aplica",Mercado_Receita!$N$2:$N$601)</f>
        <v>0</v>
      </c>
      <c r="R31" s="12">
        <f>SUMIF(Mercado_Receita!$T$2:$T$601,"44652B2Energia convencional pré-pagamentoRuralServiço público de irrigação ruralNão se aplicaNão se aplicaNão se aplica",Mercado_Receita!$N$2:$N$601)</f>
        <v>0</v>
      </c>
      <c r="S31" s="12">
        <f>SUMIF(Mercado_Receita!$T$2:$T$601,"44682B2Energia convencional pré-pagamentoRuralServiço público de irrigação ruralNão se aplicaNão se aplicaNão se aplica",Mercado_Receita!$N$2:$N$601)</f>
        <v>0</v>
      </c>
      <c r="T31" s="12">
        <f>SUMIF(Mercado_Receita!$T$2:$T$601,"44713B2Energia convencional pré-pagamentoRuralServiço público de irrigação ruralNão se aplicaNão se aplicaNão se aplica",Mercado_Receita!$N$2:$N$601)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87" t="s">
        <v>33</v>
      </c>
      <c r="B32" s="87" t="s">
        <v>70</v>
      </c>
      <c r="C32" s="87" t="s">
        <v>25</v>
      </c>
      <c r="D32" s="87" t="s">
        <v>25</v>
      </c>
      <c r="E32" s="87" t="s">
        <v>25</v>
      </c>
      <c r="F32" s="87" t="s">
        <v>25</v>
      </c>
      <c r="G32" s="12" t="s">
        <v>72</v>
      </c>
      <c r="H32" s="12" t="s">
        <v>71</v>
      </c>
      <c r="I32" s="12">
        <f>SUMIF(Mercado_Receita!$T$2:$T$601,"44378B3Energia horáriaNão se aplicaNão se aplicaNão se aplicaNão se aplicaPonta",Mercado_Receita!$N$2:$N$601)</f>
        <v>0</v>
      </c>
      <c r="J32" s="12">
        <f>SUMIF(Mercado_Receita!$T$2:$T$601,"44409B3Energia horáriaNão se aplicaNão se aplicaNão se aplicaNão se aplicaPonta",Mercado_Receita!$N$2:$N$601)</f>
        <v>0</v>
      </c>
      <c r="K32" s="12">
        <f>SUMIF(Mercado_Receita!$T$2:$T$601,"44440B3Energia horáriaNão se aplicaNão se aplicaNão se aplicaNão se aplicaPonta",Mercado_Receita!$N$2:$N$601)</f>
        <v>0</v>
      </c>
      <c r="L32" s="12">
        <f>SUMIF(Mercado_Receita!$T$2:$T$601,"44470B3Energia horáriaNão se aplicaNão se aplicaNão se aplicaNão se aplicaPonta",Mercado_Receita!$N$2:$N$601)</f>
        <v>0</v>
      </c>
      <c r="M32" s="12">
        <f>SUMIF(Mercado_Receita!$T$2:$T$601,"44501B3Energia horáriaNão se aplicaNão se aplicaNão se aplicaNão se aplicaPonta",Mercado_Receita!$N$2:$N$601)</f>
        <v>0</v>
      </c>
      <c r="N32" s="12">
        <f>SUMIF(Mercado_Receita!$T$2:$T$601,"44531B3Energia horáriaNão se aplicaNão se aplicaNão se aplicaNão se aplicaPonta",Mercado_Receita!$N$2:$N$601)</f>
        <v>0</v>
      </c>
      <c r="O32" s="12">
        <f>SUMIF(Mercado_Receita!$T$2:$T$601,"44562B3Energia horáriaNão se aplicaNão se aplicaNão se aplicaNão se aplicaPonta",Mercado_Receita!$N$2:$N$601)</f>
        <v>0</v>
      </c>
      <c r="P32" s="12">
        <f>SUMIF(Mercado_Receita!$T$2:$T$601,"44593B3Energia horáriaNão se aplicaNão se aplicaNão se aplicaNão se aplicaPonta",Mercado_Receita!$N$2:$N$601)</f>
        <v>0</v>
      </c>
      <c r="Q32" s="12">
        <f>SUMIF(Mercado_Receita!$T$2:$T$601,"44621B3Energia horáriaNão se aplicaNão se aplicaNão se aplicaNão se aplicaPonta",Mercado_Receita!$N$2:$N$601)</f>
        <v>0</v>
      </c>
      <c r="R32" s="12">
        <f>SUMIF(Mercado_Receita!$T$2:$T$601,"44652B3Energia horáriaNão se aplicaNão se aplicaNão se aplicaNão se aplicaPonta",Mercado_Receita!$N$2:$N$601)</f>
        <v>0</v>
      </c>
      <c r="S32" s="12">
        <f>SUMIF(Mercado_Receita!$T$2:$T$601,"44682B3Energia horáriaNão se aplicaNão se aplicaNão se aplicaNão se aplicaPonta",Mercado_Receita!$N$2:$N$601)</f>
        <v>0</v>
      </c>
      <c r="T32" s="12">
        <f>SUMIF(Mercado_Receita!$T$2:$T$601,"44713B3Energia horáriaNão se aplicaNão se aplicaNão se aplicaNão se aplicaPonta",Mercado_Receita!$N$2:$N$601)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88"/>
      <c r="B33" s="88"/>
      <c r="C33" s="88"/>
      <c r="D33" s="88"/>
      <c r="E33" s="88"/>
      <c r="F33" s="88"/>
      <c r="G33" s="12" t="s">
        <v>83</v>
      </c>
      <c r="H33" s="12" t="s">
        <v>71</v>
      </c>
      <c r="I33" s="12">
        <f>SUMIF(Mercado_Receita!$T$2:$T$601,"44378B3Energia horáriaNão se aplicaNão se aplicaNão se aplicaNão se aplicaIntermediário",Mercado_Receita!$N$2:$N$601)</f>
        <v>0</v>
      </c>
      <c r="J33" s="12">
        <f>SUMIF(Mercado_Receita!$T$2:$T$601,"44409B3Energia horáriaNão se aplicaNão se aplicaNão se aplicaNão se aplicaIntermediário",Mercado_Receita!$N$2:$N$601)</f>
        <v>0</v>
      </c>
      <c r="K33" s="12">
        <f>SUMIF(Mercado_Receita!$T$2:$T$601,"44440B3Energia horáriaNão se aplicaNão se aplicaNão se aplicaNão se aplicaIntermediário",Mercado_Receita!$N$2:$N$601)</f>
        <v>0</v>
      </c>
      <c r="L33" s="12">
        <f>SUMIF(Mercado_Receita!$T$2:$T$601,"44470B3Energia horáriaNão se aplicaNão se aplicaNão se aplicaNão se aplicaIntermediário",Mercado_Receita!$N$2:$N$601)</f>
        <v>0</v>
      </c>
      <c r="M33" s="12">
        <f>SUMIF(Mercado_Receita!$T$2:$T$601,"44501B3Energia horáriaNão se aplicaNão se aplicaNão se aplicaNão se aplicaIntermediário",Mercado_Receita!$N$2:$N$601)</f>
        <v>0</v>
      </c>
      <c r="N33" s="12">
        <f>SUMIF(Mercado_Receita!$T$2:$T$601,"44531B3Energia horáriaNão se aplicaNão se aplicaNão se aplicaNão se aplicaIntermediário",Mercado_Receita!$N$2:$N$601)</f>
        <v>0</v>
      </c>
      <c r="O33" s="12">
        <f>SUMIF(Mercado_Receita!$T$2:$T$601,"44562B3Energia horáriaNão se aplicaNão se aplicaNão se aplicaNão se aplicaIntermediário",Mercado_Receita!$N$2:$N$601)</f>
        <v>0</v>
      </c>
      <c r="P33" s="12">
        <f>SUMIF(Mercado_Receita!$T$2:$T$601,"44593B3Energia horáriaNão se aplicaNão se aplicaNão se aplicaNão se aplicaIntermediário",Mercado_Receita!$N$2:$N$601)</f>
        <v>0</v>
      </c>
      <c r="Q33" s="12">
        <f>SUMIF(Mercado_Receita!$T$2:$T$601,"44621B3Energia horáriaNão se aplicaNão se aplicaNão se aplicaNão se aplicaIntermediário",Mercado_Receita!$N$2:$N$601)</f>
        <v>0</v>
      </c>
      <c r="R33" s="12">
        <f>SUMIF(Mercado_Receita!$T$2:$T$601,"44652B3Energia horáriaNão se aplicaNão se aplicaNão se aplicaNão se aplicaIntermediário",Mercado_Receita!$N$2:$N$601)</f>
        <v>0</v>
      </c>
      <c r="S33" s="12">
        <f>SUMIF(Mercado_Receita!$T$2:$T$601,"44682B3Energia horáriaNão se aplicaNão se aplicaNão se aplicaNão se aplicaIntermediário",Mercado_Receita!$N$2:$N$601)</f>
        <v>0</v>
      </c>
      <c r="T33" s="12">
        <f>SUMIF(Mercado_Receita!$T$2:$T$601,"44713B3Energia horáriaNão se aplicaNão se aplicaNão se aplicaNão se aplicaIntermediário",Mercado_Receita!$N$2:$N$601)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88"/>
      <c r="B34" s="88"/>
      <c r="C34" s="88"/>
      <c r="D34" s="88"/>
      <c r="E34" s="88"/>
      <c r="F34" s="88"/>
      <c r="G34" s="12" t="s">
        <v>73</v>
      </c>
      <c r="H34" s="12" t="s">
        <v>71</v>
      </c>
      <c r="I34" s="12">
        <f>SUMIF(Mercado_Receita!$T$2:$T$601,"44378B3Energia horáriaNão se aplicaNão se aplicaNão se aplicaNão se aplicaFora ponta",Mercado_Receita!$N$2:$N$601)</f>
        <v>0</v>
      </c>
      <c r="J34" s="12">
        <f>SUMIF(Mercado_Receita!$T$2:$T$601,"44409B3Energia horáriaNão se aplicaNão se aplicaNão se aplicaNão se aplicaFora ponta",Mercado_Receita!$N$2:$N$601)</f>
        <v>0</v>
      </c>
      <c r="K34" s="12">
        <f>SUMIF(Mercado_Receita!$T$2:$T$601,"44440B3Energia horáriaNão se aplicaNão se aplicaNão se aplicaNão se aplicaFora ponta",Mercado_Receita!$N$2:$N$601)</f>
        <v>0</v>
      </c>
      <c r="L34" s="12">
        <f>SUMIF(Mercado_Receita!$T$2:$T$601,"44470B3Energia horáriaNão se aplicaNão se aplicaNão se aplicaNão se aplicaFora ponta",Mercado_Receita!$N$2:$N$601)</f>
        <v>0</v>
      </c>
      <c r="M34" s="12">
        <f>SUMIF(Mercado_Receita!$T$2:$T$601,"44501B3Energia horáriaNão se aplicaNão se aplicaNão se aplicaNão se aplicaFora ponta",Mercado_Receita!$N$2:$N$601)</f>
        <v>0</v>
      </c>
      <c r="N34" s="12">
        <f>SUMIF(Mercado_Receita!$T$2:$T$601,"44531B3Energia horáriaNão se aplicaNão se aplicaNão se aplicaNão se aplicaFora ponta",Mercado_Receita!$N$2:$N$601)</f>
        <v>0</v>
      </c>
      <c r="O34" s="12">
        <f>SUMIF(Mercado_Receita!$T$2:$T$601,"44562B3Energia horáriaNão se aplicaNão se aplicaNão se aplicaNão se aplicaFora ponta",Mercado_Receita!$N$2:$N$601)</f>
        <v>0</v>
      </c>
      <c r="P34" s="12">
        <f>SUMIF(Mercado_Receita!$T$2:$T$601,"44593B3Energia horáriaNão se aplicaNão se aplicaNão se aplicaNão se aplicaFora ponta",Mercado_Receita!$N$2:$N$601)</f>
        <v>0</v>
      </c>
      <c r="Q34" s="12">
        <f>SUMIF(Mercado_Receita!$T$2:$T$601,"44621B3Energia horáriaNão se aplicaNão se aplicaNão se aplicaNão se aplicaFora ponta",Mercado_Receita!$N$2:$N$601)</f>
        <v>0</v>
      </c>
      <c r="R34" s="12">
        <f>SUMIF(Mercado_Receita!$T$2:$T$601,"44652B3Energia horáriaNão se aplicaNão se aplicaNão se aplicaNão se aplicaFora ponta",Mercado_Receita!$N$2:$N$601)</f>
        <v>0</v>
      </c>
      <c r="S34" s="12">
        <f>SUMIF(Mercado_Receita!$T$2:$T$601,"44682B3Energia horáriaNão se aplicaNão se aplicaNão se aplicaNão se aplicaFora ponta",Mercado_Receita!$N$2:$N$601)</f>
        <v>0</v>
      </c>
      <c r="T34" s="12">
        <f>SUMIF(Mercado_Receita!$T$2:$T$601,"44713B3Energia horáriaNão se aplicaNão se aplicaNão se aplicaNão se aplicaFora ponta",Mercado_Receita!$N$2:$N$601)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88"/>
      <c r="B35" s="13" t="s">
        <v>84</v>
      </c>
      <c r="C35" s="13" t="s">
        <v>25</v>
      </c>
      <c r="D35" s="13" t="s">
        <v>25</v>
      </c>
      <c r="E35" s="13" t="s">
        <v>25</v>
      </c>
      <c r="F35" s="13" t="s">
        <v>25</v>
      </c>
      <c r="G35" s="12" t="s">
        <v>77</v>
      </c>
      <c r="H35" s="12" t="s">
        <v>71</v>
      </c>
      <c r="I35" s="12">
        <f>SUMIF(Mercado_Receita!$T$2:$T$601,"44378B3Energia convencionalNão se aplicaNão se aplicaNão se aplicaNão se aplicaNão se aplica",Mercado_Receita!$N$2:$N$601)</f>
        <v>726.91500000000008</v>
      </c>
      <c r="J35" s="12">
        <f>SUMIF(Mercado_Receita!$T$2:$T$601,"44409B3Energia convencionalNão se aplicaNão se aplicaNão se aplicaNão se aplicaNão se aplica",Mercado_Receita!$N$2:$N$601)</f>
        <v>722.68100000000004</v>
      </c>
      <c r="K35" s="12">
        <f>SUMIF(Mercado_Receita!$T$2:$T$601,"44440B3Energia convencionalNão se aplicaNão se aplicaNão se aplicaNão se aplicaNão se aplica",Mercado_Receita!$N$2:$N$601)</f>
        <v>743.601</v>
      </c>
      <c r="L35" s="12">
        <f>SUMIF(Mercado_Receita!$T$2:$T$601,"44470B3Energia convencionalNão se aplicaNão se aplicaNão se aplicaNão se aplicaNão se aplica",Mercado_Receita!$N$2:$N$601)</f>
        <v>709.97299999999996</v>
      </c>
      <c r="M35" s="12">
        <f>SUMIF(Mercado_Receita!$T$2:$T$601,"44501B3Energia convencionalNão se aplicaNão se aplicaNão se aplicaNão se aplicaNão se aplica",Mercado_Receita!$N$2:$N$601)</f>
        <v>781.61299999999994</v>
      </c>
      <c r="N35" s="12">
        <f>SUMIF(Mercado_Receita!$T$2:$T$601,"44531B3Energia convencionalNão se aplicaNão se aplicaNão se aplicaNão se aplicaNão se aplica",Mercado_Receita!$N$2:$N$601)</f>
        <v>798.66499999999996</v>
      </c>
      <c r="O35" s="12">
        <f>SUMIF(Mercado_Receita!$T$2:$T$601,"44562B3Energia convencionalNão se aplicaNão se aplicaNão se aplicaNão se aplicaNão se aplica",Mercado_Receita!$N$2:$N$601)</f>
        <v>891.5179999999998</v>
      </c>
      <c r="P35" s="12">
        <f>SUMIF(Mercado_Receita!$T$2:$T$601,"44593B3Energia convencionalNão se aplicaNão se aplicaNão se aplicaNão se aplicaNão se aplica",Mercado_Receita!$N$2:$N$601)</f>
        <v>922.92799999999988</v>
      </c>
      <c r="Q35" s="12">
        <f>SUMIF(Mercado_Receita!$T$2:$T$601,"44621B3Energia convencionalNão se aplicaNão se aplicaNão se aplicaNão se aplicaNão se aplica",Mercado_Receita!$N$2:$N$601)</f>
        <v>896.81399999999996</v>
      </c>
      <c r="R35" s="12">
        <f>SUMIF(Mercado_Receita!$T$2:$T$601,"44652B3Energia convencionalNão se aplicaNão se aplicaNão se aplicaNão se aplicaNão se aplica",Mercado_Receita!$N$2:$N$601)</f>
        <v>775.96499999999992</v>
      </c>
      <c r="S35" s="12">
        <f>SUMIF(Mercado_Receita!$T$2:$T$601,"44682B3Energia convencionalNão se aplicaNão se aplicaNão se aplicaNão se aplicaNão se aplica",Mercado_Receita!$N$2:$N$601)</f>
        <v>804.52200000000005</v>
      </c>
      <c r="T35" s="12">
        <f>SUMIF(Mercado_Receita!$T$2:$T$601,"44713B3Energia convencionalNão se aplicaNão se aplicaNão se aplicaNão se aplicaNão se aplica",Mercado_Receita!$N$2:$N$601)</f>
        <v>776.92600000000004</v>
      </c>
      <c r="U35" s="12">
        <f t="shared" si="0"/>
        <v>9552.121000000001</v>
      </c>
      <c r="V35" s="12"/>
      <c r="W35" s="12"/>
    </row>
    <row r="36" spans="1:23" ht="11.25" customHeight="1" x14ac:dyDescent="0.25">
      <c r="A36" s="88"/>
      <c r="B36" s="13" t="s">
        <v>86</v>
      </c>
      <c r="C36" s="13" t="s">
        <v>25</v>
      </c>
      <c r="D36" s="13" t="s">
        <v>25</v>
      </c>
      <c r="E36" s="13" t="s">
        <v>25</v>
      </c>
      <c r="F36" s="13" t="s">
        <v>25</v>
      </c>
      <c r="G36" s="12" t="s">
        <v>77</v>
      </c>
      <c r="H36" s="12" t="s">
        <v>71</v>
      </c>
      <c r="I36" s="12">
        <f>SUMIF(Mercado_Receita!$T$2:$T$601,"44378B3Energia convencional pré-pagamentoNão se aplicaNão se aplicaNão se aplicaNão se aplicaNão se aplica",Mercado_Receita!$N$2:$N$601)</f>
        <v>0</v>
      </c>
      <c r="J36" s="12">
        <f>SUMIF(Mercado_Receita!$T$2:$T$601,"44409B3Energia convencional pré-pagamentoNão se aplicaNão se aplicaNão se aplicaNão se aplicaNão se aplica",Mercado_Receita!$N$2:$N$601)</f>
        <v>0</v>
      </c>
      <c r="K36" s="12">
        <f>SUMIF(Mercado_Receita!$T$2:$T$601,"44440B3Energia convencional pré-pagamentoNão se aplicaNão se aplicaNão se aplicaNão se aplicaNão se aplica",Mercado_Receita!$N$2:$N$601)</f>
        <v>0</v>
      </c>
      <c r="L36" s="12">
        <f>SUMIF(Mercado_Receita!$T$2:$T$601,"44470B3Energia convencional pré-pagamentoNão se aplicaNão se aplicaNão se aplicaNão se aplicaNão se aplica",Mercado_Receita!$N$2:$N$601)</f>
        <v>0</v>
      </c>
      <c r="M36" s="12">
        <f>SUMIF(Mercado_Receita!$T$2:$T$601,"44501B3Energia convencional pré-pagamentoNão se aplicaNão se aplicaNão se aplicaNão se aplicaNão se aplica",Mercado_Receita!$N$2:$N$601)</f>
        <v>0</v>
      </c>
      <c r="N36" s="12">
        <f>SUMIF(Mercado_Receita!$T$2:$T$601,"44531B3Energia convencional pré-pagamentoNão se aplicaNão se aplicaNão se aplicaNão se aplicaNão se aplica",Mercado_Receita!$N$2:$N$601)</f>
        <v>0</v>
      </c>
      <c r="O36" s="12">
        <f>SUMIF(Mercado_Receita!$T$2:$T$601,"44562B3Energia convencional pré-pagamentoNão se aplicaNão se aplicaNão se aplicaNão se aplicaNão se aplica",Mercado_Receita!$N$2:$N$601)</f>
        <v>0</v>
      </c>
      <c r="P36" s="12">
        <f>SUMIF(Mercado_Receita!$T$2:$T$601,"44593B3Energia convencional pré-pagamentoNão se aplicaNão se aplicaNão se aplicaNão se aplicaNão se aplica",Mercado_Receita!$N$2:$N$601)</f>
        <v>0</v>
      </c>
      <c r="Q36" s="12">
        <f>SUMIF(Mercado_Receita!$T$2:$T$601,"44621B3Energia convencional pré-pagamentoNão se aplicaNão se aplicaNão se aplicaNão se aplicaNão se aplica",Mercado_Receita!$N$2:$N$601)</f>
        <v>0</v>
      </c>
      <c r="R36" s="12">
        <f>SUMIF(Mercado_Receita!$T$2:$T$601,"44652B3Energia convencional pré-pagamentoNão se aplicaNão se aplicaNão se aplicaNão se aplicaNão se aplica",Mercado_Receita!$N$2:$N$601)</f>
        <v>0</v>
      </c>
      <c r="S36" s="12">
        <f>SUMIF(Mercado_Receita!$T$2:$T$601,"44682B3Energia convencional pré-pagamentoNão se aplicaNão se aplicaNão se aplicaNão se aplicaNão se aplica",Mercado_Receita!$N$2:$N$601)</f>
        <v>0</v>
      </c>
      <c r="T36" s="12">
        <f>SUMIF(Mercado_Receita!$T$2:$T$601,"44713B3Energia convencional pré-pagamentoNão se aplicaNão se aplicaNão se aplicaNão se aplicaNão se aplica",Mercado_Receita!$N$2:$N$601)</f>
        <v>0</v>
      </c>
      <c r="U36" s="12">
        <f t="shared" si="0"/>
        <v>0</v>
      </c>
      <c r="V36" s="12"/>
      <c r="W36" s="12"/>
    </row>
    <row r="37" spans="1:23" ht="11.25" customHeight="1" x14ac:dyDescent="0.25">
      <c r="A37" s="87" t="s">
        <v>43</v>
      </c>
      <c r="B37" s="87" t="s">
        <v>84</v>
      </c>
      <c r="C37" s="87" t="s">
        <v>44</v>
      </c>
      <c r="D37" s="13" t="s">
        <v>45</v>
      </c>
      <c r="E37" s="13" t="s">
        <v>25</v>
      </c>
      <c r="F37" s="13" t="s">
        <v>25</v>
      </c>
      <c r="G37" s="12" t="s">
        <v>77</v>
      </c>
      <c r="H37" s="12" t="s">
        <v>71</v>
      </c>
      <c r="I37" s="12">
        <f>SUMIF(Mercado_Receita!$T$2:$T$601,"44378B4Energia convencionalIluminação públicaIluminação pública – B4aNão se aplicaNão se aplicaNão se aplica",Mercado_Receita!$N$2:$N$601)</f>
        <v>416.529</v>
      </c>
      <c r="J37" s="12">
        <f>SUMIF(Mercado_Receita!$T$2:$T$601,"44409B4Energia convencionalIluminação públicaIluminação pública – B4aNão se aplicaNão se aplicaNão se aplica",Mercado_Receita!$N$2:$N$601)</f>
        <v>380.58699999999999</v>
      </c>
      <c r="K37" s="12">
        <f>SUMIF(Mercado_Receita!$T$2:$T$601,"44440B4Energia convencionalIluminação públicaIluminação pública – B4aNão se aplicaNão se aplicaNão se aplica",Mercado_Receita!$N$2:$N$601)</f>
        <v>380.05599999999998</v>
      </c>
      <c r="L37" s="12">
        <f>SUMIF(Mercado_Receita!$T$2:$T$601,"44470B4Energia convencionalIluminação públicaIluminação pública – B4aNão se aplicaNão se aplicaNão se aplica",Mercado_Receita!$N$2:$N$601)</f>
        <v>378.35599999999999</v>
      </c>
      <c r="M37" s="12">
        <f>SUMIF(Mercado_Receita!$T$2:$T$601,"44501B4Energia convencionalIluminação públicaIluminação pública – B4aNão se aplicaNão se aplicaNão se aplica",Mercado_Receita!$N$2:$N$601)</f>
        <v>377.95699999999999</v>
      </c>
      <c r="N37" s="12">
        <f>SUMIF(Mercado_Receita!$T$2:$T$601,"44531B4Energia convencionalIluminação públicaIluminação pública – B4aNão se aplicaNão se aplicaNão se aplica",Mercado_Receita!$N$2:$N$601)</f>
        <v>387.53300000000002</v>
      </c>
      <c r="O37" s="12">
        <f>SUMIF(Mercado_Receita!$T$2:$T$601,"44562B4Energia convencionalIluminação públicaIluminação pública – B4aNão se aplicaNão se aplicaNão se aplica",Mercado_Receita!$N$2:$N$601)</f>
        <v>391.65499999999997</v>
      </c>
      <c r="P37" s="12">
        <f>SUMIF(Mercado_Receita!$T$2:$T$601,"44593B4Energia convencionalIluminação públicaIluminação pública – B4aNão se aplicaNão se aplicaNão se aplica",Mercado_Receita!$N$2:$N$601)</f>
        <v>416.22199999999998</v>
      </c>
      <c r="Q37" s="12">
        <f>SUMIF(Mercado_Receita!$T$2:$T$601,"44621B4Energia convencionalIluminação públicaIluminação pública – B4aNão se aplicaNão se aplicaNão se aplica",Mercado_Receita!$N$2:$N$601)</f>
        <v>933.61500000000001</v>
      </c>
      <c r="R37" s="12">
        <f>SUMIF(Mercado_Receita!$T$2:$T$601,"44652B4Energia convencionalIluminação públicaIluminação pública – B4aNão se aplicaNão se aplicaNão se aplica",Mercado_Receita!$N$2:$N$601)</f>
        <v>-103.69599999999997</v>
      </c>
      <c r="S37" s="12">
        <f>SUMIF(Mercado_Receita!$T$2:$T$601,"44682B4Energia convencionalIluminação públicaIluminação pública – B4aNão se aplicaNão se aplicaNão se aplica",Mercado_Receita!$N$2:$N$601)</f>
        <v>447.61700000000002</v>
      </c>
      <c r="T37" s="12">
        <f>SUMIF(Mercado_Receita!$T$2:$T$601,"44713B4Energia convencionalIluminação públicaIluminação pública – B4aNão se aplicaNão se aplicaNão se aplica",Mercado_Receita!$N$2:$N$601)</f>
        <v>433.98200000000003</v>
      </c>
      <c r="U37" s="12">
        <f t="shared" si="0"/>
        <v>4840.4129999999996</v>
      </c>
      <c r="V37" s="12"/>
      <c r="W37" s="12"/>
    </row>
    <row r="38" spans="1:23" ht="11.25" customHeight="1" x14ac:dyDescent="0.25">
      <c r="A38" s="88"/>
      <c r="B38" s="88"/>
      <c r="C38" s="88"/>
      <c r="D38" s="12" t="s">
        <v>90</v>
      </c>
      <c r="E38" s="12" t="s">
        <v>25</v>
      </c>
      <c r="F38" s="12" t="s">
        <v>25</v>
      </c>
      <c r="G38" s="12" t="s">
        <v>77</v>
      </c>
      <c r="H38" s="12" t="s">
        <v>71</v>
      </c>
      <c r="I38" s="12">
        <f>SUMIF(Mercado_Receita!$T$2:$T$601,"44378B4Energia convencionalIluminação públicaIluminação pública – B4bNão se aplicaNão se aplicaNão se aplica",Mercado_Receita!$N$2:$N$601)</f>
        <v>0</v>
      </c>
      <c r="J38" s="12">
        <f>SUMIF(Mercado_Receita!$T$2:$T$601,"44409B4Energia convencionalIluminação públicaIluminação pública – B4bNão se aplicaNão se aplicaNão se aplica",Mercado_Receita!$N$2:$N$601)</f>
        <v>0</v>
      </c>
      <c r="K38" s="12">
        <f>SUMIF(Mercado_Receita!$T$2:$T$601,"44440B4Energia convencionalIluminação públicaIluminação pública – B4bNão se aplicaNão se aplicaNão se aplica",Mercado_Receita!$N$2:$N$601)</f>
        <v>0</v>
      </c>
      <c r="L38" s="12">
        <f>SUMIF(Mercado_Receita!$T$2:$T$601,"44470B4Energia convencionalIluminação públicaIluminação pública – B4bNão se aplicaNão se aplicaNão se aplica",Mercado_Receita!$N$2:$N$601)</f>
        <v>0</v>
      </c>
      <c r="M38" s="12">
        <f>SUMIF(Mercado_Receita!$T$2:$T$601,"44501B4Energia convencionalIluminação públicaIluminação pública – B4bNão se aplicaNão se aplicaNão se aplica",Mercado_Receita!$N$2:$N$601)</f>
        <v>0</v>
      </c>
      <c r="N38" s="12">
        <f>SUMIF(Mercado_Receita!$T$2:$T$601,"44531B4Energia convencionalIluminação públicaIluminação pública – B4bNão se aplicaNão se aplicaNão se aplica",Mercado_Receita!$N$2:$N$601)</f>
        <v>0</v>
      </c>
      <c r="O38" s="12">
        <f>SUMIF(Mercado_Receita!$T$2:$T$601,"44562B4Energia convencionalIluminação públicaIluminação pública – B4bNão se aplicaNão se aplicaNão se aplica",Mercado_Receita!$N$2:$N$601)</f>
        <v>0</v>
      </c>
      <c r="P38" s="12">
        <f>SUMIF(Mercado_Receita!$T$2:$T$601,"44593B4Energia convencionalIluminação públicaIluminação pública – B4bNão se aplicaNão se aplicaNão se aplica",Mercado_Receita!$N$2:$N$601)</f>
        <v>0</v>
      </c>
      <c r="Q38" s="12">
        <f>SUMIF(Mercado_Receita!$T$2:$T$601,"44621B4Energia convencionalIluminação públicaIluminação pública – B4bNão se aplicaNão se aplicaNão se aplica",Mercado_Receita!$N$2:$N$601)</f>
        <v>0</v>
      </c>
      <c r="R38" s="12">
        <f>SUMIF(Mercado_Receita!$T$2:$T$601,"44652B4Energia convencionalIluminação públicaIluminação pública – B4bNão se aplicaNão se aplicaNão se aplica",Mercado_Receita!$N$2:$N$601)</f>
        <v>0</v>
      </c>
      <c r="S38" s="12">
        <f>SUMIF(Mercado_Receita!$T$2:$T$601,"44682B4Energia convencionalIluminação públicaIluminação pública – B4bNão se aplicaNão se aplicaNão se aplica",Mercado_Receita!$N$2:$N$601)</f>
        <v>0</v>
      </c>
      <c r="T38" s="12">
        <f>SUMIF(Mercado_Receita!$T$2:$T$601,"44713B4Energia convencionalIluminação públicaIluminação pública – B4bNão se aplicaNão se aplicaNão se aplica",Mercado_Receita!$N$2:$N$601)</f>
        <v>0</v>
      </c>
      <c r="U38" s="12">
        <f t="shared" si="0"/>
        <v>0</v>
      </c>
      <c r="V38" s="12"/>
      <c r="W38" s="12"/>
    </row>
    <row r="39" spans="1:23" ht="11.25" customHeight="1" x14ac:dyDescent="0.25">
      <c r="A39" s="89" t="s">
        <v>359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12"/>
      <c r="W39" s="12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E416-6A1A-4076-BE93-0AE4DD838630}">
  <sheetPr codeName="Planilha6"/>
  <dimension ref="A1:AD200"/>
  <sheetViews>
    <sheetView showGridLines="0" topLeftCell="A34" workbookViewId="0">
      <selection activeCell="J46" sqref="J46"/>
    </sheetView>
  </sheetViews>
  <sheetFormatPr defaultColWidth="9.140625"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7" width="11.28515625" style="14" bestFit="1" customWidth="1"/>
    <col min="8" max="11" width="9.140625" style="14"/>
    <col min="12" max="12" width="34.140625" style="14" bestFit="1" customWidth="1"/>
    <col min="13" max="13" width="10.85546875" style="14" bestFit="1" customWidth="1"/>
    <col min="14" max="14" width="36.140625" style="14" bestFit="1" customWidth="1"/>
    <col min="15" max="15" width="30.7109375" style="14" customWidth="1"/>
    <col min="16" max="16" width="13.5703125" style="14" bestFit="1" customWidth="1"/>
    <col min="17" max="17" width="9.28515625" style="14" bestFit="1" customWidth="1"/>
    <col min="18" max="18" width="14.5703125" style="14" bestFit="1" customWidth="1"/>
    <col min="19" max="19" width="31.1406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8.28515625" style="14" bestFit="1" customWidth="1"/>
    <col min="25" max="26" width="5" style="14" bestFit="1" customWidth="1"/>
    <col min="27" max="27" width="5.7109375" style="14" bestFit="1" customWidth="1"/>
    <col min="28" max="16384" width="9.140625" style="14"/>
  </cols>
  <sheetData>
    <row r="1" spans="1:30" ht="12" customHeight="1" x14ac:dyDescent="0.2">
      <c r="A1" s="10" t="s">
        <v>399</v>
      </c>
      <c r="B1" s="10" t="s">
        <v>400</v>
      </c>
      <c r="C1" s="10" t="s">
        <v>401</v>
      </c>
      <c r="D1" s="10" t="s">
        <v>402</v>
      </c>
      <c r="E1" s="10" t="s">
        <v>403</v>
      </c>
      <c r="F1" s="10" t="s">
        <v>404</v>
      </c>
      <c r="G1" s="7"/>
      <c r="H1" s="7"/>
      <c r="I1" s="7"/>
      <c r="J1" s="7"/>
      <c r="K1" s="7"/>
      <c r="L1" s="96" t="s">
        <v>405</v>
      </c>
      <c r="M1" s="96"/>
      <c r="N1" s="7"/>
      <c r="O1" s="100" t="s">
        <v>491</v>
      </c>
      <c r="P1" s="101"/>
      <c r="Q1" s="101"/>
      <c r="R1" s="101"/>
      <c r="S1" s="101"/>
      <c r="T1" s="101"/>
      <c r="U1" s="101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97" t="s">
        <v>360</v>
      </c>
      <c r="B2" s="97" t="s">
        <v>361</v>
      </c>
      <c r="C2" s="16" t="s">
        <v>446</v>
      </c>
      <c r="D2" s="12">
        <v>0</v>
      </c>
      <c r="E2" s="12">
        <v>0</v>
      </c>
      <c r="F2" s="12">
        <v>0</v>
      </c>
      <c r="G2" s="15"/>
      <c r="H2" s="15"/>
      <c r="I2" s="15"/>
      <c r="J2" s="15"/>
      <c r="K2" s="15"/>
      <c r="L2" s="22" t="s">
        <v>406</v>
      </c>
      <c r="M2" s="60">
        <v>6.4299999999999996E-2</v>
      </c>
      <c r="N2" s="15"/>
      <c r="O2" s="28" t="s">
        <v>492</v>
      </c>
      <c r="P2" s="28" t="s">
        <v>493</v>
      </c>
      <c r="Q2" s="28" t="s">
        <v>494</v>
      </c>
      <c r="R2" s="28" t="s">
        <v>35</v>
      </c>
      <c r="S2" s="28" t="s">
        <v>495</v>
      </c>
      <c r="T2" s="28" t="s">
        <v>80</v>
      </c>
      <c r="U2" s="28"/>
      <c r="V2" s="15"/>
      <c r="W2" s="15"/>
      <c r="X2" s="22" t="s">
        <v>459</v>
      </c>
      <c r="Y2" s="15"/>
      <c r="Z2" s="15"/>
      <c r="AA2" s="15" t="s">
        <v>503</v>
      </c>
      <c r="AB2" s="15"/>
      <c r="AC2" s="15"/>
      <c r="AD2" s="15"/>
    </row>
    <row r="3" spans="1:30" ht="12" customHeight="1" x14ac:dyDescent="0.2">
      <c r="A3" s="98"/>
      <c r="B3" s="98"/>
      <c r="C3" s="16" t="s">
        <v>362</v>
      </c>
      <c r="D3" s="12">
        <v>224382.49700997537</v>
      </c>
      <c r="E3" s="12">
        <v>-14709.601146487978</v>
      </c>
      <c r="F3" s="12">
        <v>0</v>
      </c>
      <c r="G3" s="15"/>
      <c r="H3" s="15"/>
      <c r="I3" s="15"/>
      <c r="J3" s="15"/>
      <c r="K3" s="15"/>
      <c r="L3" s="22" t="s">
        <v>407</v>
      </c>
      <c r="M3" s="60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496</v>
      </c>
      <c r="V3" s="15"/>
      <c r="W3" s="15"/>
      <c r="X3" s="22"/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8"/>
      <c r="B4" s="98"/>
      <c r="C4" s="16" t="s">
        <v>363</v>
      </c>
      <c r="D4" s="12">
        <f>$M$22-D$30</f>
        <v>0</v>
      </c>
      <c r="E4" s="12">
        <f>IF((D4+D$30)&lt;&gt;0,$M$20*D4/(D4+D$30),0)</f>
        <v>0</v>
      </c>
      <c r="F4" s="12">
        <f>IF((D4+D$30)&lt;&gt;0,$M$21*D4/(D4+D$30),0)</f>
        <v>0</v>
      </c>
      <c r="G4" s="15"/>
      <c r="H4" s="15"/>
      <c r="I4" s="15"/>
      <c r="J4" s="15"/>
      <c r="K4" s="15"/>
      <c r="L4" s="22" t="s">
        <v>408</v>
      </c>
      <c r="M4" s="60">
        <v>0.10704236088323049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79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8"/>
      <c r="B5" s="98"/>
      <c r="C5" s="16" t="s">
        <v>364</v>
      </c>
      <c r="D5" s="12">
        <v>0</v>
      </c>
      <c r="E5" s="12"/>
      <c r="F5" s="12"/>
      <c r="G5" s="15"/>
      <c r="H5" s="15"/>
      <c r="I5" s="15"/>
      <c r="J5" s="15"/>
      <c r="K5" s="15"/>
      <c r="L5" s="22" t="s">
        <v>409</v>
      </c>
      <c r="M5" s="60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8"/>
      <c r="B6" s="98"/>
      <c r="C6" s="16" t="s">
        <v>365</v>
      </c>
      <c r="D6" s="12">
        <v>0</v>
      </c>
      <c r="E6" s="12">
        <v>0</v>
      </c>
      <c r="F6" s="12">
        <v>0</v>
      </c>
      <c r="G6" s="15"/>
      <c r="H6" s="15"/>
      <c r="I6" s="15"/>
      <c r="J6" s="15"/>
      <c r="K6" s="15"/>
      <c r="L6" s="22" t="s">
        <v>410</v>
      </c>
      <c r="M6" s="60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8"/>
      <c r="B7" s="98"/>
      <c r="C7" s="16" t="s">
        <v>366</v>
      </c>
      <c r="D7" s="12">
        <v>7967235.2594800005</v>
      </c>
      <c r="E7" s="12">
        <v>-352322.36415854463</v>
      </c>
      <c r="F7" s="12">
        <v>0</v>
      </c>
      <c r="G7" s="15"/>
      <c r="H7" s="15"/>
      <c r="I7" s="15"/>
      <c r="J7" s="15"/>
      <c r="K7" s="15"/>
      <c r="L7" s="22" t="s">
        <v>411</v>
      </c>
      <c r="M7" s="22">
        <f>M8+M9+M10+M11</f>
        <v>9888.5022300000128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8"/>
      <c r="B8" s="98"/>
      <c r="C8" s="16" t="s">
        <v>367</v>
      </c>
      <c r="D8" s="12">
        <v>1295379.5909400003</v>
      </c>
      <c r="E8" s="12">
        <v>-55891.756176992785</v>
      </c>
      <c r="F8" s="12">
        <v>0</v>
      </c>
      <c r="G8" s="15"/>
      <c r="H8" s="15"/>
      <c r="I8" s="15"/>
      <c r="J8" s="15"/>
      <c r="K8" s="15"/>
      <c r="L8" s="61" t="s">
        <v>412</v>
      </c>
      <c r="M8" s="22">
        <v>9888.5022300000128</v>
      </c>
      <c r="N8" s="15"/>
      <c r="O8" s="22" t="s">
        <v>445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8"/>
      <c r="B9" s="98"/>
      <c r="C9" s="16" t="s">
        <v>368</v>
      </c>
      <c r="D9" s="12"/>
      <c r="E9" s="12"/>
      <c r="F9" s="12"/>
      <c r="G9" s="15"/>
      <c r="H9" s="15"/>
      <c r="I9" s="15"/>
      <c r="J9" s="15"/>
      <c r="K9" s="15"/>
      <c r="L9" s="62" t="s">
        <v>413</v>
      </c>
      <c r="M9" s="22">
        <v>0</v>
      </c>
      <c r="N9" s="15"/>
      <c r="O9" s="22" t="s">
        <v>450</v>
      </c>
      <c r="P9" s="29">
        <f>SUM(Mercado_Receita!$J$2:$J$601)</f>
        <v>110768</v>
      </c>
      <c r="Q9" s="29">
        <v>110768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8"/>
      <c r="B10" s="99"/>
      <c r="C10" s="16" t="s">
        <v>369</v>
      </c>
      <c r="D10" s="12">
        <f>SUM(D$2:D9)</f>
        <v>9486997.3474299759</v>
      </c>
      <c r="E10" s="12">
        <f>SUM(E$2:E9)</f>
        <v>-422923.7214820254</v>
      </c>
      <c r="F10" s="12">
        <f>SUM(F$2:F9)</f>
        <v>0</v>
      </c>
      <c r="G10" s="15"/>
      <c r="H10" s="15"/>
      <c r="I10" s="15"/>
      <c r="J10" s="15"/>
      <c r="K10" s="15"/>
      <c r="L10" s="61" t="s">
        <v>414</v>
      </c>
      <c r="M10" s="22">
        <v>0</v>
      </c>
      <c r="N10" s="15"/>
      <c r="O10" s="22" t="s">
        <v>451</v>
      </c>
      <c r="P10" s="29">
        <f>SUM(Mercado_Receita!$L$2:$L$601)</f>
        <v>92351.725000000035</v>
      </c>
      <c r="Q10" s="29">
        <v>92351.725000000006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8"/>
      <c r="B11" s="97" t="s">
        <v>370</v>
      </c>
      <c r="C11" s="16" t="s">
        <v>371</v>
      </c>
      <c r="D11" s="12">
        <v>0</v>
      </c>
      <c r="E11" s="12">
        <v>0</v>
      </c>
      <c r="F11" s="12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1" t="s">
        <v>415</v>
      </c>
      <c r="M11" s="22">
        <v>0</v>
      </c>
      <c r="N11" s="15"/>
      <c r="O11" s="22" t="s">
        <v>452</v>
      </c>
      <c r="P11" s="29">
        <f>SUM(Mercado_Receita!$N$2:$N$601)</f>
        <v>92055.148000000045</v>
      </c>
      <c r="Q11" s="29">
        <v>92055.148000000001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8"/>
      <c r="B12" s="98"/>
      <c r="C12" s="16" t="s">
        <v>372</v>
      </c>
      <c r="D12" s="12">
        <v>0</v>
      </c>
      <c r="E12" s="12">
        <v>0</v>
      </c>
      <c r="F12" s="12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2" t="s">
        <v>416</v>
      </c>
      <c r="M12" s="22">
        <v>101943.65023000003</v>
      </c>
      <c r="N12" s="15"/>
      <c r="O12" s="22" t="s">
        <v>453</v>
      </c>
      <c r="P12" s="29">
        <f>SUMIF('MERCADO TUSD'!$H$2:$H$48,"kW",'MERCADO TUSD'!$U$2:$U$48)</f>
        <v>110768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8"/>
      <c r="B13" s="98"/>
      <c r="C13" s="16" t="s">
        <v>373</v>
      </c>
      <c r="D13" s="12">
        <f>-$M$51+0</f>
        <v>0</v>
      </c>
      <c r="E13" s="12"/>
      <c r="F13" s="12"/>
      <c r="G13" s="15"/>
      <c r="H13" s="15"/>
      <c r="I13" s="15"/>
      <c r="J13" s="15"/>
      <c r="K13" s="15"/>
      <c r="L13" s="22" t="s">
        <v>417</v>
      </c>
      <c r="M13" s="22">
        <v>1498.212724965482</v>
      </c>
      <c r="N13" s="15"/>
      <c r="O13" s="22" t="s">
        <v>454</v>
      </c>
      <c r="P13" s="29">
        <f>SUMIF('MERCADO TUSD'!$H$2:$H$48,"MWh",'MERCADO TUSD'!$U$2:$U$48)</f>
        <v>92351.725000000006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8"/>
      <c r="B14" s="98"/>
      <c r="C14" s="16" t="s">
        <v>374</v>
      </c>
      <c r="D14" s="12"/>
      <c r="E14" s="12"/>
      <c r="F14" s="12"/>
      <c r="G14" s="15"/>
      <c r="H14" s="15"/>
      <c r="I14" s="15"/>
      <c r="J14" s="15"/>
      <c r="K14" s="15"/>
      <c r="L14" s="22" t="s">
        <v>418</v>
      </c>
      <c r="M14" s="22">
        <v>229.54859801925386</v>
      </c>
      <c r="N14" s="15"/>
      <c r="O14" s="22" t="s">
        <v>455</v>
      </c>
      <c r="P14" s="29">
        <f>SUMIF('MERCADO TE'!$H$2:$H$38,"MWh",'MERCADO TE'!$U$2:$U$38)</f>
        <v>92055.148000000001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8"/>
      <c r="B15" s="98"/>
      <c r="C15" s="16" t="s">
        <v>375</v>
      </c>
      <c r="D15" s="12">
        <v>14682368.972575199</v>
      </c>
      <c r="E15" s="12">
        <v>379960.11212711188</v>
      </c>
      <c r="F15" s="12">
        <v>0</v>
      </c>
      <c r="G15" s="15"/>
      <c r="H15" s="15"/>
      <c r="I15" s="15"/>
      <c r="J15" s="15"/>
      <c r="K15" s="15"/>
      <c r="L15" s="22" t="s">
        <v>419</v>
      </c>
      <c r="M15" s="22">
        <f>M14*M12</f>
        <v>23401021.987261694</v>
      </c>
      <c r="N15" s="15"/>
      <c r="O15" s="22" t="s">
        <v>456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8"/>
      <c r="B16" s="98"/>
      <c r="C16" s="16" t="s">
        <v>376</v>
      </c>
      <c r="D16" s="12">
        <v>0</v>
      </c>
      <c r="E16" s="12"/>
      <c r="F16" s="12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2" t="s">
        <v>420</v>
      </c>
      <c r="M16" s="22">
        <v>1673397.193995676</v>
      </c>
      <c r="N16" s="15"/>
      <c r="O16" s="22" t="s">
        <v>457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8"/>
      <c r="B17" s="98"/>
      <c r="C17" s="16" t="s">
        <v>377</v>
      </c>
      <c r="D17" s="12">
        <v>0</v>
      </c>
      <c r="E17" s="12"/>
      <c r="F17" s="12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2" t="s">
        <v>421</v>
      </c>
      <c r="M17" s="22">
        <v>0</v>
      </c>
      <c r="N17" s="15"/>
      <c r="O17" s="22" t="s">
        <v>458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8"/>
      <c r="B18" s="99"/>
      <c r="C18" s="16" t="s">
        <v>369</v>
      </c>
      <c r="D18" s="12">
        <f>SUM(D$11:D17)</f>
        <v>14682368.972575199</v>
      </c>
      <c r="E18" s="12">
        <f>SUM(E$11:E17)</f>
        <v>379960.11212711188</v>
      </c>
      <c r="F18" s="12">
        <f>SUM(F$11:F17)</f>
        <v>0</v>
      </c>
      <c r="G18" s="15"/>
      <c r="H18" s="15"/>
      <c r="I18" s="15"/>
      <c r="J18" s="15"/>
      <c r="K18" s="15"/>
      <c r="L18" s="22" t="s">
        <v>422</v>
      </c>
      <c r="M18" s="2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8"/>
      <c r="B19" s="97" t="s">
        <v>378</v>
      </c>
      <c r="C19" s="16" t="s">
        <v>379</v>
      </c>
      <c r="D19" s="12">
        <v>47785171.07</v>
      </c>
      <c r="E19" s="12">
        <v>-29299244.538198307</v>
      </c>
      <c r="F19" s="12">
        <v>0</v>
      </c>
      <c r="G19" s="15"/>
      <c r="H19" s="15"/>
      <c r="I19" s="15"/>
      <c r="J19" s="15"/>
      <c r="K19" s="15"/>
      <c r="L19" s="22" t="s">
        <v>423</v>
      </c>
      <c r="M19" s="22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8"/>
      <c r="B20" s="99"/>
      <c r="C20" s="16" t="s">
        <v>369</v>
      </c>
      <c r="D20" s="12">
        <f>SUM(D$19:D19)</f>
        <v>47785171.07</v>
      </c>
      <c r="E20" s="12">
        <f>SUM(E$19:E19)</f>
        <v>-29299244.538198307</v>
      </c>
      <c r="F20" s="12">
        <f>SUM(F$19:F19)</f>
        <v>0</v>
      </c>
      <c r="G20" s="15"/>
      <c r="H20" s="15"/>
      <c r="I20" s="15"/>
      <c r="J20" s="15"/>
      <c r="K20" s="15"/>
      <c r="L20" s="22" t="s">
        <v>424</v>
      </c>
      <c r="M20" s="22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8"/>
      <c r="B21" s="97" t="s">
        <v>380</v>
      </c>
      <c r="C21" s="16" t="s">
        <v>381</v>
      </c>
      <c r="D21" s="12"/>
      <c r="E21" s="12">
        <f>IF($D$47&lt;&gt;0,(1-$D$46/$D$47)*0,0)+0</f>
        <v>0</v>
      </c>
      <c r="F21" s="12"/>
      <c r="G21" s="15"/>
      <c r="H21" s="15"/>
      <c r="I21" s="15"/>
      <c r="J21" s="15"/>
      <c r="K21" s="15"/>
      <c r="L21" s="22" t="s">
        <v>425</v>
      </c>
      <c r="M21" s="22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8"/>
      <c r="B22" s="98"/>
      <c r="C22" s="16" t="s">
        <v>382</v>
      </c>
      <c r="D22" s="12"/>
      <c r="E22" s="12"/>
      <c r="F22" s="12"/>
      <c r="G22" s="15"/>
      <c r="H22" s="15"/>
      <c r="I22" s="15"/>
      <c r="J22" s="15"/>
      <c r="K22" s="15"/>
      <c r="L22" s="22" t="s">
        <v>447</v>
      </c>
      <c r="M22" s="22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8"/>
      <c r="B23" s="99"/>
      <c r="C23" s="16" t="s">
        <v>369</v>
      </c>
      <c r="D23" s="12">
        <f>SUM(D$21:D22)</f>
        <v>0</v>
      </c>
      <c r="E23" s="12">
        <f>SUM(E$21:E22)</f>
        <v>0</v>
      </c>
      <c r="F23" s="12">
        <f>SUM(F$21:F22)</f>
        <v>0</v>
      </c>
      <c r="G23" s="15"/>
      <c r="H23" s="15"/>
      <c r="I23" s="15"/>
      <c r="J23" s="15"/>
      <c r="K23" s="15"/>
      <c r="L23" s="22" t="s">
        <v>426</v>
      </c>
      <c r="M23" s="22">
        <v>13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8"/>
      <c r="B24" s="97" t="s">
        <v>383</v>
      </c>
      <c r="C24" s="16" t="s">
        <v>384</v>
      </c>
      <c r="D24" s="12">
        <f>$M$14*$M$8</f>
        <v>2269891.8234067685</v>
      </c>
      <c r="E24" s="12">
        <f>$M$16*$M$8/$M$12</f>
        <v>162319.00512850611</v>
      </c>
      <c r="F24" s="12">
        <f>$M$17*$M$8/$M$12</f>
        <v>0</v>
      </c>
      <c r="G24" s="15"/>
      <c r="H24" s="15"/>
      <c r="I24" s="15"/>
      <c r="J24" s="15"/>
      <c r="K24" s="15"/>
      <c r="L24" s="22" t="s">
        <v>427</v>
      </c>
      <c r="M24" s="22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8"/>
      <c r="B25" s="98"/>
      <c r="C25" s="16" t="s">
        <v>385</v>
      </c>
      <c r="D25" s="12">
        <f>$M$14*$M$10</f>
        <v>0</v>
      </c>
      <c r="E25" s="12">
        <f>$M$16*$M$10/$M$12</f>
        <v>0</v>
      </c>
      <c r="F25" s="12">
        <f>$M$17*$M$10/$M$12</f>
        <v>0</v>
      </c>
      <c r="G25" s="15"/>
      <c r="H25" s="15"/>
      <c r="I25" s="15"/>
      <c r="J25" s="15"/>
      <c r="K25" s="15"/>
      <c r="L25" s="22" t="s">
        <v>428</v>
      </c>
      <c r="M25" s="22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8"/>
      <c r="B26" s="98"/>
      <c r="C26" s="16" t="s">
        <v>386</v>
      </c>
      <c r="D26" s="12">
        <f>$M$14*$M$9</f>
        <v>0</v>
      </c>
      <c r="E26" s="12">
        <f>$M$16*$M$9/$M$12</f>
        <v>0</v>
      </c>
      <c r="F26" s="12">
        <f>$M$17*$M$9/$M$12</f>
        <v>0</v>
      </c>
      <c r="G26" s="15"/>
      <c r="H26" s="15"/>
      <c r="I26" s="15"/>
      <c r="J26" s="15"/>
      <c r="K26" s="15"/>
      <c r="L26" s="22" t="s">
        <v>429</v>
      </c>
      <c r="M26" s="22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8"/>
      <c r="B27" s="98"/>
      <c r="C27" s="16" t="s">
        <v>387</v>
      </c>
      <c r="D27" s="12"/>
      <c r="E27" s="12"/>
      <c r="F27" s="12"/>
      <c r="G27" s="15"/>
      <c r="H27" s="15"/>
      <c r="I27" s="15"/>
      <c r="J27" s="15"/>
      <c r="K27" s="15"/>
      <c r="L27" s="22" t="s">
        <v>430</v>
      </c>
      <c r="M27" s="22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8"/>
      <c r="B28" s="99"/>
      <c r="C28" s="16" t="s">
        <v>369</v>
      </c>
      <c r="D28" s="12">
        <f>SUM(D$24:D27)</f>
        <v>2269891.8234067685</v>
      </c>
      <c r="E28" s="12">
        <f>SUM(E$24:E27)</f>
        <v>162319.00512850611</v>
      </c>
      <c r="F28" s="12">
        <f>SUM(F$24:F27)</f>
        <v>0</v>
      </c>
      <c r="G28" s="15"/>
      <c r="H28" s="15"/>
      <c r="I28" s="15"/>
      <c r="J28" s="15"/>
      <c r="K28" s="15"/>
      <c r="L28" s="22" t="s">
        <v>431</v>
      </c>
      <c r="M28" s="22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9"/>
      <c r="B29" s="93" t="s">
        <v>369</v>
      </c>
      <c r="C29" s="95"/>
      <c r="D29" s="12">
        <f>SUMIF(C$2:C28,"SUBTOTAL",D$2:D28)</f>
        <v>74224429.213411942</v>
      </c>
      <c r="E29" s="12">
        <f>SUMIF(C$2:C28,"SUBTOTAL",E$2:E28)</f>
        <v>-29179889.142424714</v>
      </c>
      <c r="F29" s="12">
        <f>SUMIF(C$2:C28,"SUBTOTAL",F$2:F28)</f>
        <v>0</v>
      </c>
      <c r="G29" s="15"/>
      <c r="H29" s="15"/>
      <c r="I29" s="15"/>
      <c r="J29" s="15"/>
      <c r="K29" s="15"/>
      <c r="L29" s="22" t="s">
        <v>432</v>
      </c>
      <c r="M29" s="22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97" t="s">
        <v>388</v>
      </c>
      <c r="B30" s="97" t="s">
        <v>361</v>
      </c>
      <c r="C30" s="16" t="s">
        <v>363</v>
      </c>
      <c r="D30" s="12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2">
        <f>IF((D30+D$4)&lt;&gt;0,$M$20*D30/(D30+D$4),0)</f>
        <v>0</v>
      </c>
      <c r="F30" s="12">
        <f>IF((D30+D$4)&lt;&gt;0,$M$21*D30/(D30+D$4),0)</f>
        <v>0</v>
      </c>
      <c r="G30" s="15"/>
      <c r="H30" s="15"/>
      <c r="I30" s="15"/>
      <c r="J30" s="15"/>
      <c r="K30" s="15"/>
      <c r="L30" s="22" t="s">
        <v>433</v>
      </c>
      <c r="M30" s="22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8"/>
      <c r="B31" s="98"/>
      <c r="C31" s="16" t="s">
        <v>389</v>
      </c>
      <c r="D31" s="12">
        <v>0</v>
      </c>
      <c r="E31" s="12">
        <v>0</v>
      </c>
      <c r="F31" s="12">
        <v>0</v>
      </c>
      <c r="G31" s="15"/>
      <c r="H31" s="15"/>
      <c r="I31" s="15"/>
      <c r="J31" s="15"/>
      <c r="K31" s="15"/>
      <c r="L31" s="22" t="s">
        <v>434</v>
      </c>
      <c r="M31" s="22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8"/>
      <c r="B32" s="98"/>
      <c r="C32" s="16" t="s">
        <v>390</v>
      </c>
      <c r="D32" s="12">
        <v>0</v>
      </c>
      <c r="E32" s="12">
        <v>0</v>
      </c>
      <c r="F32" s="12">
        <v>0</v>
      </c>
      <c r="G32" s="15"/>
      <c r="H32" s="15"/>
      <c r="I32" s="15"/>
      <c r="J32" s="15"/>
      <c r="K32" s="15"/>
      <c r="L32" s="22" t="s">
        <v>435</v>
      </c>
      <c r="M32" s="22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8"/>
      <c r="B33" s="98"/>
      <c r="C33" s="16" t="s">
        <v>449</v>
      </c>
      <c r="D33" s="12"/>
      <c r="E33" s="12">
        <v>0</v>
      </c>
      <c r="F33" s="12">
        <v>0</v>
      </c>
      <c r="G33" s="15"/>
      <c r="H33" s="15"/>
      <c r="I33" s="15"/>
      <c r="J33" s="15"/>
      <c r="K33" s="15"/>
      <c r="L33" s="22" t="s">
        <v>436</v>
      </c>
      <c r="M33" s="22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8"/>
      <c r="B34" s="98"/>
      <c r="C34" s="16" t="s">
        <v>391</v>
      </c>
      <c r="D34" s="12">
        <v>0</v>
      </c>
      <c r="E34" s="12">
        <v>0</v>
      </c>
      <c r="F34" s="12">
        <v>0</v>
      </c>
      <c r="G34" s="15"/>
      <c r="H34" s="15"/>
      <c r="I34" s="15"/>
      <c r="J34" s="15"/>
      <c r="K34" s="15"/>
      <c r="L34" s="22" t="s">
        <v>437</v>
      </c>
      <c r="M34" s="22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8"/>
      <c r="B35" s="99"/>
      <c r="C35" s="16" t="s">
        <v>369</v>
      </c>
      <c r="D35" s="12">
        <f>SUM(D$30:D34)</f>
        <v>0</v>
      </c>
      <c r="E35" s="12">
        <f>SUM(E$30:E34)</f>
        <v>0</v>
      </c>
      <c r="F35" s="12">
        <f>SUM(F$30:F34)</f>
        <v>0</v>
      </c>
      <c r="G35" s="15"/>
      <c r="H35" s="15"/>
      <c r="I35" s="15"/>
      <c r="J35" s="15"/>
      <c r="K35" s="15"/>
      <c r="L35" s="22" t="s">
        <v>438</v>
      </c>
      <c r="M35" s="22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8"/>
      <c r="B36" s="97" t="s">
        <v>392</v>
      </c>
      <c r="C36" s="16" t="s">
        <v>393</v>
      </c>
      <c r="D36" s="12">
        <f>$M$14*($M$12-$M$7)</f>
        <v>21131130.163854923</v>
      </c>
      <c r="E36" s="12">
        <f>$M$16*($M$12-$M$7)/$M$12</f>
        <v>1511078.1888671699</v>
      </c>
      <c r="F36" s="12">
        <f>$M$17*($M$12-$M$7)/$M$12</f>
        <v>0</v>
      </c>
      <c r="G36" s="15"/>
      <c r="H36" s="15"/>
      <c r="I36" s="15"/>
      <c r="J36" s="15"/>
      <c r="K36" s="15"/>
      <c r="L36" s="22" t="s">
        <v>439</v>
      </c>
      <c r="M36" s="22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8"/>
      <c r="B37" s="99"/>
      <c r="C37" s="16" t="s">
        <v>369</v>
      </c>
      <c r="D37" s="12">
        <f>SUM(D$36:D36)</f>
        <v>21131130.163854923</v>
      </c>
      <c r="E37" s="12">
        <f>SUM(E$36:E36)</f>
        <v>1511078.1888671699</v>
      </c>
      <c r="F37" s="12">
        <f>SUM(F$36:F36)</f>
        <v>0</v>
      </c>
      <c r="G37" s="15"/>
      <c r="H37" s="15"/>
      <c r="I37" s="15"/>
      <c r="J37" s="15"/>
      <c r="K37" s="15"/>
      <c r="L37" s="22" t="s">
        <v>440</v>
      </c>
      <c r="M37" s="22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8"/>
      <c r="B38" s="97" t="s">
        <v>370</v>
      </c>
      <c r="C38" s="16" t="s">
        <v>394</v>
      </c>
      <c r="D38" s="12">
        <v>0</v>
      </c>
      <c r="E38" s="12">
        <v>0</v>
      </c>
      <c r="F38" s="12">
        <v>0</v>
      </c>
      <c r="G38" s="15"/>
      <c r="H38" s="15"/>
      <c r="I38" s="15"/>
      <c r="J38" s="15"/>
      <c r="K38" s="15"/>
      <c r="L38" s="22" t="s">
        <v>441</v>
      </c>
      <c r="M38" s="22">
        <f>IFERROR(VLOOKUP("Convencional1RuralNão se aplicaRURALB2",Descontos!B1:U88,VLOOKUP("Convencional1RuralNão se aplicaRURALB2",Descontos!B1:U88,20,FALSE)+12,FALSE),100)</f>
        <v>0.06</v>
      </c>
      <c r="N38" s="15" t="s">
        <v>497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8"/>
      <c r="B39" s="98"/>
      <c r="C39" s="16" t="s">
        <v>395</v>
      </c>
      <c r="D39" s="12">
        <v>0</v>
      </c>
      <c r="E39" s="12"/>
      <c r="F39" s="12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2" t="s">
        <v>442</v>
      </c>
      <c r="M39" s="22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515</v>
      </c>
      <c r="P39" s="15" t="s">
        <v>516</v>
      </c>
      <c r="Q39" s="15" t="s">
        <v>517</v>
      </c>
      <c r="R39" s="15" t="s">
        <v>518</v>
      </c>
      <c r="S39" s="15" t="s">
        <v>1</v>
      </c>
      <c r="T39" s="15" t="s">
        <v>519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98"/>
      <c r="B40" s="98"/>
      <c r="C40" s="16" t="s">
        <v>396</v>
      </c>
      <c r="D40" s="12"/>
      <c r="E40" s="12"/>
      <c r="F40" s="12"/>
      <c r="G40" s="15"/>
      <c r="H40" s="15"/>
      <c r="I40" s="15"/>
      <c r="J40" s="15"/>
      <c r="K40" s="15"/>
      <c r="L40" s="22" t="s">
        <v>443</v>
      </c>
      <c r="M40" s="22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98"/>
      <c r="B41" s="99"/>
      <c r="C41" s="16" t="s">
        <v>369</v>
      </c>
      <c r="D41" s="12">
        <f>SUM(D$38:D40)</f>
        <v>0</v>
      </c>
      <c r="E41" s="12">
        <f>SUM(E$38:E40)</f>
        <v>0</v>
      </c>
      <c r="F41" s="12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98"/>
      <c r="B42" s="97" t="s">
        <v>380</v>
      </c>
      <c r="C42" s="16" t="s">
        <v>381</v>
      </c>
      <c r="D42" s="12"/>
      <c r="E42" s="12">
        <f>IF($D$47&lt;&gt;0,($D$46/$D$47)* 0,0)+0</f>
        <v>0</v>
      </c>
      <c r="F42" s="12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98"/>
      <c r="B43" s="99"/>
      <c r="C43" s="16" t="s">
        <v>369</v>
      </c>
      <c r="D43" s="12">
        <f>SUM(D$42:D42)</f>
        <v>0</v>
      </c>
      <c r="E43" s="12">
        <f>SUM(E$42:E42)</f>
        <v>0</v>
      </c>
      <c r="F43" s="12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98"/>
      <c r="B44" s="97" t="s">
        <v>383</v>
      </c>
      <c r="C44" s="16" t="s">
        <v>397</v>
      </c>
      <c r="D44" s="12">
        <f>$M$14*$M$11</f>
        <v>0</v>
      </c>
      <c r="E44" s="12">
        <f>$M$16*$M$11/$M$12</f>
        <v>0</v>
      </c>
      <c r="F44" s="12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98"/>
      <c r="B45" s="99"/>
      <c r="C45" s="16" t="s">
        <v>369</v>
      </c>
      <c r="D45" s="12">
        <f>SUM(D$44:D44)</f>
        <v>0</v>
      </c>
      <c r="E45" s="12">
        <f>SUM(E$44:E44)</f>
        <v>0</v>
      </c>
      <c r="F45" s="12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99"/>
      <c r="B46" s="93" t="s">
        <v>369</v>
      </c>
      <c r="C46" s="95"/>
      <c r="D46" s="12">
        <f>SUMIF(C$30:C45,"SUBTOTAL",D$30:D45)</f>
        <v>21131130.163854923</v>
      </c>
      <c r="E46" s="12">
        <f>SUMIF(C$30:C45,"SUBTOTAL",E$30:E45)</f>
        <v>1511078.1888671699</v>
      </c>
      <c r="F46" s="12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93" t="s">
        <v>398</v>
      </c>
      <c r="B47" s="94"/>
      <c r="C47" s="95"/>
      <c r="D47" s="12">
        <f>SUMIF(C$2:C46,"SUBTOTAL",D$2:D46)</f>
        <v>95355559.377266869</v>
      </c>
      <c r="E47" s="12">
        <f>SUMIF(C$2:C46,"SUBTOTAL",E$2:E46)</f>
        <v>-27668810.953557543</v>
      </c>
      <c r="F47" s="12">
        <f>SUMIF(C$2:C46,"SUBTOTAL",F$2:F46)</f>
        <v>0</v>
      </c>
      <c r="G47" s="15">
        <f>D47+E47</f>
        <v>67686748.423709333</v>
      </c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91" t="s">
        <v>489</v>
      </c>
      <c r="B48" s="92"/>
      <c r="C48" s="92"/>
      <c r="D48" s="26">
        <f ca="1">'TUSD BE'!$AM$53+'TUSD BE'!$AM$57+'TE BE'!$AB$43</f>
        <v>95355559.377266884</v>
      </c>
      <c r="E48" s="26">
        <f ca="1">'TUSD BF'!$AM$53+'TE BF'!$AB$43</f>
        <v>-27668810.953557536</v>
      </c>
      <c r="F48" s="26">
        <f ca="1">'TUSD CVA'!$AM$53+'TE CVA'!$AB$43</f>
        <v>0</v>
      </c>
      <c r="G48" s="58">
        <f ca="1">EFEITO!AU9+SUM(SUBSIDIO!AJ2:AJ9)</f>
        <v>67686748.423709169</v>
      </c>
      <c r="L48" s="73"/>
      <c r="M48" s="22"/>
      <c r="O48" s="33"/>
      <c r="P48" s="33"/>
      <c r="Q48" s="33"/>
      <c r="R48" s="33"/>
      <c r="S48" s="33"/>
      <c r="T48" s="33"/>
    </row>
    <row r="49" spans="1:20" ht="12" customHeight="1" x14ac:dyDescent="0.25">
      <c r="A49" s="91" t="s">
        <v>490</v>
      </c>
      <c r="B49" s="92"/>
      <c r="C49" s="92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L49" s="73"/>
      <c r="M49" s="22"/>
      <c r="O49" s="33"/>
      <c r="P49" s="33"/>
      <c r="Q49" s="33"/>
      <c r="R49" s="33"/>
      <c r="S49" s="33"/>
      <c r="T49" s="33"/>
    </row>
    <row r="50" spans="1:20" ht="12" customHeight="1" x14ac:dyDescent="0.25">
      <c r="L50" s="73"/>
      <c r="M50" s="22"/>
      <c r="O50" s="33"/>
      <c r="P50" s="33"/>
      <c r="Q50" s="33"/>
      <c r="R50" s="33"/>
      <c r="S50" s="33"/>
      <c r="T50" s="33"/>
    </row>
    <row r="51" spans="1:20" ht="12" customHeight="1" x14ac:dyDescent="0.25">
      <c r="C51" s="14" t="s">
        <v>982</v>
      </c>
      <c r="D51" s="14">
        <v>95355559.377266869</v>
      </c>
      <c r="E51" s="14">
        <v>-27668810.953557543</v>
      </c>
      <c r="L51" s="50" t="s">
        <v>444</v>
      </c>
      <c r="M51" s="55">
        <v>0</v>
      </c>
      <c r="O51" s="33"/>
      <c r="P51" s="33"/>
      <c r="Q51" s="33"/>
      <c r="R51" s="33"/>
      <c r="S51" s="33"/>
      <c r="T51" s="33"/>
    </row>
    <row r="52" spans="1:20" ht="12" customHeight="1" x14ac:dyDescent="0.25">
      <c r="D52" s="59" t="str">
        <f ca="1">IF(ABS(D48-D51)&gt;1,"ERRO","OK")</f>
        <v>OK</v>
      </c>
      <c r="E52" s="59" t="str">
        <f ca="1">IF(ABS(E48-E51)&gt;1,"ERRO","OK")</f>
        <v>OK</v>
      </c>
      <c r="O52" s="33"/>
      <c r="P52" s="33"/>
      <c r="Q52" s="33"/>
      <c r="R52" s="33"/>
      <c r="S52" s="33"/>
      <c r="T52" s="33"/>
    </row>
    <row r="53" spans="1:20" ht="12" customHeight="1" x14ac:dyDescent="0.25">
      <c r="O53" s="33"/>
      <c r="P53" s="33"/>
      <c r="Q53" s="33"/>
      <c r="R53" s="33"/>
      <c r="S53" s="33"/>
      <c r="T53" s="33"/>
    </row>
    <row r="54" spans="1:20" ht="12" customHeight="1" x14ac:dyDescent="0.25">
      <c r="O54" s="33"/>
      <c r="P54" s="33"/>
      <c r="Q54" s="33"/>
      <c r="R54" s="33"/>
      <c r="S54" s="33"/>
      <c r="T54" s="33"/>
    </row>
    <row r="55" spans="1:20" ht="12" customHeight="1" x14ac:dyDescent="0.25">
      <c r="O55" s="33"/>
      <c r="P55" s="33"/>
      <c r="Q55" s="33"/>
      <c r="R55" s="33"/>
      <c r="S55" s="33"/>
      <c r="T55" s="33"/>
    </row>
    <row r="56" spans="1:20" ht="12" customHeight="1" x14ac:dyDescent="0.25">
      <c r="O56" s="33"/>
      <c r="P56" s="33"/>
      <c r="Q56" s="33"/>
      <c r="R56" s="33"/>
      <c r="S56" s="33"/>
      <c r="T56" s="33"/>
    </row>
    <row r="57" spans="1:20" ht="12" customHeight="1" x14ac:dyDescent="0.25">
      <c r="O57" s="33"/>
      <c r="P57" s="33"/>
      <c r="Q57" s="33"/>
      <c r="R57" s="33"/>
      <c r="S57" s="33"/>
      <c r="T57" s="33"/>
    </row>
    <row r="58" spans="1:20" ht="12" customHeight="1" x14ac:dyDescent="0.25">
      <c r="O58" s="33"/>
      <c r="P58" s="33"/>
      <c r="Q58" s="33"/>
      <c r="R58" s="33"/>
      <c r="S58" s="33"/>
      <c r="T58" s="33"/>
    </row>
    <row r="59" spans="1:20" ht="12" customHeight="1" x14ac:dyDescent="0.25">
      <c r="O59" s="33"/>
      <c r="P59" s="33"/>
      <c r="Q59" s="33"/>
      <c r="R59" s="33"/>
      <c r="S59" s="33"/>
      <c r="T59" s="33"/>
    </row>
    <row r="60" spans="1:20" ht="12" customHeight="1" x14ac:dyDescent="0.25">
      <c r="O60" s="33"/>
      <c r="P60" s="33"/>
      <c r="Q60" s="33"/>
      <c r="R60" s="33"/>
      <c r="S60" s="33"/>
      <c r="T60" s="33"/>
    </row>
    <row r="61" spans="1:20" ht="12" customHeight="1" x14ac:dyDescent="0.25">
      <c r="O61" s="33"/>
      <c r="P61" s="33"/>
      <c r="Q61" s="33"/>
      <c r="R61" s="33"/>
      <c r="S61" s="33"/>
      <c r="T61" s="33"/>
    </row>
    <row r="62" spans="1:20" ht="12" customHeight="1" x14ac:dyDescent="0.25">
      <c r="O62" s="33"/>
      <c r="P62" s="33"/>
      <c r="Q62" s="33"/>
      <c r="R62" s="33"/>
      <c r="S62" s="33"/>
      <c r="T62" s="33"/>
    </row>
    <row r="63" spans="1:20" ht="12" customHeight="1" x14ac:dyDescent="0.25">
      <c r="O63" s="33"/>
      <c r="P63" s="33"/>
      <c r="Q63" s="33"/>
      <c r="R63" s="33"/>
      <c r="S63" s="33"/>
      <c r="T63" s="33"/>
    </row>
    <row r="64" spans="1:20" ht="12" customHeight="1" x14ac:dyDescent="0.25">
      <c r="O64" s="33"/>
      <c r="P64" s="33"/>
      <c r="Q64" s="33"/>
      <c r="R64" s="33"/>
      <c r="S64" s="33"/>
      <c r="T64" s="33"/>
    </row>
    <row r="65" spans="15:20" ht="12" customHeight="1" x14ac:dyDescent="0.25">
      <c r="O65" s="33"/>
      <c r="P65" s="33"/>
      <c r="Q65" s="33"/>
      <c r="R65" s="33"/>
      <c r="S65" s="33"/>
      <c r="T65" s="33"/>
    </row>
    <row r="66" spans="15:20" ht="12" customHeight="1" x14ac:dyDescent="0.25">
      <c r="O66" s="33"/>
      <c r="P66" s="33"/>
      <c r="Q66" s="33"/>
      <c r="R66" s="33"/>
      <c r="S66" s="33"/>
      <c r="T66" s="33"/>
    </row>
    <row r="67" spans="15:20" ht="12" customHeight="1" x14ac:dyDescent="0.25">
      <c r="O67" s="33"/>
      <c r="P67" s="33"/>
      <c r="Q67" s="33"/>
      <c r="R67" s="33"/>
      <c r="S67" s="33"/>
      <c r="T67" s="33"/>
    </row>
    <row r="68" spans="15:20" ht="12" customHeight="1" x14ac:dyDescent="0.25">
      <c r="O68" s="33"/>
      <c r="P68" s="33"/>
      <c r="Q68" s="33"/>
      <c r="R68" s="33"/>
      <c r="S68" s="33"/>
      <c r="T68" s="33"/>
    </row>
    <row r="69" spans="15:20" ht="12" customHeight="1" x14ac:dyDescent="0.25">
      <c r="O69" s="33"/>
      <c r="P69" s="33"/>
      <c r="Q69" s="33"/>
      <c r="R69" s="33"/>
      <c r="S69" s="33"/>
      <c r="T69" s="33"/>
    </row>
    <row r="70" spans="15:20" ht="12" customHeight="1" x14ac:dyDescent="0.25">
      <c r="O70" s="33"/>
      <c r="P70" s="33"/>
      <c r="Q70" s="33"/>
      <c r="R70" s="33"/>
      <c r="S70" s="33"/>
      <c r="T70" s="33"/>
    </row>
    <row r="71" spans="15:20" ht="12" customHeight="1" x14ac:dyDescent="0.25">
      <c r="O71" s="33"/>
      <c r="P71" s="33"/>
      <c r="Q71" s="33"/>
      <c r="R71" s="33"/>
      <c r="S71" s="33"/>
      <c r="T71" s="33"/>
    </row>
    <row r="72" spans="15:20" ht="12" customHeight="1" x14ac:dyDescent="0.25">
      <c r="O72" s="33"/>
      <c r="P72" s="33"/>
      <c r="Q72" s="33"/>
      <c r="R72" s="33"/>
      <c r="S72" s="33"/>
      <c r="T72" s="33"/>
    </row>
    <row r="73" spans="15:20" ht="12" customHeight="1" x14ac:dyDescent="0.25">
      <c r="O73" s="33"/>
      <c r="P73" s="33"/>
      <c r="Q73" s="33"/>
      <c r="R73" s="33"/>
      <c r="S73" s="33"/>
      <c r="T73" s="33"/>
    </row>
    <row r="74" spans="15:20" ht="12" customHeight="1" x14ac:dyDescent="0.25">
      <c r="O74" s="33"/>
      <c r="P74" s="33"/>
      <c r="Q74" s="33"/>
      <c r="R74" s="33"/>
      <c r="S74" s="33"/>
      <c r="T74" s="33"/>
    </row>
    <row r="75" spans="15:20" ht="12" customHeight="1" x14ac:dyDescent="0.25">
      <c r="O75" s="33"/>
      <c r="P75" s="33"/>
      <c r="Q75" s="33"/>
      <c r="R75" s="33"/>
      <c r="S75" s="33"/>
      <c r="T75" s="33"/>
    </row>
    <row r="76" spans="15:20" ht="12" customHeight="1" x14ac:dyDescent="0.25">
      <c r="O76" s="33"/>
      <c r="P76" s="33"/>
      <c r="Q76" s="33"/>
      <c r="R76" s="33"/>
      <c r="S76" s="33"/>
      <c r="T76" s="33"/>
    </row>
    <row r="77" spans="15:20" ht="12" customHeight="1" x14ac:dyDescent="0.25">
      <c r="O77" s="33"/>
      <c r="P77" s="33"/>
      <c r="Q77" s="33"/>
      <c r="R77" s="33"/>
      <c r="S77" s="33"/>
      <c r="T77" s="33"/>
    </row>
    <row r="78" spans="15:20" ht="12" customHeight="1" x14ac:dyDescent="0.25">
      <c r="O78" s="33"/>
      <c r="P78" s="33"/>
      <c r="Q78" s="33"/>
      <c r="R78" s="33"/>
      <c r="S78" s="33"/>
      <c r="T78" s="33"/>
    </row>
    <row r="79" spans="15:20" ht="12" customHeight="1" x14ac:dyDescent="0.25">
      <c r="O79" s="33"/>
      <c r="P79" s="33"/>
      <c r="Q79" s="33"/>
      <c r="R79" s="33"/>
      <c r="S79" s="33"/>
      <c r="T79" s="33"/>
    </row>
    <row r="80" spans="15:20" ht="12" customHeight="1" x14ac:dyDescent="0.25">
      <c r="O80" s="33"/>
      <c r="P80" s="33"/>
      <c r="Q80" s="33"/>
      <c r="R80" s="33"/>
      <c r="S80" s="33"/>
      <c r="T80" s="33"/>
    </row>
    <row r="81" spans="15:20" ht="12" customHeight="1" x14ac:dyDescent="0.25">
      <c r="O81" s="33"/>
      <c r="P81" s="33"/>
      <c r="Q81" s="33"/>
      <c r="R81" s="33"/>
      <c r="S81" s="33"/>
      <c r="T81" s="33"/>
    </row>
    <row r="82" spans="15:20" ht="12" customHeight="1" x14ac:dyDescent="0.25">
      <c r="O82" s="33"/>
      <c r="P82" s="33"/>
      <c r="Q82" s="33"/>
      <c r="R82" s="33"/>
      <c r="S82" s="33"/>
      <c r="T82" s="33"/>
    </row>
    <row r="83" spans="15:20" ht="12" customHeight="1" x14ac:dyDescent="0.25">
      <c r="O83" s="33"/>
      <c r="P83" s="33"/>
      <c r="Q83" s="33"/>
      <c r="R83" s="33"/>
      <c r="S83" s="33"/>
      <c r="T83" s="33"/>
    </row>
    <row r="84" spans="15:20" ht="12" customHeight="1" x14ac:dyDescent="0.25">
      <c r="O84" s="33"/>
      <c r="P84" s="33"/>
      <c r="Q84" s="33"/>
      <c r="R84" s="33"/>
      <c r="S84" s="33"/>
      <c r="T84" s="33"/>
    </row>
    <row r="85" spans="15:20" ht="12" customHeight="1" x14ac:dyDescent="0.25">
      <c r="O85" s="33"/>
      <c r="P85" s="33"/>
      <c r="Q85" s="33"/>
      <c r="R85" s="33"/>
      <c r="S85" s="33"/>
      <c r="T85" s="33"/>
    </row>
    <row r="86" spans="15:20" ht="12" customHeight="1" x14ac:dyDescent="0.25">
      <c r="O86" s="33"/>
      <c r="P86" s="33"/>
      <c r="Q86" s="33"/>
      <c r="R86" s="33"/>
      <c r="S86" s="33"/>
      <c r="T86" s="33"/>
    </row>
    <row r="87" spans="15:20" ht="12" customHeight="1" x14ac:dyDescent="0.25">
      <c r="O87" s="33"/>
      <c r="P87" s="33"/>
      <c r="Q87" s="33"/>
      <c r="R87" s="33"/>
      <c r="S87" s="33"/>
      <c r="T87" s="33"/>
    </row>
    <row r="88" spans="15:20" ht="12" customHeight="1" x14ac:dyDescent="0.25">
      <c r="O88" s="33"/>
      <c r="P88" s="33"/>
      <c r="Q88" s="33"/>
      <c r="R88" s="33"/>
      <c r="S88" s="33"/>
      <c r="T88" s="33"/>
    </row>
    <row r="89" spans="15:20" ht="12" customHeight="1" x14ac:dyDescent="0.25">
      <c r="O89" s="33"/>
      <c r="P89" s="33"/>
      <c r="Q89" s="33"/>
      <c r="R89" s="33"/>
      <c r="S89" s="33"/>
      <c r="T89" s="33"/>
    </row>
    <row r="90" spans="15:20" ht="12" customHeight="1" x14ac:dyDescent="0.25">
      <c r="O90" s="33"/>
      <c r="P90" s="33"/>
      <c r="Q90" s="33"/>
      <c r="R90" s="33"/>
      <c r="S90" s="33"/>
      <c r="T90" s="33"/>
    </row>
    <row r="91" spans="15:20" ht="12" customHeight="1" x14ac:dyDescent="0.25">
      <c r="O91" s="33"/>
      <c r="P91" s="33"/>
      <c r="Q91" s="33"/>
      <c r="R91" s="33"/>
      <c r="S91" s="33"/>
      <c r="T91" s="33"/>
    </row>
    <row r="92" spans="15:20" ht="12" customHeight="1" x14ac:dyDescent="0.25">
      <c r="O92" s="33"/>
      <c r="P92" s="33"/>
      <c r="Q92" s="33"/>
      <c r="R92" s="33"/>
      <c r="S92" s="33"/>
      <c r="T92" s="33"/>
    </row>
    <row r="93" spans="15:20" ht="12" customHeight="1" x14ac:dyDescent="0.25">
      <c r="O93" s="33"/>
      <c r="P93" s="33"/>
      <c r="Q93" s="33"/>
      <c r="R93" s="33"/>
      <c r="S93" s="33"/>
      <c r="T93" s="33"/>
    </row>
    <row r="94" spans="15:20" ht="12" customHeight="1" x14ac:dyDescent="0.25">
      <c r="O94" s="33"/>
      <c r="P94" s="33"/>
      <c r="Q94" s="33"/>
      <c r="R94" s="33"/>
      <c r="S94" s="33"/>
      <c r="T94" s="33"/>
    </row>
    <row r="95" spans="15:20" ht="12" customHeight="1" x14ac:dyDescent="0.25">
      <c r="O95" s="33"/>
      <c r="P95" s="33"/>
      <c r="Q95" s="33"/>
      <c r="R95" s="33"/>
      <c r="S95" s="33"/>
      <c r="T95" s="33"/>
    </row>
    <row r="96" spans="15:20" ht="12" customHeight="1" x14ac:dyDescent="0.25">
      <c r="O96" s="33"/>
      <c r="P96" s="33"/>
      <c r="Q96" s="33"/>
      <c r="R96" s="33"/>
      <c r="S96" s="33"/>
      <c r="T96" s="33"/>
    </row>
    <row r="97" spans="15:30" ht="12" customHeight="1" x14ac:dyDescent="0.25">
      <c r="O97" s="33"/>
      <c r="P97" s="33"/>
      <c r="Q97" s="33"/>
      <c r="R97" s="33"/>
      <c r="S97" s="33"/>
      <c r="T97" s="33"/>
    </row>
    <row r="98" spans="15:30" ht="12" customHeight="1" x14ac:dyDescent="0.25">
      <c r="O98" s="33"/>
      <c r="P98" s="33"/>
      <c r="Q98" s="33"/>
      <c r="R98" s="33"/>
      <c r="S98" s="33"/>
      <c r="T98" s="33"/>
    </row>
    <row r="99" spans="15:30" ht="12" customHeight="1" x14ac:dyDescent="0.25">
      <c r="O99" s="32"/>
      <c r="P99" s="32"/>
      <c r="Q99" s="32"/>
      <c r="R99" s="32"/>
      <c r="S99" s="32"/>
      <c r="T99" s="32"/>
    </row>
    <row r="100" spans="15:30" ht="12" customHeight="1" x14ac:dyDescent="0.25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25">
      <c r="O101" s="33" t="s">
        <v>515</v>
      </c>
      <c r="P101" s="33" t="s">
        <v>520</v>
      </c>
      <c r="Q101" s="33" t="s">
        <v>521</v>
      </c>
      <c r="R101" s="33" t="s">
        <v>522</v>
      </c>
      <c r="S101" s="33" t="s">
        <v>523</v>
      </c>
      <c r="T101" s="33" t="s">
        <v>524</v>
      </c>
      <c r="U101" s="33" t="s">
        <v>525</v>
      </c>
      <c r="V101" s="33" t="s">
        <v>526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25">
      <c r="O102" s="33" t="s">
        <v>34</v>
      </c>
      <c r="P102" s="33" t="s">
        <v>52</v>
      </c>
      <c r="Q102" s="33" t="s">
        <v>35</v>
      </c>
      <c r="R102" s="33" t="s">
        <v>41</v>
      </c>
      <c r="S102" s="33" t="s">
        <v>25</v>
      </c>
      <c r="T102" s="33" t="s">
        <v>527</v>
      </c>
      <c r="U102" s="33">
        <v>4</v>
      </c>
      <c r="V102" s="33">
        <v>0.1</v>
      </c>
      <c r="W102" s="33">
        <v>0.08</v>
      </c>
      <c r="X102" s="33">
        <v>0.06</v>
      </c>
      <c r="Y102" s="33">
        <v>0.04</v>
      </c>
      <c r="Z102" s="33">
        <v>0.02</v>
      </c>
      <c r="AA102" s="33">
        <v>0</v>
      </c>
      <c r="AB102" s="33"/>
      <c r="AC102" s="33"/>
      <c r="AD102" s="33"/>
    </row>
    <row r="103" spans="15:30" ht="12" customHeight="1" x14ac:dyDescent="0.25">
      <c r="O103" s="33" t="s">
        <v>34</v>
      </c>
      <c r="P103" s="33" t="s">
        <v>52</v>
      </c>
      <c r="Q103" s="33" t="s">
        <v>35</v>
      </c>
      <c r="R103" s="33" t="s">
        <v>46</v>
      </c>
      <c r="S103" s="33" t="s">
        <v>47</v>
      </c>
      <c r="T103" s="33" t="s">
        <v>528</v>
      </c>
      <c r="U103" s="33">
        <v>4</v>
      </c>
      <c r="V103" s="33">
        <v>0.15</v>
      </c>
      <c r="W103" s="33">
        <v>0.12</v>
      </c>
      <c r="X103" s="33">
        <v>0.09</v>
      </c>
      <c r="Y103" s="33">
        <v>0.06</v>
      </c>
      <c r="Z103" s="33">
        <v>0.03</v>
      </c>
      <c r="AA103" s="33">
        <v>0</v>
      </c>
      <c r="AB103" s="33"/>
      <c r="AC103" s="33"/>
      <c r="AD103" s="33"/>
    </row>
    <row r="104" spans="15:30" ht="12" customHeight="1" x14ac:dyDescent="0.25">
      <c r="O104" s="33" t="s">
        <v>34</v>
      </c>
      <c r="P104" s="33" t="s">
        <v>529</v>
      </c>
      <c r="Q104" s="33" t="s">
        <v>40</v>
      </c>
      <c r="R104" s="33" t="s">
        <v>41</v>
      </c>
      <c r="S104" s="33" t="s">
        <v>88</v>
      </c>
      <c r="T104" s="33" t="s">
        <v>528</v>
      </c>
      <c r="U104" s="33">
        <v>4</v>
      </c>
      <c r="V104" s="33">
        <v>0.3</v>
      </c>
      <c r="W104" s="33">
        <v>0.24</v>
      </c>
      <c r="X104" s="33">
        <v>0.18</v>
      </c>
      <c r="Y104" s="33">
        <v>0.12</v>
      </c>
      <c r="Z104" s="33">
        <v>0.06</v>
      </c>
      <c r="AA104" s="33">
        <v>0</v>
      </c>
      <c r="AB104" s="33"/>
      <c r="AC104" s="33"/>
      <c r="AD104" s="33"/>
    </row>
    <row r="105" spans="15:30" ht="12" customHeight="1" x14ac:dyDescent="0.25">
      <c r="O105" s="33" t="s">
        <v>34</v>
      </c>
      <c r="P105" s="33" t="s">
        <v>85</v>
      </c>
      <c r="Q105" s="33" t="s">
        <v>40</v>
      </c>
      <c r="R105" s="33" t="s">
        <v>41</v>
      </c>
      <c r="S105" s="33" t="s">
        <v>25</v>
      </c>
      <c r="T105" s="33" t="s">
        <v>41</v>
      </c>
      <c r="U105" s="33">
        <v>4</v>
      </c>
      <c r="V105" s="33">
        <v>0.3</v>
      </c>
      <c r="W105" s="33">
        <v>0.24</v>
      </c>
      <c r="X105" s="33">
        <v>0.18</v>
      </c>
      <c r="Y105" s="33">
        <v>0.12</v>
      </c>
      <c r="Z105" s="33">
        <v>0.06</v>
      </c>
      <c r="AA105" s="33">
        <v>0</v>
      </c>
      <c r="AB105" s="33"/>
      <c r="AC105" s="33"/>
      <c r="AD105" s="33"/>
    </row>
    <row r="106" spans="15:30" ht="12" customHeight="1" x14ac:dyDescent="0.25">
      <c r="O106" s="33" t="s">
        <v>34</v>
      </c>
      <c r="P106" s="33" t="s">
        <v>529</v>
      </c>
      <c r="Q106" s="33" t="s">
        <v>40</v>
      </c>
      <c r="R106" s="33" t="s">
        <v>41</v>
      </c>
      <c r="S106" s="33" t="s">
        <v>89</v>
      </c>
      <c r="T106" s="33" t="s">
        <v>528</v>
      </c>
      <c r="U106" s="33">
        <v>4</v>
      </c>
      <c r="V106" s="33">
        <v>0.4</v>
      </c>
      <c r="W106" s="33">
        <v>0.32</v>
      </c>
      <c r="X106" s="33">
        <v>0.24</v>
      </c>
      <c r="Y106" s="33">
        <v>0.16</v>
      </c>
      <c r="Z106" s="33">
        <v>0.08</v>
      </c>
      <c r="AA106" s="33">
        <v>0</v>
      </c>
      <c r="AB106" s="33"/>
      <c r="AC106" s="33"/>
      <c r="AD106" s="33"/>
    </row>
    <row r="107" spans="15:30" ht="12" customHeight="1" x14ac:dyDescent="0.25">
      <c r="O107" s="33" t="s">
        <v>34</v>
      </c>
      <c r="P107" s="33" t="s">
        <v>85</v>
      </c>
      <c r="Q107" s="33" t="s">
        <v>33</v>
      </c>
      <c r="R107" s="33" t="s">
        <v>46</v>
      </c>
      <c r="S107" s="33" t="s">
        <v>47</v>
      </c>
      <c r="T107" s="33" t="s">
        <v>528</v>
      </c>
      <c r="U107" s="33">
        <v>4</v>
      </c>
      <c r="V107" s="33">
        <v>0.15</v>
      </c>
      <c r="W107" s="33">
        <v>0.12</v>
      </c>
      <c r="X107" s="33">
        <v>0.09</v>
      </c>
      <c r="Y107" s="33">
        <v>0.06</v>
      </c>
      <c r="Z107" s="33">
        <v>0.03</v>
      </c>
      <c r="AA107" s="33">
        <v>0</v>
      </c>
      <c r="AB107" s="33"/>
      <c r="AC107" s="33"/>
      <c r="AD107" s="33"/>
    </row>
    <row r="108" spans="15:30" ht="12" customHeight="1" x14ac:dyDescent="0.25">
      <c r="O108" s="33" t="s">
        <v>34</v>
      </c>
      <c r="P108" s="33" t="s">
        <v>23</v>
      </c>
      <c r="Q108" s="33" t="s">
        <v>35</v>
      </c>
      <c r="R108" s="33" t="s">
        <v>41</v>
      </c>
      <c r="S108" s="33" t="s">
        <v>25</v>
      </c>
      <c r="T108" s="33" t="s">
        <v>527</v>
      </c>
      <c r="U108" s="33">
        <v>4</v>
      </c>
      <c r="V108" s="33">
        <v>0.1</v>
      </c>
      <c r="W108" s="33">
        <v>0.08</v>
      </c>
      <c r="X108" s="33">
        <v>0.06</v>
      </c>
      <c r="Y108" s="33">
        <v>0.04</v>
      </c>
      <c r="Z108" s="33">
        <v>0.02</v>
      </c>
      <c r="AA108" s="33">
        <v>0</v>
      </c>
      <c r="AB108" s="33"/>
      <c r="AC108" s="33"/>
      <c r="AD108" s="33"/>
    </row>
    <row r="109" spans="15:30" ht="12" customHeight="1" x14ac:dyDescent="0.25">
      <c r="O109" s="33" t="s">
        <v>34</v>
      </c>
      <c r="P109" s="33" t="s">
        <v>530</v>
      </c>
      <c r="Q109" s="33" t="s">
        <v>35</v>
      </c>
      <c r="R109" s="33" t="s">
        <v>46</v>
      </c>
      <c r="S109" s="33" t="s">
        <v>47</v>
      </c>
      <c r="T109" s="33" t="s">
        <v>528</v>
      </c>
      <c r="U109" s="33">
        <v>4</v>
      </c>
      <c r="V109" s="33">
        <v>0.15</v>
      </c>
      <c r="W109" s="33">
        <v>0.12</v>
      </c>
      <c r="X109" s="33">
        <v>0.09</v>
      </c>
      <c r="Y109" s="33">
        <v>0.06</v>
      </c>
      <c r="Z109" s="33">
        <v>0.03</v>
      </c>
      <c r="AA109" s="33">
        <v>0</v>
      </c>
      <c r="AB109" s="33"/>
      <c r="AC109" s="33"/>
      <c r="AD109" s="33"/>
    </row>
    <row r="110" spans="15:30" ht="12" customHeight="1" x14ac:dyDescent="0.25">
      <c r="O110" s="33" t="s">
        <v>34</v>
      </c>
      <c r="P110" s="33" t="s">
        <v>23</v>
      </c>
      <c r="Q110" s="33" t="s">
        <v>40</v>
      </c>
      <c r="R110" s="33" t="s">
        <v>41</v>
      </c>
      <c r="S110" s="33" t="s">
        <v>88</v>
      </c>
      <c r="T110" s="33" t="s">
        <v>528</v>
      </c>
      <c r="U110" s="33">
        <v>4</v>
      </c>
      <c r="V110" s="33">
        <v>0.3</v>
      </c>
      <c r="W110" s="33">
        <v>0.24</v>
      </c>
      <c r="X110" s="33">
        <v>0.18</v>
      </c>
      <c r="Y110" s="33">
        <v>0.12</v>
      </c>
      <c r="Z110" s="33">
        <v>0.06</v>
      </c>
      <c r="AA110" s="33">
        <v>0</v>
      </c>
      <c r="AB110" s="33"/>
      <c r="AC110" s="33"/>
      <c r="AD110" s="33"/>
    </row>
    <row r="111" spans="15:30" ht="12" customHeight="1" x14ac:dyDescent="0.25">
      <c r="O111" s="33" t="s">
        <v>34</v>
      </c>
      <c r="P111" s="33" t="s">
        <v>23</v>
      </c>
      <c r="Q111" s="33" t="s">
        <v>40</v>
      </c>
      <c r="R111" s="33" t="s">
        <v>41</v>
      </c>
      <c r="S111" s="33" t="s">
        <v>25</v>
      </c>
      <c r="T111" s="33" t="s">
        <v>41</v>
      </c>
      <c r="U111" s="33">
        <v>4</v>
      </c>
      <c r="V111" s="33">
        <v>0.3</v>
      </c>
      <c r="W111" s="33">
        <v>0.24</v>
      </c>
      <c r="X111" s="33">
        <v>0.18</v>
      </c>
      <c r="Y111" s="33">
        <v>0.12</v>
      </c>
      <c r="Z111" s="33">
        <v>0.06</v>
      </c>
      <c r="AA111" s="33">
        <v>0</v>
      </c>
      <c r="AB111" s="33"/>
      <c r="AC111" s="33"/>
      <c r="AD111" s="33"/>
    </row>
    <row r="112" spans="15:30" ht="12" customHeight="1" x14ac:dyDescent="0.25">
      <c r="O112" s="33" t="s">
        <v>34</v>
      </c>
      <c r="P112" s="33" t="s">
        <v>23</v>
      </c>
      <c r="Q112" s="33" t="s">
        <v>40</v>
      </c>
      <c r="R112" s="33" t="s">
        <v>41</v>
      </c>
      <c r="S112" s="33" t="s">
        <v>89</v>
      </c>
      <c r="T112" s="33" t="s">
        <v>528</v>
      </c>
      <c r="U112" s="33">
        <v>4</v>
      </c>
      <c r="V112" s="33">
        <v>0.4</v>
      </c>
      <c r="W112" s="33">
        <v>0.32</v>
      </c>
      <c r="X112" s="33">
        <v>0.24</v>
      </c>
      <c r="Y112" s="33">
        <v>0.16</v>
      </c>
      <c r="Z112" s="33">
        <v>0.08</v>
      </c>
      <c r="AA112" s="33">
        <v>0</v>
      </c>
      <c r="AB112" s="33"/>
      <c r="AC112" s="33"/>
      <c r="AD112" s="33"/>
    </row>
    <row r="113" spans="15:30" ht="12" customHeight="1" x14ac:dyDescent="0.25">
      <c r="O113" s="33" t="s">
        <v>34</v>
      </c>
      <c r="P113" s="33" t="s">
        <v>23</v>
      </c>
      <c r="Q113" s="33" t="s">
        <v>33</v>
      </c>
      <c r="R113" s="33" t="s">
        <v>46</v>
      </c>
      <c r="S113" s="33" t="s">
        <v>47</v>
      </c>
      <c r="T113" s="33" t="s">
        <v>528</v>
      </c>
      <c r="U113" s="33">
        <v>4</v>
      </c>
      <c r="V113" s="33">
        <v>0.15</v>
      </c>
      <c r="W113" s="33">
        <v>0.12</v>
      </c>
      <c r="X113" s="33">
        <v>0.09</v>
      </c>
      <c r="Y113" s="33">
        <v>0.06</v>
      </c>
      <c r="Z113" s="33">
        <v>0.03</v>
      </c>
      <c r="AA113" s="33">
        <v>0</v>
      </c>
      <c r="AB113" s="33"/>
      <c r="AC113" s="33"/>
      <c r="AD113" s="33"/>
    </row>
    <row r="114" spans="15:30" ht="12" customHeight="1" x14ac:dyDescent="0.25">
      <c r="O114" s="33" t="s">
        <v>34</v>
      </c>
      <c r="P114" s="33" t="s">
        <v>36</v>
      </c>
      <c r="Q114" s="33" t="s">
        <v>35</v>
      </c>
      <c r="R114" s="33" t="s">
        <v>41</v>
      </c>
      <c r="S114" s="33" t="s">
        <v>25</v>
      </c>
      <c r="T114" s="33" t="s">
        <v>527</v>
      </c>
      <c r="U114" s="33">
        <v>4</v>
      </c>
      <c r="V114" s="33">
        <v>0.1</v>
      </c>
      <c r="W114" s="33">
        <v>0.08</v>
      </c>
      <c r="X114" s="33">
        <v>0.06</v>
      </c>
      <c r="Y114" s="33">
        <v>0.04</v>
      </c>
      <c r="Z114" s="33">
        <v>0.02</v>
      </c>
      <c r="AA114" s="33">
        <v>0</v>
      </c>
      <c r="AB114" s="33"/>
      <c r="AC114" s="33"/>
      <c r="AD114" s="33"/>
    </row>
    <row r="115" spans="15:30" ht="12" customHeight="1" x14ac:dyDescent="0.25">
      <c r="O115" s="33" t="s">
        <v>34</v>
      </c>
      <c r="P115" s="33" t="s">
        <v>36</v>
      </c>
      <c r="Q115" s="33" t="s">
        <v>35</v>
      </c>
      <c r="R115" s="33" t="s">
        <v>46</v>
      </c>
      <c r="S115" s="33" t="s">
        <v>47</v>
      </c>
      <c r="T115" s="33" t="s">
        <v>528</v>
      </c>
      <c r="U115" s="33">
        <v>4</v>
      </c>
      <c r="V115" s="33">
        <v>0.15</v>
      </c>
      <c r="W115" s="33">
        <v>0.12</v>
      </c>
      <c r="X115" s="33">
        <v>0.09</v>
      </c>
      <c r="Y115" s="33">
        <v>0.06</v>
      </c>
      <c r="Z115" s="33">
        <v>0.03</v>
      </c>
      <c r="AA115" s="33">
        <v>0</v>
      </c>
      <c r="AB115" s="33"/>
      <c r="AC115" s="33"/>
      <c r="AD115" s="33"/>
    </row>
    <row r="116" spans="15:30" ht="12" customHeight="1" x14ac:dyDescent="0.25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25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25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25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25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25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25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25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25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25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25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25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25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25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25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25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25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25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25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25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25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25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25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25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25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25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25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25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25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25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25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25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25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25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25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25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25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25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25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25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25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25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25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25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25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25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25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25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25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25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25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25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25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25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25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25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25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25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25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25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25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25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25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25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25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25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25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25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25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25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25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25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25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25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25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25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25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25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25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25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25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25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25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25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25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AB57-1D7E-4224-80B8-50FD258E7876}">
  <sheetPr codeName="Planilha7"/>
  <dimension ref="A1:AP51"/>
  <sheetViews>
    <sheetView showGridLines="0" topLeftCell="D40" workbookViewId="0">
      <selection activeCell="K62" sqref="K62:P62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460</v>
      </c>
      <c r="J1" s="100"/>
      <c r="L1" s="104" t="s">
        <v>461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P1" s="104" t="s">
        <v>462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0"/>
      <c r="L2" s="104" t="s">
        <v>360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P2" s="105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0"/>
      <c r="L3" s="104" t="s">
        <v>361</v>
      </c>
      <c r="M3" s="104"/>
      <c r="N3" s="104"/>
      <c r="O3" s="104"/>
      <c r="P3" s="104"/>
      <c r="Q3" s="104"/>
      <c r="R3" s="104"/>
      <c r="S3" s="104"/>
      <c r="T3" s="104"/>
      <c r="U3" s="104" t="s">
        <v>370</v>
      </c>
      <c r="V3" s="104"/>
      <c r="W3" s="104"/>
      <c r="X3" s="104"/>
      <c r="Y3" s="104"/>
      <c r="Z3" s="104"/>
      <c r="AA3" s="104"/>
      <c r="AB3" s="104"/>
      <c r="AC3" s="104" t="s">
        <v>378</v>
      </c>
      <c r="AD3" s="104"/>
      <c r="AE3" s="104" t="s">
        <v>380</v>
      </c>
      <c r="AF3" s="104"/>
      <c r="AG3" s="104"/>
      <c r="AH3" s="104" t="s">
        <v>383</v>
      </c>
      <c r="AI3" s="104"/>
      <c r="AJ3" s="104"/>
      <c r="AK3" s="104"/>
      <c r="AL3" s="104"/>
      <c r="AM3" s="104" t="s">
        <v>369</v>
      </c>
      <c r="AP3" s="105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100"/>
      <c r="L4" s="10" t="s">
        <v>446</v>
      </c>
      <c r="M4" s="10" t="s">
        <v>362</v>
      </c>
      <c r="N4" s="10" t="s">
        <v>363</v>
      </c>
      <c r="O4" s="10" t="s">
        <v>364</v>
      </c>
      <c r="P4" s="10" t="s">
        <v>365</v>
      </c>
      <c r="Q4" s="10" t="s">
        <v>366</v>
      </c>
      <c r="R4" s="10" t="s">
        <v>367</v>
      </c>
      <c r="S4" s="10" t="s">
        <v>368</v>
      </c>
      <c r="T4" s="10" t="s">
        <v>369</v>
      </c>
      <c r="U4" s="10" t="s">
        <v>371</v>
      </c>
      <c r="V4" s="10" t="s">
        <v>372</v>
      </c>
      <c r="W4" s="10" t="s">
        <v>373</v>
      </c>
      <c r="X4" s="10" t="s">
        <v>374</v>
      </c>
      <c r="Y4" s="10" t="s">
        <v>375</v>
      </c>
      <c r="Z4" s="10" t="s">
        <v>376</v>
      </c>
      <c r="AA4" s="10" t="s">
        <v>377</v>
      </c>
      <c r="AB4" s="10" t="s">
        <v>369</v>
      </c>
      <c r="AC4" s="10" t="s">
        <v>379</v>
      </c>
      <c r="AD4" s="10" t="s">
        <v>369</v>
      </c>
      <c r="AE4" s="10" t="s">
        <v>381</v>
      </c>
      <c r="AF4" s="10" t="s">
        <v>382</v>
      </c>
      <c r="AG4" s="10" t="s">
        <v>369</v>
      </c>
      <c r="AH4" s="10" t="s">
        <v>384</v>
      </c>
      <c r="AI4" s="10" t="s">
        <v>385</v>
      </c>
      <c r="AJ4" s="10" t="s">
        <v>386</v>
      </c>
      <c r="AK4" s="10" t="s">
        <v>387</v>
      </c>
      <c r="AL4" s="10" t="s">
        <v>369</v>
      </c>
      <c r="AM4" s="106"/>
      <c r="AP4" s="105"/>
    </row>
    <row r="5" spans="1:42" ht="11.25" customHeight="1" x14ac:dyDescent="0.25">
      <c r="A5" s="102" t="s">
        <v>35</v>
      </c>
      <c r="B5" s="102" t="s">
        <v>52</v>
      </c>
      <c r="C5" s="102" t="s">
        <v>25</v>
      </c>
      <c r="D5" s="102" t="s">
        <v>25</v>
      </c>
      <c r="E5" s="102" t="s">
        <v>25</v>
      </c>
      <c r="F5" s="102" t="s">
        <v>25</v>
      </c>
      <c r="G5" s="17" t="s">
        <v>75</v>
      </c>
      <c r="H5" s="17" t="s">
        <v>74</v>
      </c>
      <c r="I5" s="17">
        <f>'MERCADO TUSD'!$U$2</f>
        <v>450</v>
      </c>
      <c r="J5" s="15"/>
      <c r="L5" s="12"/>
      <c r="M5" s="12"/>
      <c r="N5" s="12"/>
      <c r="O5" s="12"/>
      <c r="P5" s="12"/>
      <c r="Q5" s="12"/>
      <c r="R5" s="12"/>
      <c r="S5" s="12"/>
      <c r="T5" s="12"/>
      <c r="U5" s="12">
        <v>0</v>
      </c>
      <c r="V5" s="12">
        <v>0</v>
      </c>
      <c r="W5" s="12">
        <v>0</v>
      </c>
      <c r="X5" s="12">
        <v>0</v>
      </c>
      <c r="Y5" s="12">
        <v>4.9299999999999997E-2</v>
      </c>
      <c r="Z5" s="12">
        <v>0</v>
      </c>
      <c r="AA5" s="12">
        <v>0</v>
      </c>
      <c r="AB5" s="12"/>
      <c r="AC5" s="12">
        <v>39.331899999999997</v>
      </c>
      <c r="AD5" s="12"/>
      <c r="AE5" s="12"/>
      <c r="AF5" s="12"/>
      <c r="AG5" s="12"/>
      <c r="AH5" s="12"/>
      <c r="AI5" s="12"/>
      <c r="AJ5" s="12"/>
      <c r="AK5" s="12"/>
      <c r="AL5" s="12"/>
      <c r="AM5" s="12"/>
      <c r="AP5" s="12">
        <v>1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17" t="s">
        <v>76</v>
      </c>
      <c r="H6" s="17" t="s">
        <v>74</v>
      </c>
      <c r="I6" s="17">
        <f>'MERCADO TUSD'!$U$3</f>
        <v>953</v>
      </c>
      <c r="J6" s="15"/>
      <c r="L6" s="12"/>
      <c r="M6" s="12"/>
      <c r="N6" s="12"/>
      <c r="O6" s="12"/>
      <c r="P6" s="12"/>
      <c r="Q6" s="12"/>
      <c r="R6" s="12"/>
      <c r="S6" s="12"/>
      <c r="T6" s="12"/>
      <c r="U6" s="12">
        <v>0</v>
      </c>
      <c r="V6" s="12">
        <v>0</v>
      </c>
      <c r="W6" s="12">
        <v>0</v>
      </c>
      <c r="X6" s="12">
        <v>0</v>
      </c>
      <c r="Y6" s="12">
        <v>0.05</v>
      </c>
      <c r="Z6" s="12">
        <v>0</v>
      </c>
      <c r="AA6" s="12">
        <v>0</v>
      </c>
      <c r="AB6" s="12"/>
      <c r="AC6" s="12">
        <v>23.3611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P6" s="12">
        <v>1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17" t="s">
        <v>77</v>
      </c>
      <c r="H7" s="17" t="s">
        <v>71</v>
      </c>
      <c r="I7" s="17">
        <f>'MERCADO TUSD'!$U$4</f>
        <v>260.58600000000001</v>
      </c>
      <c r="J7" s="15"/>
      <c r="L7" s="12"/>
      <c r="M7" s="12"/>
      <c r="N7" s="12"/>
      <c r="O7" s="12"/>
      <c r="P7" s="12"/>
      <c r="Q7" s="12"/>
      <c r="R7" s="12"/>
      <c r="S7" s="12"/>
      <c r="T7" s="12"/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/>
      <c r="AC7" s="12">
        <v>0</v>
      </c>
      <c r="AD7" s="12"/>
      <c r="AE7" s="12"/>
      <c r="AF7" s="12"/>
      <c r="AG7" s="12"/>
      <c r="AH7" s="12"/>
      <c r="AI7" s="12"/>
      <c r="AJ7" s="12"/>
      <c r="AK7" s="12"/>
      <c r="AL7" s="12"/>
      <c r="AM7" s="12"/>
      <c r="AP7" s="12">
        <v>1</v>
      </c>
    </row>
    <row r="8" spans="1:42" ht="11.25" customHeight="1" x14ac:dyDescent="0.25">
      <c r="A8" s="102"/>
      <c r="B8" s="102"/>
      <c r="C8" s="102"/>
      <c r="D8" s="102"/>
      <c r="E8" s="18" t="s">
        <v>78</v>
      </c>
      <c r="F8" s="18" t="s">
        <v>25</v>
      </c>
      <c r="G8" s="17" t="s">
        <v>77</v>
      </c>
      <c r="H8" s="17" t="s">
        <v>71</v>
      </c>
      <c r="I8" s="17">
        <f>'MERCADO TUSD'!$U$5</f>
        <v>0</v>
      </c>
      <c r="J8" s="15"/>
      <c r="L8" s="12"/>
      <c r="M8" s="12"/>
      <c r="N8" s="12"/>
      <c r="O8" s="12"/>
      <c r="P8" s="12"/>
      <c r="Q8" s="12"/>
      <c r="R8" s="12"/>
      <c r="S8" s="12"/>
      <c r="T8" s="12"/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/>
      <c r="AC8" s="12">
        <v>0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P8" s="12">
        <v>1</v>
      </c>
    </row>
    <row r="9" spans="1:42" ht="11.25" customHeight="1" x14ac:dyDescent="0.25">
      <c r="A9" s="102"/>
      <c r="B9" s="18" t="s">
        <v>79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74</v>
      </c>
      <c r="I9" s="17">
        <f>'MERCADO TUSD'!$U$6</f>
        <v>0</v>
      </c>
      <c r="J9" s="15"/>
      <c r="L9" s="12"/>
      <c r="M9" s="12"/>
      <c r="N9" s="12"/>
      <c r="O9" s="12"/>
      <c r="P9" s="12"/>
      <c r="Q9" s="12"/>
      <c r="R9" s="12"/>
      <c r="S9" s="12"/>
      <c r="T9" s="12"/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/>
      <c r="AC9" s="12">
        <v>9.1593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P9" s="12"/>
    </row>
    <row r="10" spans="1:42" ht="11.25" customHeight="1" x14ac:dyDescent="0.25">
      <c r="A10" s="102"/>
      <c r="B10" s="102" t="s">
        <v>36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17" t="s">
        <v>9</v>
      </c>
      <c r="H10" s="17" t="s">
        <v>74</v>
      </c>
      <c r="I10" s="17">
        <f>'MERCADO TUSD'!$U$7</f>
        <v>109365</v>
      </c>
      <c r="J10" s="15"/>
      <c r="L10" s="12"/>
      <c r="M10" s="12"/>
      <c r="N10" s="12"/>
      <c r="O10" s="12"/>
      <c r="P10" s="12"/>
      <c r="Q10" s="12"/>
      <c r="R10" s="12"/>
      <c r="S10" s="12"/>
      <c r="T10" s="12"/>
      <c r="U10" s="12">
        <v>0</v>
      </c>
      <c r="V10" s="12">
        <v>0</v>
      </c>
      <c r="W10" s="12">
        <v>0</v>
      </c>
      <c r="X10" s="12">
        <v>0</v>
      </c>
      <c r="Y10" s="12">
        <v>0.05</v>
      </c>
      <c r="Z10" s="12">
        <v>0</v>
      </c>
      <c r="AA10" s="12">
        <v>0</v>
      </c>
      <c r="AB10" s="12"/>
      <c r="AC10" s="12">
        <v>23.3611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P10" s="12">
        <v>1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17" t="s">
        <v>72</v>
      </c>
      <c r="H11" s="17" t="s">
        <v>71</v>
      </c>
      <c r="I11" s="17">
        <f>'MERCADO TUSD'!$U$8</f>
        <v>931.37599999999986</v>
      </c>
      <c r="J11" s="15"/>
      <c r="L11" s="12"/>
      <c r="M11" s="12"/>
      <c r="N11" s="12"/>
      <c r="O11" s="12"/>
      <c r="P11" s="12"/>
      <c r="Q11" s="12"/>
      <c r="R11" s="12"/>
      <c r="S11" s="12"/>
      <c r="T11" s="12"/>
      <c r="U11" s="12">
        <v>0</v>
      </c>
      <c r="V11" s="12">
        <v>0</v>
      </c>
      <c r="W11" s="12">
        <v>0</v>
      </c>
      <c r="X11" s="12">
        <v>0</v>
      </c>
      <c r="Y11" s="12">
        <v>1.1868000000000001</v>
      </c>
      <c r="Z11" s="12">
        <v>0</v>
      </c>
      <c r="AA11" s="12">
        <v>0</v>
      </c>
      <c r="AB11" s="12"/>
      <c r="AC11" s="12">
        <v>945.93089999999995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P11" s="12">
        <v>1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17" t="s">
        <v>73</v>
      </c>
      <c r="H12" s="17" t="s">
        <v>71</v>
      </c>
      <c r="I12" s="17">
        <f>'MERCADO TUSD'!$U$9</f>
        <v>14483.396000000004</v>
      </c>
      <c r="J12" s="15"/>
      <c r="L12" s="12"/>
      <c r="M12" s="12"/>
      <c r="N12" s="12"/>
      <c r="O12" s="12"/>
      <c r="P12" s="12"/>
      <c r="Q12" s="12"/>
      <c r="R12" s="12"/>
      <c r="S12" s="12"/>
      <c r="T12" s="12"/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/>
      <c r="AC12" s="12">
        <v>0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P12" s="12">
        <v>1</v>
      </c>
    </row>
    <row r="13" spans="1:42" ht="11.25" customHeight="1" x14ac:dyDescent="0.25">
      <c r="A13" s="102"/>
      <c r="B13" s="102"/>
      <c r="C13" s="102"/>
      <c r="D13" s="102"/>
      <c r="E13" s="102" t="s">
        <v>78</v>
      </c>
      <c r="F13" s="102" t="s">
        <v>25</v>
      </c>
      <c r="G13" s="17" t="s">
        <v>72</v>
      </c>
      <c r="H13" s="17" t="s">
        <v>71</v>
      </c>
      <c r="I13" s="17">
        <f>'MERCADO TUSD'!$U$10</f>
        <v>0</v>
      </c>
      <c r="J13" s="15"/>
      <c r="L13" s="12"/>
      <c r="M13" s="12"/>
      <c r="N13" s="12"/>
      <c r="O13" s="12"/>
      <c r="P13" s="12"/>
      <c r="Q13" s="12"/>
      <c r="R13" s="12"/>
      <c r="S13" s="12"/>
      <c r="T13" s="12"/>
      <c r="U13" s="12">
        <v>0</v>
      </c>
      <c r="V13" s="12">
        <v>0</v>
      </c>
      <c r="W13" s="12">
        <v>0</v>
      </c>
      <c r="X13" s="12">
        <v>0</v>
      </c>
      <c r="Y13" s="12">
        <v>1.1868000000000001</v>
      </c>
      <c r="Z13" s="12">
        <v>0</v>
      </c>
      <c r="AA13" s="12">
        <v>0</v>
      </c>
      <c r="AB13" s="12"/>
      <c r="AC13" s="12">
        <v>945.93089999999995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P13" s="12">
        <v>1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17" t="s">
        <v>73</v>
      </c>
      <c r="H14" s="17" t="s">
        <v>71</v>
      </c>
      <c r="I14" s="17">
        <f>'MERCADO TUSD'!$U$11</f>
        <v>0</v>
      </c>
      <c r="J14" s="15"/>
      <c r="L14" s="12"/>
      <c r="M14" s="12"/>
      <c r="N14" s="12"/>
      <c r="O14" s="12"/>
      <c r="P14" s="12"/>
      <c r="Q14" s="12"/>
      <c r="R14" s="12"/>
      <c r="S14" s="12"/>
      <c r="T14" s="12"/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/>
      <c r="AC14" s="12">
        <v>0</v>
      </c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P14" s="12">
        <v>1</v>
      </c>
    </row>
    <row r="15" spans="1:42" ht="11.25" customHeight="1" x14ac:dyDescent="0.25">
      <c r="A15" s="102" t="s">
        <v>80</v>
      </c>
      <c r="B15" s="102" t="s">
        <v>79</v>
      </c>
      <c r="C15" s="102" t="s">
        <v>25</v>
      </c>
      <c r="D15" s="102" t="s">
        <v>25</v>
      </c>
      <c r="E15" s="18" t="s">
        <v>81</v>
      </c>
      <c r="F15" s="18" t="s">
        <v>25</v>
      </c>
      <c r="G15" s="17" t="s">
        <v>9</v>
      </c>
      <c r="H15" s="17" t="s">
        <v>74</v>
      </c>
      <c r="I15" s="17">
        <f>'MERCADO TUSD'!$U$12+0.00000001</f>
        <v>1E-8</v>
      </c>
      <c r="J15" s="15"/>
      <c r="L15" s="12"/>
      <c r="M15" s="12"/>
      <c r="N15" s="12"/>
      <c r="O15" s="12"/>
      <c r="P15" s="12"/>
      <c r="Q15" s="12"/>
      <c r="R15" s="12"/>
      <c r="S15" s="12"/>
      <c r="T15" s="12"/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/>
      <c r="AC15" s="12">
        <v>5.4347000000000003</v>
      </c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P15" s="12"/>
    </row>
    <row r="16" spans="1:42" ht="11.25" customHeight="1" x14ac:dyDescent="0.25">
      <c r="A16" s="102"/>
      <c r="B16" s="102"/>
      <c r="C16" s="102"/>
      <c r="D16" s="102"/>
      <c r="E16" s="18" t="s">
        <v>82</v>
      </c>
      <c r="F16" s="18" t="s">
        <v>25</v>
      </c>
      <c r="G16" s="17" t="s">
        <v>9</v>
      </c>
      <c r="H16" s="17" t="s">
        <v>74</v>
      </c>
      <c r="I16" s="17">
        <f>'MERCADO TUSD'!$U$13+0.00000001</f>
        <v>1E-8</v>
      </c>
      <c r="J16" s="15"/>
      <c r="L16" s="12"/>
      <c r="M16" s="12"/>
      <c r="N16" s="12"/>
      <c r="O16" s="12"/>
      <c r="P16" s="12"/>
      <c r="Q16" s="12"/>
      <c r="R16" s="12"/>
      <c r="S16" s="12"/>
      <c r="T16" s="12"/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/>
      <c r="AC16" s="12">
        <v>14.134399999999999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P16" s="12"/>
    </row>
    <row r="17" spans="1:42" ht="11.25" customHeight="1" x14ac:dyDescent="0.25">
      <c r="A17" s="102" t="s">
        <v>22</v>
      </c>
      <c r="B17" s="102" t="s">
        <v>85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17" t="s">
        <v>72</v>
      </c>
      <c r="H17" s="17" t="s">
        <v>71</v>
      </c>
      <c r="I17" s="17">
        <f>'MERCADO TUSD'!$U$14</f>
        <v>0</v>
      </c>
      <c r="J17" s="15"/>
      <c r="L17" s="12"/>
      <c r="M17" s="12"/>
      <c r="N17" s="12"/>
      <c r="O17" s="12"/>
      <c r="P17" s="12"/>
      <c r="Q17" s="12"/>
      <c r="R17" s="12"/>
      <c r="S17" s="12"/>
      <c r="T17" s="12"/>
      <c r="U17" s="12">
        <v>0</v>
      </c>
      <c r="V17" s="12">
        <v>0</v>
      </c>
      <c r="W17" s="12">
        <v>0</v>
      </c>
      <c r="X17" s="12">
        <v>0</v>
      </c>
      <c r="Y17" s="12">
        <v>0.56540000000000001</v>
      </c>
      <c r="Z17" s="12">
        <v>0</v>
      </c>
      <c r="AA17" s="12">
        <v>0</v>
      </c>
      <c r="AB17" s="12"/>
      <c r="AC17" s="12">
        <v>627.03030000000001</v>
      </c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P17" s="12">
        <v>1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17" t="s">
        <v>83</v>
      </c>
      <c r="H18" s="17" t="s">
        <v>71</v>
      </c>
      <c r="I18" s="17">
        <f>'MERCADO TUSD'!$U$15</f>
        <v>0</v>
      </c>
      <c r="J18" s="15"/>
      <c r="L18" s="12"/>
      <c r="M18" s="12"/>
      <c r="N18" s="12"/>
      <c r="O18" s="12"/>
      <c r="P18" s="12"/>
      <c r="Q18" s="12"/>
      <c r="R18" s="12"/>
      <c r="S18" s="12"/>
      <c r="T18" s="12"/>
      <c r="U18" s="12">
        <v>0</v>
      </c>
      <c r="V18" s="12">
        <v>0</v>
      </c>
      <c r="W18" s="12">
        <v>0</v>
      </c>
      <c r="X18" s="12">
        <v>0</v>
      </c>
      <c r="Y18" s="12">
        <v>0.33929999999999999</v>
      </c>
      <c r="Z18" s="12">
        <v>0</v>
      </c>
      <c r="AA18" s="12">
        <v>0</v>
      </c>
      <c r="AB18" s="12"/>
      <c r="AC18" s="12">
        <v>376.21820000000002</v>
      </c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P18" s="12">
        <v>1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17" t="s">
        <v>73</v>
      </c>
      <c r="H19" s="17" t="s">
        <v>71</v>
      </c>
      <c r="I19" s="17">
        <f>'MERCADO TUSD'!$U$16</f>
        <v>0</v>
      </c>
      <c r="J19" s="15"/>
      <c r="L19" s="12"/>
      <c r="M19" s="12"/>
      <c r="N19" s="12"/>
      <c r="O19" s="12"/>
      <c r="P19" s="12"/>
      <c r="Q19" s="12"/>
      <c r="R19" s="12"/>
      <c r="S19" s="12"/>
      <c r="T19" s="12"/>
      <c r="U19" s="12">
        <v>0</v>
      </c>
      <c r="V19" s="12">
        <v>0</v>
      </c>
      <c r="W19" s="12">
        <v>0</v>
      </c>
      <c r="X19" s="12">
        <v>0</v>
      </c>
      <c r="Y19" s="12">
        <v>0.11310000000000001</v>
      </c>
      <c r="Z19" s="12">
        <v>0</v>
      </c>
      <c r="AA19" s="12">
        <v>0</v>
      </c>
      <c r="AB19" s="12"/>
      <c r="AC19" s="12">
        <v>125.40600000000001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P19" s="12">
        <v>1</v>
      </c>
    </row>
    <row r="20" spans="1:42" ht="11.25" customHeight="1" x14ac:dyDescent="0.25">
      <c r="A20" s="102"/>
      <c r="B20" s="102" t="s">
        <v>23</v>
      </c>
      <c r="C20" s="102" t="s">
        <v>24</v>
      </c>
      <c r="D20" s="18" t="s">
        <v>24</v>
      </c>
      <c r="E20" s="18" t="s">
        <v>25</v>
      </c>
      <c r="F20" s="18" t="s">
        <v>25</v>
      </c>
      <c r="G20" s="17" t="s">
        <v>77</v>
      </c>
      <c r="H20" s="17" t="s">
        <v>71</v>
      </c>
      <c r="I20" s="17">
        <f>'MERCADO TUSD'!$U$17</f>
        <v>13817.398000000001</v>
      </c>
      <c r="J20" s="15"/>
      <c r="L20" s="12"/>
      <c r="M20" s="12"/>
      <c r="N20" s="12"/>
      <c r="O20" s="12"/>
      <c r="P20" s="12"/>
      <c r="Q20" s="12"/>
      <c r="R20" s="12"/>
      <c r="S20" s="12"/>
      <c r="T20" s="12"/>
      <c r="U20" s="12">
        <v>0</v>
      </c>
      <c r="V20" s="12">
        <v>0</v>
      </c>
      <c r="W20" s="12">
        <v>0</v>
      </c>
      <c r="X20" s="12">
        <v>0</v>
      </c>
      <c r="Y20" s="12">
        <v>0.22620000000000001</v>
      </c>
      <c r="Z20" s="12">
        <v>0</v>
      </c>
      <c r="AA20" s="12">
        <v>0</v>
      </c>
      <c r="AB20" s="12"/>
      <c r="AC20" s="12">
        <v>250.81200000000001</v>
      </c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P20" s="12">
        <v>1</v>
      </c>
    </row>
    <row r="21" spans="1:42" ht="11.25" customHeight="1" x14ac:dyDescent="0.25">
      <c r="A21" s="102"/>
      <c r="B21" s="102"/>
      <c r="C21" s="102"/>
      <c r="D21" s="18" t="s">
        <v>29</v>
      </c>
      <c r="E21" s="18" t="s">
        <v>25</v>
      </c>
      <c r="F21" s="18" t="s">
        <v>25</v>
      </c>
      <c r="G21" s="17" t="s">
        <v>77</v>
      </c>
      <c r="H21" s="17" t="s">
        <v>71</v>
      </c>
      <c r="I21" s="17">
        <f>'MERCADO TUSD'!$U$18</f>
        <v>152.22200000000001</v>
      </c>
      <c r="J21" s="15"/>
      <c r="L21" s="12"/>
      <c r="M21" s="12"/>
      <c r="N21" s="12"/>
      <c r="O21" s="12"/>
      <c r="P21" s="12"/>
      <c r="Q21" s="12"/>
      <c r="R21" s="12"/>
      <c r="S21" s="12"/>
      <c r="T21" s="12"/>
      <c r="U21" s="12">
        <v>0</v>
      </c>
      <c r="V21" s="12">
        <v>0</v>
      </c>
      <c r="W21" s="12">
        <v>0</v>
      </c>
      <c r="X21" s="12">
        <v>0</v>
      </c>
      <c r="Y21" s="12">
        <f>(1 - CUSTOS!$M$24)*0.2262</f>
        <v>0.22620000000000001</v>
      </c>
      <c r="Z21" s="12">
        <v>0</v>
      </c>
      <c r="AA21" s="12">
        <v>0</v>
      </c>
      <c r="AB21" s="12"/>
      <c r="AC21" s="12">
        <f>(1 - CUSTOS!$M$24)*250.812</f>
        <v>250.81200000000001</v>
      </c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P21" s="12">
        <f>IF((1 - CUSTOS!$M$24)&lt;&gt;0,1/(1 - CUSTOS!$M$24),1)</f>
        <v>1</v>
      </c>
    </row>
    <row r="22" spans="1:42" ht="11.25" customHeight="1" x14ac:dyDescent="0.25">
      <c r="A22" s="102"/>
      <c r="B22" s="102"/>
      <c r="C22" s="102"/>
      <c r="D22" s="18" t="s">
        <v>30</v>
      </c>
      <c r="E22" s="18" t="s">
        <v>25</v>
      </c>
      <c r="F22" s="18" t="s">
        <v>25</v>
      </c>
      <c r="G22" s="17" t="s">
        <v>77</v>
      </c>
      <c r="H22" s="17" t="s">
        <v>71</v>
      </c>
      <c r="I22" s="17">
        <f>'MERCADO TUSD'!$U$19</f>
        <v>271.62199999999996</v>
      </c>
      <c r="J22" s="15"/>
      <c r="L22" s="12"/>
      <c r="M22" s="12"/>
      <c r="N22" s="12"/>
      <c r="O22" s="12"/>
      <c r="P22" s="12"/>
      <c r="Q22" s="12"/>
      <c r="R22" s="12"/>
      <c r="S22" s="12"/>
      <c r="T22" s="12"/>
      <c r="U22" s="12">
        <v>0</v>
      </c>
      <c r="V22" s="12">
        <v>0</v>
      </c>
      <c r="W22" s="12">
        <v>0</v>
      </c>
      <c r="X22" s="12">
        <v>0</v>
      </c>
      <c r="Y22" s="12">
        <f>(1 - CUSTOS!$M$25)*0.2262</f>
        <v>0.22620000000000001</v>
      </c>
      <c r="Z22" s="12">
        <v>0</v>
      </c>
      <c r="AA22" s="12">
        <v>0</v>
      </c>
      <c r="AB22" s="12"/>
      <c r="AC22" s="12">
        <f>(1 - CUSTOS!$M$25)*250.812</f>
        <v>250.81200000000001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P22" s="12">
        <f>IF((1 - CUSTOS!$M$25)&lt;&gt;0,1/(1 - CUSTOS!$M$25),1)</f>
        <v>1</v>
      </c>
    </row>
    <row r="23" spans="1:42" ht="11.25" customHeight="1" x14ac:dyDescent="0.25">
      <c r="A23" s="102"/>
      <c r="B23" s="102"/>
      <c r="C23" s="102"/>
      <c r="D23" s="18" t="s">
        <v>31</v>
      </c>
      <c r="E23" s="18" t="s">
        <v>25</v>
      </c>
      <c r="F23" s="18" t="s">
        <v>25</v>
      </c>
      <c r="G23" s="17" t="s">
        <v>77</v>
      </c>
      <c r="H23" s="17" t="s">
        <v>71</v>
      </c>
      <c r="I23" s="17">
        <f>'MERCADO TUSD'!$U$20</f>
        <v>195.72200000000001</v>
      </c>
      <c r="J23" s="15"/>
      <c r="L23" s="12"/>
      <c r="M23" s="12"/>
      <c r="N23" s="12"/>
      <c r="O23" s="12"/>
      <c r="P23" s="12"/>
      <c r="Q23" s="12"/>
      <c r="R23" s="12"/>
      <c r="S23" s="12"/>
      <c r="T23" s="12"/>
      <c r="U23" s="12">
        <v>0</v>
      </c>
      <c r="V23" s="12">
        <v>0</v>
      </c>
      <c r="W23" s="12">
        <v>0</v>
      </c>
      <c r="X23" s="12">
        <v>0</v>
      </c>
      <c r="Y23" s="12">
        <f>(1 - CUSTOS!$M$26)*0.2262</f>
        <v>0.22620000000000001</v>
      </c>
      <c r="Z23" s="12">
        <v>0</v>
      </c>
      <c r="AA23" s="12">
        <v>0</v>
      </c>
      <c r="AB23" s="12"/>
      <c r="AC23" s="12">
        <f>(1 - CUSTOS!$M$26)*250.812</f>
        <v>250.81200000000001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P23" s="12">
        <f>IF((1 - CUSTOS!$M$26)&lt;&gt;0,1/(1 - CUSTOS!$M$26),1)</f>
        <v>1</v>
      </c>
    </row>
    <row r="24" spans="1:42" ht="11.25" customHeight="1" x14ac:dyDescent="0.25">
      <c r="A24" s="102"/>
      <c r="B24" s="102"/>
      <c r="C24" s="102"/>
      <c r="D24" s="18" t="s">
        <v>32</v>
      </c>
      <c r="E24" s="18" t="s">
        <v>25</v>
      </c>
      <c r="F24" s="18" t="s">
        <v>25</v>
      </c>
      <c r="G24" s="17" t="s">
        <v>77</v>
      </c>
      <c r="H24" s="17" t="s">
        <v>71</v>
      </c>
      <c r="I24" s="17">
        <f>'MERCADO TUSD'!$U$21</f>
        <v>56.320999999999998</v>
      </c>
      <c r="J24" s="15"/>
      <c r="L24" s="12"/>
      <c r="M24" s="12"/>
      <c r="N24" s="12"/>
      <c r="O24" s="12"/>
      <c r="P24" s="12"/>
      <c r="Q24" s="12"/>
      <c r="R24" s="12"/>
      <c r="S24" s="12"/>
      <c r="T24" s="12"/>
      <c r="U24" s="12">
        <v>0</v>
      </c>
      <c r="V24" s="12">
        <v>0</v>
      </c>
      <c r="W24" s="12">
        <v>0</v>
      </c>
      <c r="X24" s="12">
        <v>0</v>
      </c>
      <c r="Y24" s="12">
        <f>(1 - CUSTOS!$M$27)*0.2262</f>
        <v>0.22620000000000001</v>
      </c>
      <c r="Z24" s="12">
        <v>0</v>
      </c>
      <c r="AA24" s="12">
        <v>0</v>
      </c>
      <c r="AB24" s="12"/>
      <c r="AC24" s="12">
        <f>(1 - CUSTOS!$M$27)*250.812</f>
        <v>250.81200000000001</v>
      </c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P24" s="12">
        <f>IF((1 - CUSTOS!$M$27)&lt;&gt;0,1/(1 - CUSTOS!$M$27),1)</f>
        <v>1</v>
      </c>
    </row>
    <row r="25" spans="1:42" ht="11.25" customHeight="1" x14ac:dyDescent="0.25">
      <c r="A25" s="102"/>
      <c r="B25" s="102" t="s">
        <v>87</v>
      </c>
      <c r="C25" s="102" t="s">
        <v>24</v>
      </c>
      <c r="D25" s="18" t="s">
        <v>24</v>
      </c>
      <c r="E25" s="18" t="s">
        <v>25</v>
      </c>
      <c r="F25" s="18" t="s">
        <v>25</v>
      </c>
      <c r="G25" s="17" t="s">
        <v>77</v>
      </c>
      <c r="H25" s="17" t="s">
        <v>71</v>
      </c>
      <c r="I25" s="17">
        <f>'MERCADO TUSD'!$U$22</f>
        <v>0</v>
      </c>
      <c r="J25" s="15"/>
      <c r="L25" s="12"/>
      <c r="M25" s="12"/>
      <c r="N25" s="12"/>
      <c r="O25" s="12"/>
      <c r="P25" s="12"/>
      <c r="Q25" s="12"/>
      <c r="R25" s="12"/>
      <c r="S25" s="12"/>
      <c r="T25" s="12"/>
      <c r="U25" s="12">
        <v>0</v>
      </c>
      <c r="V25" s="12">
        <v>0</v>
      </c>
      <c r="W25" s="12">
        <v>0</v>
      </c>
      <c r="X25" s="12">
        <v>0</v>
      </c>
      <c r="Y25" s="12">
        <v>0.22620000000000001</v>
      </c>
      <c r="Z25" s="12">
        <v>0</v>
      </c>
      <c r="AA25" s="12">
        <v>0</v>
      </c>
      <c r="AB25" s="12"/>
      <c r="AC25" s="12">
        <v>250.81200000000001</v>
      </c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P25" s="12">
        <v>1</v>
      </c>
    </row>
    <row r="26" spans="1:42" ht="11.25" customHeight="1" x14ac:dyDescent="0.25">
      <c r="A26" s="102"/>
      <c r="B26" s="102"/>
      <c r="C26" s="102"/>
      <c r="D26" s="18" t="s">
        <v>29</v>
      </c>
      <c r="E26" s="18" t="s">
        <v>25</v>
      </c>
      <c r="F26" s="18" t="s">
        <v>25</v>
      </c>
      <c r="G26" s="17" t="s">
        <v>77</v>
      </c>
      <c r="H26" s="17" t="s">
        <v>71</v>
      </c>
      <c r="I26" s="17">
        <f>'MERCADO TUSD'!$U$23</f>
        <v>0</v>
      </c>
      <c r="J26" s="15"/>
      <c r="L26" s="12"/>
      <c r="M26" s="12"/>
      <c r="N26" s="12"/>
      <c r="O26" s="12"/>
      <c r="P26" s="12"/>
      <c r="Q26" s="12"/>
      <c r="R26" s="12"/>
      <c r="S26" s="12"/>
      <c r="T26" s="12"/>
      <c r="U26" s="12">
        <v>0</v>
      </c>
      <c r="V26" s="12">
        <v>0</v>
      </c>
      <c r="W26" s="12">
        <v>0</v>
      </c>
      <c r="X26" s="12">
        <v>0</v>
      </c>
      <c r="Y26" s="12">
        <f>(1 - CUSTOS!$M$24)*0.2262</f>
        <v>0.22620000000000001</v>
      </c>
      <c r="Z26" s="12">
        <v>0</v>
      </c>
      <c r="AA26" s="12">
        <v>0</v>
      </c>
      <c r="AB26" s="12"/>
      <c r="AC26" s="12">
        <f>(1 - CUSTOS!$M$24)*250.812</f>
        <v>250.81200000000001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P26" s="12">
        <f>IF((1 - CUSTOS!$M$24)&lt;&gt;0,1/(1 - CUSTOS!$M$24),1)</f>
        <v>1</v>
      </c>
    </row>
    <row r="27" spans="1:42" ht="11.25" customHeight="1" x14ac:dyDescent="0.25">
      <c r="A27" s="102"/>
      <c r="B27" s="102"/>
      <c r="C27" s="102"/>
      <c r="D27" s="18" t="s">
        <v>30</v>
      </c>
      <c r="E27" s="18" t="s">
        <v>25</v>
      </c>
      <c r="F27" s="18" t="s">
        <v>25</v>
      </c>
      <c r="G27" s="17" t="s">
        <v>77</v>
      </c>
      <c r="H27" s="17" t="s">
        <v>71</v>
      </c>
      <c r="I27" s="17">
        <f>'MERCADO TUSD'!$U$24</f>
        <v>0</v>
      </c>
      <c r="J27" s="15"/>
      <c r="L27" s="12"/>
      <c r="M27" s="12"/>
      <c r="N27" s="12"/>
      <c r="O27" s="12"/>
      <c r="P27" s="12"/>
      <c r="Q27" s="12"/>
      <c r="R27" s="12"/>
      <c r="S27" s="12"/>
      <c r="T27" s="12"/>
      <c r="U27" s="12">
        <v>0</v>
      </c>
      <c r="V27" s="12">
        <v>0</v>
      </c>
      <c r="W27" s="12">
        <v>0</v>
      </c>
      <c r="X27" s="12">
        <v>0</v>
      </c>
      <c r="Y27" s="12">
        <f>(1 - CUSTOS!$M$25)*0.2262</f>
        <v>0.22620000000000001</v>
      </c>
      <c r="Z27" s="12">
        <v>0</v>
      </c>
      <c r="AA27" s="12">
        <v>0</v>
      </c>
      <c r="AB27" s="12"/>
      <c r="AC27" s="12">
        <f>(1 - CUSTOS!$M$25)*250.812</f>
        <v>250.81200000000001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P27" s="12">
        <f>IF((1 - CUSTOS!$M$25)&lt;&gt;0,1/(1 - CUSTOS!$M$25),1)</f>
        <v>1</v>
      </c>
    </row>
    <row r="28" spans="1:42" ht="11.25" customHeight="1" x14ac:dyDescent="0.25">
      <c r="A28" s="102"/>
      <c r="B28" s="102"/>
      <c r="C28" s="102"/>
      <c r="D28" s="18" t="s">
        <v>31</v>
      </c>
      <c r="E28" s="18" t="s">
        <v>25</v>
      </c>
      <c r="F28" s="18" t="s">
        <v>25</v>
      </c>
      <c r="G28" s="17" t="s">
        <v>77</v>
      </c>
      <c r="H28" s="17" t="s">
        <v>71</v>
      </c>
      <c r="I28" s="17">
        <f>'MERCADO TUSD'!$U$25</f>
        <v>0</v>
      </c>
      <c r="J28" s="15"/>
      <c r="L28" s="12"/>
      <c r="M28" s="12"/>
      <c r="N28" s="12"/>
      <c r="O28" s="12"/>
      <c r="P28" s="12"/>
      <c r="Q28" s="12"/>
      <c r="R28" s="12"/>
      <c r="S28" s="12"/>
      <c r="T28" s="12"/>
      <c r="U28" s="12">
        <v>0</v>
      </c>
      <c r="V28" s="12">
        <v>0</v>
      </c>
      <c r="W28" s="12">
        <v>0</v>
      </c>
      <c r="X28" s="12">
        <v>0</v>
      </c>
      <c r="Y28" s="12">
        <f>(1 - CUSTOS!$M$26)*0.2262</f>
        <v>0.22620000000000001</v>
      </c>
      <c r="Z28" s="12">
        <v>0</v>
      </c>
      <c r="AA28" s="12">
        <v>0</v>
      </c>
      <c r="AB28" s="12"/>
      <c r="AC28" s="12">
        <f>(1 - CUSTOS!$M$26)*250.812</f>
        <v>250.81200000000001</v>
      </c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P28" s="12">
        <f>IF((1 - CUSTOS!$M$26)&lt;&gt;0,1/(1 - CUSTOS!$M$26),1)</f>
        <v>1</v>
      </c>
    </row>
    <row r="29" spans="1:42" ht="11.25" customHeight="1" x14ac:dyDescent="0.25">
      <c r="A29" s="102"/>
      <c r="B29" s="102"/>
      <c r="C29" s="102"/>
      <c r="D29" s="18" t="s">
        <v>32</v>
      </c>
      <c r="E29" s="18" t="s">
        <v>25</v>
      </c>
      <c r="F29" s="18" t="s">
        <v>25</v>
      </c>
      <c r="G29" s="17" t="s">
        <v>77</v>
      </c>
      <c r="H29" s="17" t="s">
        <v>71</v>
      </c>
      <c r="I29" s="17">
        <f>'MERCADO TUSD'!$U$26</f>
        <v>0</v>
      </c>
      <c r="J29" s="15"/>
      <c r="L29" s="12"/>
      <c r="M29" s="12"/>
      <c r="N29" s="12"/>
      <c r="O29" s="12"/>
      <c r="P29" s="12"/>
      <c r="Q29" s="12"/>
      <c r="R29" s="12"/>
      <c r="S29" s="12"/>
      <c r="T29" s="12"/>
      <c r="U29" s="12">
        <v>0</v>
      </c>
      <c r="V29" s="12">
        <v>0</v>
      </c>
      <c r="W29" s="12">
        <v>0</v>
      </c>
      <c r="X29" s="12">
        <v>0</v>
      </c>
      <c r="Y29" s="12">
        <f>(1 - CUSTOS!$M$27)*0.2262</f>
        <v>0.22620000000000001</v>
      </c>
      <c r="Z29" s="12">
        <v>0</v>
      </c>
      <c r="AA29" s="12">
        <v>0</v>
      </c>
      <c r="AB29" s="12"/>
      <c r="AC29" s="12">
        <f>(1 - CUSTOS!$M$27)*250.812</f>
        <v>250.81200000000001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P29" s="12">
        <f>IF((1 - CUSTOS!$M$27)&lt;&gt;0,1/(1 - CUSTOS!$M$27),1)</f>
        <v>1</v>
      </c>
    </row>
    <row r="30" spans="1:42" ht="11.25" customHeight="1" x14ac:dyDescent="0.25">
      <c r="A30" s="102" t="s">
        <v>40</v>
      </c>
      <c r="B30" s="102" t="s">
        <v>85</v>
      </c>
      <c r="C30" s="102" t="s">
        <v>41</v>
      </c>
      <c r="D30" s="102" t="s">
        <v>25</v>
      </c>
      <c r="E30" s="102" t="s">
        <v>25</v>
      </c>
      <c r="F30" s="102" t="s">
        <v>25</v>
      </c>
      <c r="G30" s="17" t="s">
        <v>72</v>
      </c>
      <c r="H30" s="17" t="s">
        <v>71</v>
      </c>
      <c r="I30" s="17">
        <f>'MERCADO TUSD'!$U$27</f>
        <v>0</v>
      </c>
      <c r="J30" s="15"/>
      <c r="L30" s="12"/>
      <c r="M30" s="12"/>
      <c r="N30" s="12"/>
      <c r="O30" s="12"/>
      <c r="P30" s="12"/>
      <c r="Q30" s="12"/>
      <c r="R30" s="12"/>
      <c r="S30" s="12"/>
      <c r="T30" s="12"/>
      <c r="U30" s="12">
        <v>0</v>
      </c>
      <c r="V30" s="12">
        <v>0</v>
      </c>
      <c r="W30" s="12">
        <v>0</v>
      </c>
      <c r="X30" s="12">
        <v>0</v>
      </c>
      <c r="Y30" s="12">
        <f>(1 - CUSTOS!$M$28)*0.588</f>
        <v>0.58799999999999997</v>
      </c>
      <c r="Z30" s="12">
        <v>0</v>
      </c>
      <c r="AA30" s="12">
        <v>0</v>
      </c>
      <c r="AB30" s="12"/>
      <c r="AC30" s="12">
        <f>(1 - CUSTOS!$M$28)*652.1114</f>
        <v>652.1114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P30" s="12">
        <f>IF((1 - CUSTOS!$M$28)&lt;&gt;0,1/(1 - CUSTOS!$M$28),1)</f>
        <v>1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17" t="s">
        <v>83</v>
      </c>
      <c r="H31" s="17" t="s">
        <v>71</v>
      </c>
      <c r="I31" s="17">
        <f>'MERCADO TUSD'!$U$28</f>
        <v>0</v>
      </c>
      <c r="J31" s="15"/>
      <c r="L31" s="12"/>
      <c r="M31" s="12"/>
      <c r="N31" s="12"/>
      <c r="O31" s="12"/>
      <c r="P31" s="12"/>
      <c r="Q31" s="12"/>
      <c r="R31" s="12"/>
      <c r="S31" s="12"/>
      <c r="T31" s="12"/>
      <c r="U31" s="12">
        <v>0</v>
      </c>
      <c r="V31" s="12">
        <v>0</v>
      </c>
      <c r="W31" s="12">
        <v>0</v>
      </c>
      <c r="X31" s="12">
        <v>0</v>
      </c>
      <c r="Y31" s="12">
        <f>(1 - CUSTOS!$M$28)*0.3528</f>
        <v>0.3528</v>
      </c>
      <c r="Z31" s="12">
        <v>0</v>
      </c>
      <c r="AA31" s="12">
        <v>0</v>
      </c>
      <c r="AB31" s="12"/>
      <c r="AC31" s="12">
        <f>(1 - CUSTOS!$M$28)*391.2669</f>
        <v>391.26690000000002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P31" s="12">
        <f>IF((1 - CUSTOS!$M$28)&lt;&gt;0,1/(1 - CUSTOS!$M$28),1)</f>
        <v>1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17" t="s">
        <v>73</v>
      </c>
      <c r="H32" s="17" t="s">
        <v>71</v>
      </c>
      <c r="I32" s="17">
        <f>'MERCADO TUSD'!$U$29</f>
        <v>0</v>
      </c>
      <c r="J32" s="15"/>
      <c r="L32" s="12"/>
      <c r="M32" s="12"/>
      <c r="N32" s="12"/>
      <c r="O32" s="12"/>
      <c r="P32" s="12"/>
      <c r="Q32" s="12"/>
      <c r="R32" s="12"/>
      <c r="S32" s="12"/>
      <c r="T32" s="12"/>
      <c r="U32" s="12">
        <v>0</v>
      </c>
      <c r="V32" s="12">
        <v>0</v>
      </c>
      <c r="W32" s="12">
        <v>0</v>
      </c>
      <c r="X32" s="12">
        <v>0</v>
      </c>
      <c r="Y32" s="12">
        <f>(1 - CUSTOS!$M$28)*0.1176</f>
        <v>0.1176</v>
      </c>
      <c r="Z32" s="12">
        <v>0</v>
      </c>
      <c r="AA32" s="12">
        <v>0</v>
      </c>
      <c r="AB32" s="12"/>
      <c r="AC32" s="12">
        <f>(1 - CUSTOS!$M$28)*130.4222</f>
        <v>130.4222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P32" s="12">
        <f>IF((1 - CUSTOS!$M$28)&lt;&gt;0,1/(1 - CUSTOS!$M$28),1)</f>
        <v>1</v>
      </c>
    </row>
    <row r="33" spans="1:42" ht="11.25" customHeight="1" x14ac:dyDescent="0.25">
      <c r="A33" s="102"/>
      <c r="B33" s="18" t="s">
        <v>23</v>
      </c>
      <c r="C33" s="18" t="s">
        <v>41</v>
      </c>
      <c r="D33" s="18" t="s">
        <v>25</v>
      </c>
      <c r="E33" s="18" t="s">
        <v>25</v>
      </c>
      <c r="F33" s="18" t="s">
        <v>25</v>
      </c>
      <c r="G33" s="17" t="s">
        <v>77</v>
      </c>
      <c r="H33" s="17" t="s">
        <v>71</v>
      </c>
      <c r="I33" s="17">
        <f>'MERCADO TUSD'!$U$30</f>
        <v>47790.548000000003</v>
      </c>
      <c r="J33" s="15"/>
      <c r="L33" s="12"/>
      <c r="M33" s="12"/>
      <c r="N33" s="12"/>
      <c r="O33" s="12"/>
      <c r="P33" s="12"/>
      <c r="Q33" s="12"/>
      <c r="R33" s="12"/>
      <c r="S33" s="12"/>
      <c r="T33" s="12"/>
      <c r="U33" s="12">
        <v>0</v>
      </c>
      <c r="V33" s="12">
        <v>0</v>
      </c>
      <c r="W33" s="12">
        <v>0</v>
      </c>
      <c r="X33" s="12">
        <v>0</v>
      </c>
      <c r="Y33" s="12">
        <f>(1 - CUSTOS!$M$28)*0.2262</f>
        <v>0.22620000000000001</v>
      </c>
      <c r="Z33" s="12">
        <v>0</v>
      </c>
      <c r="AA33" s="12">
        <v>0</v>
      </c>
      <c r="AB33" s="12"/>
      <c r="AC33" s="12">
        <f>(1 - CUSTOS!$M$28)*250.812</f>
        <v>250.81200000000001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P33" s="12">
        <f>IF((1 - CUSTOS!$M$28)&lt;&gt;0,1/(1 - CUSTOS!$M$28),1)</f>
        <v>1</v>
      </c>
    </row>
    <row r="34" spans="1:42" ht="11.25" customHeight="1" x14ac:dyDescent="0.25">
      <c r="A34" s="102"/>
      <c r="B34" s="102" t="s">
        <v>85</v>
      </c>
      <c r="C34" s="102" t="s">
        <v>41</v>
      </c>
      <c r="D34" s="102" t="s">
        <v>88</v>
      </c>
      <c r="E34" s="102" t="s">
        <v>25</v>
      </c>
      <c r="F34" s="102" t="s">
        <v>25</v>
      </c>
      <c r="G34" s="17" t="s">
        <v>72</v>
      </c>
      <c r="H34" s="17" t="s">
        <v>71</v>
      </c>
      <c r="I34" s="17">
        <f>'MERCADO TUSD'!$U$31</f>
        <v>0</v>
      </c>
      <c r="J34" s="15"/>
      <c r="L34" s="12"/>
      <c r="M34" s="12"/>
      <c r="N34" s="12"/>
      <c r="O34" s="12"/>
      <c r="P34" s="12"/>
      <c r="Q34" s="12"/>
      <c r="R34" s="12"/>
      <c r="S34" s="12"/>
      <c r="T34" s="12"/>
      <c r="U34" s="12">
        <v>0</v>
      </c>
      <c r="V34" s="12">
        <v>0</v>
      </c>
      <c r="W34" s="12">
        <v>0</v>
      </c>
      <c r="X34" s="12">
        <v>0</v>
      </c>
      <c r="Y34" s="12">
        <f>(1 - CUSTOS!$M$29)*0.588</f>
        <v>0.58799999999999997</v>
      </c>
      <c r="Z34" s="12">
        <v>0</v>
      </c>
      <c r="AA34" s="12">
        <v>0</v>
      </c>
      <c r="AB34" s="12"/>
      <c r="AC34" s="12">
        <f>(1 - CUSTOS!$M$29)*652.1114</f>
        <v>652.1114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P34" s="12">
        <f>IF((1 - CUSTOS!$M$29)&lt;&gt;0,1/(1 - CUSTOS!$M$29),1)</f>
        <v>1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17" t="s">
        <v>83</v>
      </c>
      <c r="H35" s="17" t="s">
        <v>71</v>
      </c>
      <c r="I35" s="17">
        <f>'MERCADO TUSD'!$U$32</f>
        <v>0</v>
      </c>
      <c r="J35" s="15"/>
      <c r="L35" s="12"/>
      <c r="M35" s="12"/>
      <c r="N35" s="12"/>
      <c r="O35" s="12"/>
      <c r="P35" s="12"/>
      <c r="Q35" s="12"/>
      <c r="R35" s="12"/>
      <c r="S35" s="12"/>
      <c r="T35" s="12"/>
      <c r="U35" s="12">
        <v>0</v>
      </c>
      <c r="V35" s="12">
        <v>0</v>
      </c>
      <c r="W35" s="12">
        <v>0</v>
      </c>
      <c r="X35" s="12">
        <v>0</v>
      </c>
      <c r="Y35" s="12">
        <f>(1 - CUSTOS!$M$29)*0.3528</f>
        <v>0.3528</v>
      </c>
      <c r="Z35" s="12">
        <v>0</v>
      </c>
      <c r="AA35" s="12">
        <v>0</v>
      </c>
      <c r="AB35" s="12"/>
      <c r="AC35" s="12">
        <f>(1 - CUSTOS!$M$29)*391.2669</f>
        <v>391.26690000000002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P35" s="12">
        <f>IF((1 - CUSTOS!$M$29)&lt;&gt;0,1/(1 - CUSTOS!$M$29),1)</f>
        <v>1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17" t="s">
        <v>73</v>
      </c>
      <c r="H36" s="17" t="s">
        <v>71</v>
      </c>
      <c r="I36" s="17">
        <f>'MERCADO TUSD'!$U$33</f>
        <v>0</v>
      </c>
      <c r="J36" s="15"/>
      <c r="L36" s="12"/>
      <c r="M36" s="12"/>
      <c r="N36" s="12"/>
      <c r="O36" s="12"/>
      <c r="P36" s="12"/>
      <c r="Q36" s="12"/>
      <c r="R36" s="12"/>
      <c r="S36" s="12"/>
      <c r="T36" s="12"/>
      <c r="U36" s="12">
        <v>0</v>
      </c>
      <c r="V36" s="12">
        <v>0</v>
      </c>
      <c r="W36" s="12">
        <v>0</v>
      </c>
      <c r="X36" s="12">
        <v>0</v>
      </c>
      <c r="Y36" s="12">
        <f>(1 - CUSTOS!$M$29)*0.1176</f>
        <v>0.1176</v>
      </c>
      <c r="Z36" s="12">
        <v>0</v>
      </c>
      <c r="AA36" s="12">
        <v>0</v>
      </c>
      <c r="AB36" s="12"/>
      <c r="AC36" s="12">
        <f>(1 - CUSTOS!$M$29)*130.4222</f>
        <v>130.4222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P36" s="12">
        <f>IF((1 - CUSTOS!$M$29)&lt;&gt;0,1/(1 - CUSTOS!$M$29),1)</f>
        <v>1</v>
      </c>
    </row>
    <row r="37" spans="1:42" ht="11.25" customHeight="1" x14ac:dyDescent="0.25">
      <c r="A37" s="102"/>
      <c r="B37" s="18" t="s">
        <v>23</v>
      </c>
      <c r="C37" s="18" t="s">
        <v>41</v>
      </c>
      <c r="D37" s="18" t="s">
        <v>88</v>
      </c>
      <c r="E37" s="18" t="s">
        <v>25</v>
      </c>
      <c r="F37" s="18" t="s">
        <v>25</v>
      </c>
      <c r="G37" s="17" t="s">
        <v>77</v>
      </c>
      <c r="H37" s="17" t="s">
        <v>71</v>
      </c>
      <c r="I37" s="17">
        <f>'MERCADO TUSD'!$U$34</f>
        <v>0</v>
      </c>
      <c r="J37" s="15"/>
      <c r="L37" s="12"/>
      <c r="M37" s="12"/>
      <c r="N37" s="12"/>
      <c r="O37" s="12"/>
      <c r="P37" s="12"/>
      <c r="Q37" s="12"/>
      <c r="R37" s="12"/>
      <c r="S37" s="12"/>
      <c r="T37" s="12"/>
      <c r="U37" s="12">
        <v>0</v>
      </c>
      <c r="V37" s="12">
        <v>0</v>
      </c>
      <c r="W37" s="12">
        <v>0</v>
      </c>
      <c r="X37" s="12">
        <v>0</v>
      </c>
      <c r="Y37" s="12">
        <f>(1 - CUSTOS!$M$29)*0.2262</f>
        <v>0.22620000000000001</v>
      </c>
      <c r="Z37" s="12">
        <v>0</v>
      </c>
      <c r="AA37" s="12">
        <v>0</v>
      </c>
      <c r="AB37" s="12"/>
      <c r="AC37" s="12">
        <f>(1 - CUSTOS!$M$29)*250.812</f>
        <v>250.81200000000001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P37" s="12">
        <f>IF((1 - CUSTOS!$M$29)&lt;&gt;0,1/(1 - CUSTOS!$M$29),1)</f>
        <v>1</v>
      </c>
    </row>
    <row r="38" spans="1:42" ht="11.25" customHeight="1" x14ac:dyDescent="0.25">
      <c r="A38" s="102"/>
      <c r="B38" s="102" t="s">
        <v>85</v>
      </c>
      <c r="C38" s="102" t="s">
        <v>41</v>
      </c>
      <c r="D38" s="102" t="s">
        <v>89</v>
      </c>
      <c r="E38" s="102" t="s">
        <v>25</v>
      </c>
      <c r="F38" s="102" t="s">
        <v>25</v>
      </c>
      <c r="G38" s="17" t="s">
        <v>72</v>
      </c>
      <c r="H38" s="17" t="s">
        <v>71</v>
      </c>
      <c r="I38" s="17">
        <f>'MERCADO TUSD'!$U$35</f>
        <v>0</v>
      </c>
      <c r="J38" s="15"/>
      <c r="L38" s="12"/>
      <c r="M38" s="12"/>
      <c r="N38" s="12"/>
      <c r="O38" s="12"/>
      <c r="P38" s="12"/>
      <c r="Q38" s="12"/>
      <c r="R38" s="12"/>
      <c r="S38" s="12"/>
      <c r="T38" s="12"/>
      <c r="U38" s="12">
        <v>0</v>
      </c>
      <c r="V38" s="12">
        <v>0</v>
      </c>
      <c r="W38" s="12">
        <v>0</v>
      </c>
      <c r="X38" s="12">
        <v>0</v>
      </c>
      <c r="Y38" s="12">
        <f>(1 - CUSTOS!$M$30)*0.588</f>
        <v>0.58799999999999997</v>
      </c>
      <c r="Z38" s="12">
        <v>0</v>
      </c>
      <c r="AA38" s="12">
        <v>0</v>
      </c>
      <c r="AB38" s="12"/>
      <c r="AC38" s="12">
        <f>(1 - CUSTOS!$M$30)*652.1114</f>
        <v>652.1114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P38" s="12">
        <f>IF((1 - CUSTOS!$M$30)&lt;&gt;0,1/(1 - CUSTOS!$M$30),1)</f>
        <v>1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17" t="s">
        <v>83</v>
      </c>
      <c r="H39" s="17" t="s">
        <v>71</v>
      </c>
      <c r="I39" s="17">
        <f>'MERCADO TUSD'!$U$36</f>
        <v>0</v>
      </c>
      <c r="J39" s="15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0</v>
      </c>
      <c r="W39" s="12">
        <v>0</v>
      </c>
      <c r="X39" s="12">
        <v>0</v>
      </c>
      <c r="Y39" s="12">
        <f>(1 - CUSTOS!$M$30)*0.3528</f>
        <v>0.3528</v>
      </c>
      <c r="Z39" s="12">
        <v>0</v>
      </c>
      <c r="AA39" s="12">
        <v>0</v>
      </c>
      <c r="AB39" s="12"/>
      <c r="AC39" s="12">
        <f>(1 - CUSTOS!$M$30)*391.2669</f>
        <v>391.26690000000002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P39" s="12">
        <f>IF((1 - CUSTOS!$M$30)&lt;&gt;0,1/(1 - CUSTOS!$M$30),1)</f>
        <v>1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17" t="s">
        <v>73</v>
      </c>
      <c r="H40" s="17" t="s">
        <v>71</v>
      </c>
      <c r="I40" s="17">
        <f>'MERCADO TUSD'!$U$37</f>
        <v>0</v>
      </c>
      <c r="J40" s="15"/>
      <c r="L40" s="12"/>
      <c r="M40" s="12"/>
      <c r="N40" s="12"/>
      <c r="O40" s="12"/>
      <c r="P40" s="12"/>
      <c r="Q40" s="12"/>
      <c r="R40" s="12"/>
      <c r="S40" s="12"/>
      <c r="T40" s="12"/>
      <c r="U40" s="12">
        <v>0</v>
      </c>
      <c r="V40" s="12">
        <v>0</v>
      </c>
      <c r="W40" s="12">
        <v>0</v>
      </c>
      <c r="X40" s="12">
        <v>0</v>
      </c>
      <c r="Y40" s="12">
        <f>(1 - CUSTOS!$M$30)*0.1176</f>
        <v>0.1176</v>
      </c>
      <c r="Z40" s="12">
        <v>0</v>
      </c>
      <c r="AA40" s="12">
        <v>0</v>
      </c>
      <c r="AB40" s="12"/>
      <c r="AC40" s="12">
        <f>(1 - CUSTOS!$M$30)*130.4222</f>
        <v>130.4222</v>
      </c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P40" s="12">
        <f>IF((1 - CUSTOS!$M$30)&lt;&gt;0,1/(1 - CUSTOS!$M$30),1)</f>
        <v>1</v>
      </c>
    </row>
    <row r="41" spans="1:42" ht="11.25" customHeight="1" x14ac:dyDescent="0.25">
      <c r="A41" s="102"/>
      <c r="B41" s="18" t="s">
        <v>23</v>
      </c>
      <c r="C41" s="18" t="s">
        <v>41</v>
      </c>
      <c r="D41" s="18" t="s">
        <v>89</v>
      </c>
      <c r="E41" s="18" t="s">
        <v>25</v>
      </c>
      <c r="F41" s="18" t="s">
        <v>25</v>
      </c>
      <c r="G41" s="17" t="s">
        <v>77</v>
      </c>
      <c r="H41" s="17" t="s">
        <v>71</v>
      </c>
      <c r="I41" s="17">
        <f>'MERCADO TUSD'!$U$38</f>
        <v>0</v>
      </c>
      <c r="J41" s="15"/>
      <c r="L41" s="12"/>
      <c r="M41" s="12"/>
      <c r="N41" s="12"/>
      <c r="O41" s="12"/>
      <c r="P41" s="12"/>
      <c r="Q41" s="12"/>
      <c r="R41" s="12"/>
      <c r="S41" s="12"/>
      <c r="T41" s="12"/>
      <c r="U41" s="12">
        <v>0</v>
      </c>
      <c r="V41" s="12">
        <v>0</v>
      </c>
      <c r="W41" s="12">
        <v>0</v>
      </c>
      <c r="X41" s="12">
        <v>0</v>
      </c>
      <c r="Y41" s="12">
        <f>(1 - CUSTOS!$M$30)*0.2262</f>
        <v>0.22620000000000001</v>
      </c>
      <c r="Z41" s="12">
        <v>0</v>
      </c>
      <c r="AA41" s="12">
        <v>0</v>
      </c>
      <c r="AB41" s="12"/>
      <c r="AC41" s="12">
        <f>(1 - CUSTOS!$M$30)*250.812</f>
        <v>250.81200000000001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P41" s="12">
        <f>IF((1 - CUSTOS!$M$30)&lt;&gt;0,1/(1 - CUSTOS!$M$30),1)</f>
        <v>1</v>
      </c>
    </row>
    <row r="42" spans="1:42" ht="11.25" customHeight="1" x14ac:dyDescent="0.25">
      <c r="A42" s="102"/>
      <c r="B42" s="102" t="s">
        <v>87</v>
      </c>
      <c r="C42" s="102" t="s">
        <v>41</v>
      </c>
      <c r="D42" s="18" t="s">
        <v>25</v>
      </c>
      <c r="E42" s="18" t="s">
        <v>25</v>
      </c>
      <c r="F42" s="18" t="s">
        <v>25</v>
      </c>
      <c r="G42" s="17" t="s">
        <v>77</v>
      </c>
      <c r="H42" s="17" t="s">
        <v>71</v>
      </c>
      <c r="I42" s="17">
        <f>'MERCADO TUSD'!$U$39</f>
        <v>0</v>
      </c>
      <c r="J42" s="15"/>
      <c r="L42" s="12"/>
      <c r="M42" s="12"/>
      <c r="N42" s="12"/>
      <c r="O42" s="12"/>
      <c r="P42" s="12"/>
      <c r="Q42" s="12"/>
      <c r="R42" s="12"/>
      <c r="S42" s="12"/>
      <c r="T42" s="12"/>
      <c r="U42" s="12">
        <v>0</v>
      </c>
      <c r="V42" s="12">
        <v>0</v>
      </c>
      <c r="W42" s="12">
        <v>0</v>
      </c>
      <c r="X42" s="12">
        <v>0</v>
      </c>
      <c r="Y42" s="12">
        <f>(1 - CUSTOS!$M$28)*0.2262</f>
        <v>0.22620000000000001</v>
      </c>
      <c r="Z42" s="12">
        <v>0</v>
      </c>
      <c r="AA42" s="12">
        <v>0</v>
      </c>
      <c r="AB42" s="12"/>
      <c r="AC42" s="12">
        <f>(1 - CUSTOS!$M$28)*250.812</f>
        <v>250.81200000000001</v>
      </c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P42" s="12">
        <f>IF((1 - CUSTOS!$M$28)&lt;&gt;0,1/(1 - CUSTOS!$M$28),1)</f>
        <v>1</v>
      </c>
    </row>
    <row r="43" spans="1:42" ht="11.25" customHeight="1" x14ac:dyDescent="0.25">
      <c r="A43" s="102"/>
      <c r="B43" s="102"/>
      <c r="C43" s="102"/>
      <c r="D43" s="18" t="s">
        <v>88</v>
      </c>
      <c r="E43" s="18" t="s">
        <v>25</v>
      </c>
      <c r="F43" s="18" t="s">
        <v>25</v>
      </c>
      <c r="G43" s="17" t="s">
        <v>77</v>
      </c>
      <c r="H43" s="17" t="s">
        <v>71</v>
      </c>
      <c r="I43" s="17">
        <f>'MERCADO TUSD'!$U$40</f>
        <v>0</v>
      </c>
      <c r="J43" s="15"/>
      <c r="L43" s="12"/>
      <c r="M43" s="12"/>
      <c r="N43" s="12"/>
      <c r="O43" s="12"/>
      <c r="P43" s="12"/>
      <c r="Q43" s="12"/>
      <c r="R43" s="12"/>
      <c r="S43" s="12"/>
      <c r="T43" s="12"/>
      <c r="U43" s="12">
        <v>0</v>
      </c>
      <c r="V43" s="12">
        <v>0</v>
      </c>
      <c r="W43" s="12">
        <v>0</v>
      </c>
      <c r="X43" s="12">
        <v>0</v>
      </c>
      <c r="Y43" s="12">
        <f>(1 - CUSTOS!$M$29)*0.2262</f>
        <v>0.22620000000000001</v>
      </c>
      <c r="Z43" s="12">
        <v>0</v>
      </c>
      <c r="AA43" s="12">
        <v>0</v>
      </c>
      <c r="AB43" s="12"/>
      <c r="AC43" s="12">
        <f>(1 - CUSTOS!$M$29)*250.812</f>
        <v>250.81200000000001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P43" s="12">
        <f>IF((1 - CUSTOS!$M$29)&lt;&gt;0,1/(1 - CUSTOS!$M$29),1)</f>
        <v>1</v>
      </c>
    </row>
    <row r="44" spans="1:42" ht="11.25" customHeight="1" x14ac:dyDescent="0.25">
      <c r="A44" s="102"/>
      <c r="B44" s="102"/>
      <c r="C44" s="102"/>
      <c r="D44" s="18" t="s">
        <v>89</v>
      </c>
      <c r="E44" s="18" t="s">
        <v>25</v>
      </c>
      <c r="F44" s="18" t="s">
        <v>25</v>
      </c>
      <c r="G44" s="17" t="s">
        <v>77</v>
      </c>
      <c r="H44" s="17" t="s">
        <v>71</v>
      </c>
      <c r="I44" s="17">
        <f>'MERCADO TUSD'!$U$41</f>
        <v>0</v>
      </c>
      <c r="J44" s="15"/>
      <c r="L44" s="12"/>
      <c r="M44" s="12"/>
      <c r="N44" s="12"/>
      <c r="O44" s="12"/>
      <c r="P44" s="12"/>
      <c r="Q44" s="12"/>
      <c r="R44" s="12"/>
      <c r="S44" s="12"/>
      <c r="T44" s="12"/>
      <c r="U44" s="12">
        <v>0</v>
      </c>
      <c r="V44" s="12">
        <v>0</v>
      </c>
      <c r="W44" s="12">
        <v>0</v>
      </c>
      <c r="X44" s="12">
        <v>0</v>
      </c>
      <c r="Y44" s="12">
        <f>(1 - CUSTOS!$M$30)*0.2262</f>
        <v>0.22620000000000001</v>
      </c>
      <c r="Z44" s="12">
        <v>0</v>
      </c>
      <c r="AA44" s="12">
        <v>0</v>
      </c>
      <c r="AB44" s="12"/>
      <c r="AC44" s="12">
        <f>(1 - CUSTOS!$M$30)*250.812</f>
        <v>250.81200000000001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P44" s="12">
        <f>IF((1 - CUSTOS!$M$30)&lt;&gt;0,1/(1 - CUSTOS!$M$30),1)</f>
        <v>1</v>
      </c>
    </row>
    <row r="45" spans="1:42" ht="11.25" customHeight="1" x14ac:dyDescent="0.25">
      <c r="A45" s="102" t="s">
        <v>33</v>
      </c>
      <c r="B45" s="102" t="s">
        <v>85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17" t="s">
        <v>72</v>
      </c>
      <c r="H45" s="17" t="s">
        <v>71</v>
      </c>
      <c r="I45" s="17">
        <f>'MERCADO TUSD'!$U$42</f>
        <v>0</v>
      </c>
      <c r="J45" s="15"/>
      <c r="L45" s="12"/>
      <c r="M45" s="12"/>
      <c r="N45" s="12"/>
      <c r="O45" s="12"/>
      <c r="P45" s="12"/>
      <c r="Q45" s="12"/>
      <c r="R45" s="12"/>
      <c r="S45" s="12"/>
      <c r="T45" s="12"/>
      <c r="U45" s="12">
        <v>0</v>
      </c>
      <c r="V45" s="12">
        <v>0</v>
      </c>
      <c r="W45" s="12">
        <v>0</v>
      </c>
      <c r="X45" s="12">
        <v>0</v>
      </c>
      <c r="Y45" s="12">
        <f>(1 - CUSTOS!$M$31)*0.6785</f>
        <v>0.67849999999999999</v>
      </c>
      <c r="Z45" s="12">
        <v>0</v>
      </c>
      <c r="AA45" s="12">
        <v>0</v>
      </c>
      <c r="AB45" s="12"/>
      <c r="AC45" s="12">
        <f>(1 - CUSTOS!$M$31)*752.4363</f>
        <v>752.43629999999996</v>
      </c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P45" s="12">
        <f>IF((1 - CUSTOS!$M$31)&lt;&gt;0,1/(1 - CUSTOS!$M$31),1)</f>
        <v>1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17" t="s">
        <v>83</v>
      </c>
      <c r="H46" s="17" t="s">
        <v>71</v>
      </c>
      <c r="I46" s="17">
        <f>'MERCADO TUSD'!$U$43</f>
        <v>0</v>
      </c>
      <c r="J46" s="15"/>
      <c r="L46" s="12"/>
      <c r="M46" s="12"/>
      <c r="N46" s="12"/>
      <c r="O46" s="12"/>
      <c r="P46" s="12"/>
      <c r="Q46" s="12"/>
      <c r="R46" s="12"/>
      <c r="S46" s="12"/>
      <c r="T46" s="12"/>
      <c r="U46" s="12">
        <v>0</v>
      </c>
      <c r="V46" s="12">
        <v>0</v>
      </c>
      <c r="W46" s="12">
        <v>0</v>
      </c>
      <c r="X46" s="12">
        <v>0</v>
      </c>
      <c r="Y46" s="12">
        <f>(1 - CUSTOS!$M$31)*0.4071</f>
        <v>0.40710000000000002</v>
      </c>
      <c r="Z46" s="12">
        <v>0</v>
      </c>
      <c r="AA46" s="12">
        <v>0</v>
      </c>
      <c r="AB46" s="12"/>
      <c r="AC46" s="12">
        <f>(1 - CUSTOS!$M$31)*451.4617</f>
        <v>451.46170000000001</v>
      </c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P46" s="12">
        <f>IF((1 - CUSTOS!$M$31)&lt;&gt;0,1/(1 - CUSTOS!$M$31),1)</f>
        <v>1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17" t="s">
        <v>73</v>
      </c>
      <c r="H47" s="17" t="s">
        <v>71</v>
      </c>
      <c r="I47" s="17">
        <f>'MERCADO TUSD'!$U$44</f>
        <v>0</v>
      </c>
      <c r="J47" s="15"/>
      <c r="L47" s="12"/>
      <c r="M47" s="12"/>
      <c r="N47" s="12"/>
      <c r="O47" s="12"/>
      <c r="P47" s="12"/>
      <c r="Q47" s="12"/>
      <c r="R47" s="12"/>
      <c r="S47" s="12"/>
      <c r="T47" s="12"/>
      <c r="U47" s="12">
        <v>0</v>
      </c>
      <c r="V47" s="12">
        <v>0</v>
      </c>
      <c r="W47" s="12">
        <v>0</v>
      </c>
      <c r="X47" s="12">
        <v>0</v>
      </c>
      <c r="Y47" s="12">
        <f>(1 - CUSTOS!$M$31)*0.1357</f>
        <v>0.13569999999999999</v>
      </c>
      <c r="Z47" s="12">
        <v>0</v>
      </c>
      <c r="AA47" s="12">
        <v>0</v>
      </c>
      <c r="AB47" s="12"/>
      <c r="AC47" s="12">
        <f>(1 - CUSTOS!$M$31)*150.4873</f>
        <v>150.4873</v>
      </c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P47" s="12">
        <f>IF((1 - CUSTOS!$M$31)&lt;&gt;0,1/(1 - CUSTOS!$M$31),1)</f>
        <v>1</v>
      </c>
    </row>
    <row r="48" spans="1:42" ht="11.25" customHeight="1" x14ac:dyDescent="0.25">
      <c r="A48" s="102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77</v>
      </c>
      <c r="H48" s="17" t="s">
        <v>71</v>
      </c>
      <c r="I48" s="17">
        <f>'MERCADO TUSD'!$U$45</f>
        <v>9552.121000000001</v>
      </c>
      <c r="J48" s="15"/>
      <c r="L48" s="12"/>
      <c r="M48" s="12"/>
      <c r="N48" s="12"/>
      <c r="O48" s="12"/>
      <c r="P48" s="12"/>
      <c r="Q48" s="12"/>
      <c r="R48" s="12"/>
      <c r="S48" s="12"/>
      <c r="T48" s="12"/>
      <c r="U48" s="12">
        <v>0</v>
      </c>
      <c r="V48" s="12">
        <v>0</v>
      </c>
      <c r="W48" s="12">
        <v>0</v>
      </c>
      <c r="X48" s="12">
        <v>0</v>
      </c>
      <c r="Y48" s="12">
        <f>(1 - CUSTOS!$M$31)*0.2262</f>
        <v>0.22620000000000001</v>
      </c>
      <c r="Z48" s="12">
        <v>0</v>
      </c>
      <c r="AA48" s="12">
        <v>0</v>
      </c>
      <c r="AB48" s="12"/>
      <c r="AC48" s="12">
        <f>(1 - CUSTOS!$M$31)*250.812</f>
        <v>250.81200000000001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P48" s="12">
        <f>IF((1 - CUSTOS!$M$31)&lt;&gt;0,1/(1 - CUSTOS!$M$31),1)</f>
        <v>1</v>
      </c>
    </row>
    <row r="49" spans="1:42" ht="11.25" customHeight="1" x14ac:dyDescent="0.25">
      <c r="A49" s="102"/>
      <c r="B49" s="18" t="s">
        <v>87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77</v>
      </c>
      <c r="H49" s="17" t="s">
        <v>71</v>
      </c>
      <c r="I49" s="17">
        <f>'MERCADO TUSD'!$U$46</f>
        <v>0</v>
      </c>
      <c r="J49" s="15"/>
      <c r="L49" s="12"/>
      <c r="M49" s="12"/>
      <c r="N49" s="12"/>
      <c r="O49" s="12"/>
      <c r="P49" s="12"/>
      <c r="Q49" s="12"/>
      <c r="R49" s="12"/>
      <c r="S49" s="12"/>
      <c r="T49" s="12"/>
      <c r="U49" s="12">
        <v>0</v>
      </c>
      <c r="V49" s="12">
        <v>0</v>
      </c>
      <c r="W49" s="12">
        <v>0</v>
      </c>
      <c r="X49" s="12">
        <v>0</v>
      </c>
      <c r="Y49" s="12">
        <f>(1 - CUSTOS!$M$31)*0.2262</f>
        <v>0.22620000000000001</v>
      </c>
      <c r="Z49" s="12">
        <v>0</v>
      </c>
      <c r="AA49" s="12">
        <v>0</v>
      </c>
      <c r="AB49" s="12"/>
      <c r="AC49" s="12">
        <f>(1 - CUSTOS!$M$31)*250.812</f>
        <v>250.81200000000001</v>
      </c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P49" s="12">
        <f>IF((1 - CUSTOS!$M$31)&lt;&gt;0,1/(1 - CUSTOS!$M$31),1)</f>
        <v>1</v>
      </c>
    </row>
    <row r="50" spans="1:42" ht="11.25" customHeight="1" x14ac:dyDescent="0.25">
      <c r="A50" s="102" t="s">
        <v>43</v>
      </c>
      <c r="B50" s="102" t="s">
        <v>23</v>
      </c>
      <c r="C50" s="102" t="s">
        <v>44</v>
      </c>
      <c r="D50" s="18" t="s">
        <v>45</v>
      </c>
      <c r="E50" s="18" t="s">
        <v>25</v>
      </c>
      <c r="F50" s="18" t="s">
        <v>25</v>
      </c>
      <c r="G50" s="17" t="s">
        <v>77</v>
      </c>
      <c r="H50" s="17" t="s">
        <v>71</v>
      </c>
      <c r="I50" s="17">
        <f>'MERCADO TUSD'!$U$47</f>
        <v>4840.4129999999996</v>
      </c>
      <c r="J50" s="15"/>
      <c r="L50" s="12"/>
      <c r="M50" s="12"/>
      <c r="N50" s="12"/>
      <c r="O50" s="12"/>
      <c r="P50" s="12"/>
      <c r="Q50" s="12"/>
      <c r="R50" s="12"/>
      <c r="S50" s="12"/>
      <c r="T50" s="12"/>
      <c r="U50" s="12">
        <v>0</v>
      </c>
      <c r="V50" s="12">
        <v>0</v>
      </c>
      <c r="W50" s="12">
        <v>0</v>
      </c>
      <c r="X50" s="12">
        <v>0</v>
      </c>
      <c r="Y50" s="12">
        <f>(1 - CUSTOS!$M$32)*0.2262</f>
        <v>0.12441000000000002</v>
      </c>
      <c r="Z50" s="12">
        <v>0</v>
      </c>
      <c r="AA50" s="12">
        <v>0</v>
      </c>
      <c r="AB50" s="12"/>
      <c r="AC50" s="12">
        <f>(1 - CUSTOS!$M$32)*250.812</f>
        <v>137.94660000000002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P50" s="12">
        <f>IF((1 - CUSTOS!$M$32)&lt;&gt;0,1/(1 - CUSTOS!$M$32),1)</f>
        <v>1.8181818181818181</v>
      </c>
    </row>
    <row r="51" spans="1:42" ht="11.25" customHeight="1" x14ac:dyDescent="0.25">
      <c r="A51" s="102"/>
      <c r="B51" s="102"/>
      <c r="C51" s="102"/>
      <c r="D51" s="17" t="s">
        <v>90</v>
      </c>
      <c r="E51" s="17" t="s">
        <v>25</v>
      </c>
      <c r="F51" s="17" t="s">
        <v>25</v>
      </c>
      <c r="G51" s="17" t="s">
        <v>77</v>
      </c>
      <c r="H51" s="17" t="s">
        <v>71</v>
      </c>
      <c r="I51" s="17">
        <f>'MERCADO TUSD'!$U$48</f>
        <v>0</v>
      </c>
      <c r="J51" s="15"/>
      <c r="L51" s="12"/>
      <c r="M51" s="12"/>
      <c r="N51" s="12"/>
      <c r="O51" s="12"/>
      <c r="P51" s="12"/>
      <c r="Q51" s="12"/>
      <c r="R51" s="12"/>
      <c r="S51" s="12"/>
      <c r="T51" s="12"/>
      <c r="U51" s="12">
        <v>0</v>
      </c>
      <c r="V51" s="12">
        <v>0</v>
      </c>
      <c r="W51" s="12">
        <v>0</v>
      </c>
      <c r="X51" s="12">
        <v>0</v>
      </c>
      <c r="Y51" s="12">
        <f>(1 - CUSTOS!$M$33)*0.2262</f>
        <v>0.13572000000000001</v>
      </c>
      <c r="Z51" s="12">
        <v>0</v>
      </c>
      <c r="AA51" s="12">
        <v>0</v>
      </c>
      <c r="AB51" s="12"/>
      <c r="AC51" s="12">
        <f>(1 - CUSTOS!$M$33)*250.812</f>
        <v>150.4872</v>
      </c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P51" s="12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D94B-82B1-43CE-9D10-E9126B19A64B}">
  <sheetPr codeName="Planilha8"/>
  <dimension ref="A1:AP70"/>
  <sheetViews>
    <sheetView showGridLines="0" topLeftCell="D40" workbookViewId="0">
      <selection activeCell="K62" sqref="K62:P62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460</v>
      </c>
      <c r="J1" s="100"/>
      <c r="L1" s="104" t="s">
        <v>461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P1" s="104" t="s">
        <v>462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0"/>
      <c r="L2" s="104" t="s">
        <v>360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P2" s="105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0"/>
      <c r="L3" s="104" t="s">
        <v>361</v>
      </c>
      <c r="M3" s="104"/>
      <c r="N3" s="104"/>
      <c r="O3" s="104"/>
      <c r="P3" s="104"/>
      <c r="Q3" s="104"/>
      <c r="R3" s="104"/>
      <c r="S3" s="104"/>
      <c r="T3" s="104"/>
      <c r="U3" s="104" t="s">
        <v>370</v>
      </c>
      <c r="V3" s="104"/>
      <c r="W3" s="104"/>
      <c r="X3" s="104"/>
      <c r="Y3" s="104"/>
      <c r="Z3" s="104"/>
      <c r="AA3" s="104"/>
      <c r="AB3" s="104"/>
      <c r="AC3" s="104" t="s">
        <v>378</v>
      </c>
      <c r="AD3" s="104"/>
      <c r="AE3" s="104" t="s">
        <v>380</v>
      </c>
      <c r="AF3" s="104"/>
      <c r="AG3" s="104"/>
      <c r="AH3" s="104" t="s">
        <v>383</v>
      </c>
      <c r="AI3" s="104"/>
      <c r="AJ3" s="104"/>
      <c r="AK3" s="104"/>
      <c r="AL3" s="104"/>
      <c r="AM3" s="104" t="s">
        <v>369</v>
      </c>
      <c r="AP3" s="105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100"/>
      <c r="L4" s="10" t="s">
        <v>446</v>
      </c>
      <c r="M4" s="10" t="s">
        <v>362</v>
      </c>
      <c r="N4" s="10" t="s">
        <v>363</v>
      </c>
      <c r="O4" s="10" t="s">
        <v>364</v>
      </c>
      <c r="P4" s="10" t="s">
        <v>365</v>
      </c>
      <c r="Q4" s="10" t="s">
        <v>366</v>
      </c>
      <c r="R4" s="10" t="s">
        <v>367</v>
      </c>
      <c r="S4" s="10" t="s">
        <v>368</v>
      </c>
      <c r="T4" s="10" t="s">
        <v>369</v>
      </c>
      <c r="U4" s="10" t="s">
        <v>371</v>
      </c>
      <c r="V4" s="10" t="s">
        <v>372</v>
      </c>
      <c r="W4" s="10" t="s">
        <v>373</v>
      </c>
      <c r="X4" s="10" t="s">
        <v>374</v>
      </c>
      <c r="Y4" s="10" t="s">
        <v>375</v>
      </c>
      <c r="Z4" s="10" t="s">
        <v>376</v>
      </c>
      <c r="AA4" s="10" t="s">
        <v>377</v>
      </c>
      <c r="AB4" s="10" t="s">
        <v>369</v>
      </c>
      <c r="AC4" s="10" t="s">
        <v>379</v>
      </c>
      <c r="AD4" s="10" t="s">
        <v>369</v>
      </c>
      <c r="AE4" s="10" t="s">
        <v>381</v>
      </c>
      <c r="AF4" s="10" t="s">
        <v>382</v>
      </c>
      <c r="AG4" s="10" t="s">
        <v>369</v>
      </c>
      <c r="AH4" s="10" t="s">
        <v>384</v>
      </c>
      <c r="AI4" s="10" t="s">
        <v>385</v>
      </c>
      <c r="AJ4" s="10" t="s">
        <v>386</v>
      </c>
      <c r="AK4" s="10" t="s">
        <v>387</v>
      </c>
      <c r="AL4" s="10" t="s">
        <v>369</v>
      </c>
      <c r="AM4" s="106"/>
      <c r="AP4" s="105"/>
    </row>
    <row r="5" spans="1:42" ht="11.25" customHeight="1" x14ac:dyDescent="0.25">
      <c r="A5" s="102" t="s">
        <v>35</v>
      </c>
      <c r="B5" s="102" t="s">
        <v>52</v>
      </c>
      <c r="C5" s="102" t="s">
        <v>25</v>
      </c>
      <c r="D5" s="102" t="s">
        <v>25</v>
      </c>
      <c r="E5" s="102" t="s">
        <v>25</v>
      </c>
      <c r="F5" s="102" t="s">
        <v>25</v>
      </c>
      <c r="G5" s="17" t="s">
        <v>75</v>
      </c>
      <c r="H5" s="17" t="s">
        <v>74</v>
      </c>
      <c r="I5" s="17">
        <f>'MERCADO TUSD'!$U$2</f>
        <v>450</v>
      </c>
      <c r="J5" s="15"/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/>
      <c r="U5" s="12">
        <f>TRANSICAO!$U$5*CUSTOS!$R$3</f>
        <v>0</v>
      </c>
      <c r="V5" s="12">
        <f>TRANSICAO!$V$5*CUSTOS!$R$3</f>
        <v>0</v>
      </c>
      <c r="W5" s="12">
        <f>TRANSICAO!$W$5*CUSTOS!$R$3</f>
        <v>0</v>
      </c>
      <c r="X5" s="12">
        <f>TRANSICAO!$X$5*CUSTOS!$R$3</f>
        <v>0</v>
      </c>
      <c r="Y5" s="12">
        <f>TRANSICAO!$Y$5*CUSTOS!$R$3</f>
        <v>4.9299999999999997E-2</v>
      </c>
      <c r="Z5" s="12">
        <f>TRANSICAO!$Z$5*CUSTOS!$R$3</f>
        <v>0</v>
      </c>
      <c r="AA5" s="12">
        <f>TRANSICAO!$AA$5*CUSTOS!$R$3</f>
        <v>0</v>
      </c>
      <c r="AB5" s="12">
        <f>TRANSICAO!$AB$5*CUSTOS!$R$3</f>
        <v>0</v>
      </c>
      <c r="AC5" s="12">
        <f>TRANSICAO!$AC$5*CUSTOS!$R$3</f>
        <v>39.331899999999997</v>
      </c>
      <c r="AD5" s="12">
        <f>TRANSICAO!$AD$5*CUSTOS!$R$3</f>
        <v>0</v>
      </c>
      <c r="AE5" s="12">
        <v>0</v>
      </c>
      <c r="AF5" s="12">
        <v>0</v>
      </c>
      <c r="AG5" s="12"/>
      <c r="AH5" s="12">
        <v>0</v>
      </c>
      <c r="AI5" s="12">
        <v>0</v>
      </c>
      <c r="AJ5" s="12">
        <v>0</v>
      </c>
      <c r="AK5" s="12">
        <f t="shared" ref="AK5:AK51" si="0">AJ5</f>
        <v>0</v>
      </c>
      <c r="AL5" s="12"/>
      <c r="AM5" s="12"/>
      <c r="AP5" s="12">
        <v>1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17" t="s">
        <v>76</v>
      </c>
      <c r="H6" s="17" t="s">
        <v>74</v>
      </c>
      <c r="I6" s="17">
        <f>'MERCADO TUSD'!$U$3</f>
        <v>953</v>
      </c>
      <c r="J6" s="15"/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/>
      <c r="U6" s="12">
        <f>TRANSICAO!$U$6*CUSTOS!$R$3</f>
        <v>0</v>
      </c>
      <c r="V6" s="12">
        <f>TRANSICAO!$V$6*CUSTOS!$R$3</f>
        <v>0</v>
      </c>
      <c r="W6" s="12">
        <f>TRANSICAO!$W$6*CUSTOS!$R$3</f>
        <v>0</v>
      </c>
      <c r="X6" s="12">
        <f>TRANSICAO!$X$6*CUSTOS!$R$3</f>
        <v>0</v>
      </c>
      <c r="Y6" s="12">
        <f>TRANSICAO!$Y$6*CUSTOS!$R$3</f>
        <v>0.05</v>
      </c>
      <c r="Z6" s="12">
        <f>TRANSICAO!$Z$6*CUSTOS!$R$3</f>
        <v>0</v>
      </c>
      <c r="AA6" s="12">
        <f>TRANSICAO!$AA$6*CUSTOS!$R$3</f>
        <v>0</v>
      </c>
      <c r="AB6" s="12">
        <f>TRANSICAO!$AB$6*CUSTOS!$R$3</f>
        <v>0</v>
      </c>
      <c r="AC6" s="12">
        <f>TRANSICAO!$AC$6*CUSTOS!$R$3</f>
        <v>23.3611</v>
      </c>
      <c r="AD6" s="12">
        <f>TRANSICAO!$AD$6*CUSTOS!$R$3</f>
        <v>0</v>
      </c>
      <c r="AE6" s="12">
        <v>0</v>
      </c>
      <c r="AF6" s="12">
        <v>0</v>
      </c>
      <c r="AG6" s="12"/>
      <c r="AH6" s="12">
        <v>0</v>
      </c>
      <c r="AI6" s="12">
        <v>0</v>
      </c>
      <c r="AJ6" s="12">
        <v>0</v>
      </c>
      <c r="AK6" s="12">
        <f t="shared" si="0"/>
        <v>0</v>
      </c>
      <c r="AL6" s="12"/>
      <c r="AM6" s="12"/>
      <c r="AP6" s="12">
        <v>1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17" t="s">
        <v>77</v>
      </c>
      <c r="H7" s="17" t="s">
        <v>71</v>
      </c>
      <c r="I7" s="17">
        <f>'MERCADO TUSD'!$U$4</f>
        <v>260.58600000000001</v>
      </c>
      <c r="J7" s="15"/>
      <c r="L7" s="12">
        <f>0.84</f>
        <v>0.84</v>
      </c>
      <c r="M7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2.1911425947723986</v>
      </c>
      <c r="N7" s="12">
        <f ca="1">(+M7+O7+R7+U7+V7+W7+X7+Y7+Z7+AA7+AC7+AH7+AI7+AJ7+AK7)*CUSTOS!$M$5</f>
        <v>1.6152042594772401E-13</v>
      </c>
      <c r="O7" s="12">
        <v>1</v>
      </c>
      <c r="P7" s="12">
        <v>1</v>
      </c>
      <c r="Q7" s="12">
        <f>0.84</f>
        <v>0.84</v>
      </c>
      <c r="R7" s="12">
        <v>1</v>
      </c>
      <c r="S7" s="12">
        <v>1</v>
      </c>
      <c r="T7" s="12"/>
      <c r="U7" s="12">
        <f>TRANSICAO!$U$7*CUSTOS!$R$3</f>
        <v>0</v>
      </c>
      <c r="V7" s="12">
        <f>TRANSICAO!$V$7*CUSTOS!$R$3</f>
        <v>0</v>
      </c>
      <c r="W7" s="12">
        <f>TRANSICAO!$W$7*CUSTOS!$R$3</f>
        <v>0</v>
      </c>
      <c r="X7" s="12">
        <f>TRANSICAO!$X$7*CUSTOS!$R$3</f>
        <v>0</v>
      </c>
      <c r="Y7" s="12">
        <f>TRANSICAO!$Y$7*CUSTOS!$R$3</f>
        <v>0</v>
      </c>
      <c r="Z7" s="12">
        <f>TRANSICAO!$Z$7*CUSTOS!$R$3</f>
        <v>0</v>
      </c>
      <c r="AA7" s="12">
        <f>TRANSICAO!$AA$7*CUSTOS!$R$3</f>
        <v>0</v>
      </c>
      <c r="AB7" s="12">
        <f>TRANSICAO!$AB$7*CUSTOS!$R$3</f>
        <v>0</v>
      </c>
      <c r="AC7" s="12">
        <f>TRANSICAO!$AC$7*CUSTOS!$R$3</f>
        <v>0</v>
      </c>
      <c r="AD7" s="12">
        <f>TRANSICAO!$AD$7*CUSTOS!$R$3</f>
        <v>0</v>
      </c>
      <c r="AE7" s="12">
        <v>0</v>
      </c>
      <c r="AF7" s="12">
        <v>0</v>
      </c>
      <c r="AG7" s="12"/>
      <c r="AH7" s="12">
        <v>11.561400000000001</v>
      </c>
      <c r="AI7" s="12">
        <v>0.39950000000000002</v>
      </c>
      <c r="AJ7" s="12">
        <f ca="1">$N$63</f>
        <v>0</v>
      </c>
      <c r="AK7" s="12">
        <f t="shared" ca="1" si="0"/>
        <v>0</v>
      </c>
      <c r="AL7" s="12"/>
      <c r="AM7" s="12"/>
      <c r="AP7" s="12">
        <v>1</v>
      </c>
    </row>
    <row r="8" spans="1:42" ht="11.25" customHeight="1" x14ac:dyDescent="0.25">
      <c r="A8" s="102"/>
      <c r="B8" s="102"/>
      <c r="C8" s="102"/>
      <c r="D8" s="102"/>
      <c r="E8" s="18" t="s">
        <v>78</v>
      </c>
      <c r="F8" s="18" t="s">
        <v>25</v>
      </c>
      <c r="G8" s="17" t="s">
        <v>77</v>
      </c>
      <c r="H8" s="17" t="s">
        <v>71</v>
      </c>
      <c r="I8" s="17">
        <f>'MERCADO TUSD'!$U$5</f>
        <v>0</v>
      </c>
      <c r="J8" s="15"/>
      <c r="L8" s="12">
        <v>0</v>
      </c>
      <c r="M8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2.1911425947723986</v>
      </c>
      <c r="N8" s="12">
        <f ca="1">(+M8+O8+R8+U8+V8+W8+X8+Y8+Z8+AA8+AC8+AH8+AI8+AJ8+AK8)*CUSTOS!$M$5</f>
        <v>1.51520425947724E-13</v>
      </c>
      <c r="O8" s="12">
        <v>1</v>
      </c>
      <c r="P8" s="12">
        <v>0</v>
      </c>
      <c r="Q8" s="12">
        <v>0</v>
      </c>
      <c r="R8" s="12">
        <v>0</v>
      </c>
      <c r="S8" s="12">
        <v>0</v>
      </c>
      <c r="T8" s="12"/>
      <c r="U8" s="12">
        <f>TRANSICAO!$U$8*CUSTOS!$R$3</f>
        <v>0</v>
      </c>
      <c r="V8" s="12">
        <f>TRANSICAO!$V$8*CUSTOS!$R$3</f>
        <v>0</v>
      </c>
      <c r="W8" s="12">
        <f>TRANSICAO!$W$8*CUSTOS!$R$3</f>
        <v>0</v>
      </c>
      <c r="X8" s="12">
        <f>TRANSICAO!$X$8*CUSTOS!$R$3</f>
        <v>0</v>
      </c>
      <c r="Y8" s="12">
        <f>TRANSICAO!$Y$8*CUSTOS!$R$3</f>
        <v>0</v>
      </c>
      <c r="Z8" s="12">
        <f>TRANSICAO!$Z$8*CUSTOS!$R$3</f>
        <v>0</v>
      </c>
      <c r="AA8" s="12">
        <f>TRANSICAO!$AA$8*CUSTOS!$R$3</f>
        <v>0</v>
      </c>
      <c r="AB8" s="12">
        <f>TRANSICAO!$AB$8*CUSTOS!$R$3</f>
        <v>0</v>
      </c>
      <c r="AC8" s="12">
        <f>TRANSICAO!$AC$8*CUSTOS!$R$3</f>
        <v>0</v>
      </c>
      <c r="AD8" s="12">
        <f>TRANSICAO!$AD$8*CUSTOS!$R$3</f>
        <v>0</v>
      </c>
      <c r="AE8" s="12">
        <v>0</v>
      </c>
      <c r="AF8" s="12">
        <v>0</v>
      </c>
      <c r="AG8" s="12"/>
      <c r="AH8" s="12">
        <v>11.561400000000001</v>
      </c>
      <c r="AI8" s="12">
        <v>0.39950000000000002</v>
      </c>
      <c r="AJ8" s="12">
        <f ca="1">$N$63</f>
        <v>0</v>
      </c>
      <c r="AK8" s="12">
        <f t="shared" ca="1" si="0"/>
        <v>0</v>
      </c>
      <c r="AL8" s="12"/>
      <c r="AM8" s="12"/>
      <c r="AP8" s="12">
        <v>1</v>
      </c>
    </row>
    <row r="9" spans="1:42" ht="11.25" customHeight="1" x14ac:dyDescent="0.25">
      <c r="A9" s="102"/>
      <c r="B9" s="18" t="s">
        <v>79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74</v>
      </c>
      <c r="I9" s="17">
        <f>'MERCADO TUSD'!$U$6</f>
        <v>0</v>
      </c>
      <c r="J9" s="15"/>
      <c r="L9" s="12">
        <v>0</v>
      </c>
      <c r="M9" s="12">
        <v>2.1499999999999998E-2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/>
      <c r="U9" s="12">
        <f>TRANSICAO!$U$9*CUSTOS!$R$4</f>
        <v>0</v>
      </c>
      <c r="V9" s="12">
        <f>TRANSICAO!$V$9*CUSTOS!$R$4</f>
        <v>0</v>
      </c>
      <c r="W9" s="12">
        <f>TRANSICAO!$W$9*CUSTOS!$R$4</f>
        <v>0</v>
      </c>
      <c r="X9" s="12">
        <f>TRANSICAO!$X$9*CUSTOS!$R$4</f>
        <v>0</v>
      </c>
      <c r="Y9" s="12">
        <f>TRANSICAO!$Y$9*CUSTOS!$R$4</f>
        <v>0</v>
      </c>
      <c r="Z9" s="12">
        <f>TRANSICAO!$Z$9*CUSTOS!$R$4</f>
        <v>0</v>
      </c>
      <c r="AA9" s="12">
        <f>TRANSICAO!$AA$9*CUSTOS!$R$4</f>
        <v>0</v>
      </c>
      <c r="AB9" s="12">
        <f>TRANSICAO!$AB$9*CUSTOS!$R$4</f>
        <v>0</v>
      </c>
      <c r="AC9" s="12">
        <f>TRANSICAO!$AC$9*CUSTOS!$R$4</f>
        <v>9.1593</v>
      </c>
      <c r="AD9" s="12">
        <f>TRANSICAO!$AD$9*CUSTOS!$R$4</f>
        <v>0</v>
      </c>
      <c r="AE9" s="12">
        <v>0</v>
      </c>
      <c r="AF9" s="12">
        <v>0</v>
      </c>
      <c r="AG9" s="12"/>
      <c r="AH9" s="12">
        <v>0</v>
      </c>
      <c r="AI9" s="12">
        <v>0</v>
      </c>
      <c r="AJ9" s="12">
        <v>0</v>
      </c>
      <c r="AK9" s="12">
        <f t="shared" si="0"/>
        <v>0</v>
      </c>
      <c r="AL9" s="12"/>
      <c r="AM9" s="12"/>
      <c r="AP9" s="12"/>
    </row>
    <row r="10" spans="1:42" ht="11.25" customHeight="1" x14ac:dyDescent="0.25">
      <c r="A10" s="102"/>
      <c r="B10" s="102" t="s">
        <v>36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17" t="s">
        <v>9</v>
      </c>
      <c r="H10" s="17" t="s">
        <v>74</v>
      </c>
      <c r="I10" s="17">
        <f>'MERCADO TUSD'!$U$7</f>
        <v>109365</v>
      </c>
      <c r="J10" s="15"/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/>
      <c r="U10" s="12">
        <f>TRANSICAO!$U$10*CUSTOS!$R$3</f>
        <v>0</v>
      </c>
      <c r="V10" s="12">
        <f>TRANSICAO!$V$10*CUSTOS!$R$3</f>
        <v>0</v>
      </c>
      <c r="W10" s="12">
        <f>TRANSICAO!$W$10*CUSTOS!$R$3</f>
        <v>0</v>
      </c>
      <c r="X10" s="12">
        <f>TRANSICAO!$X$10*CUSTOS!$R$3</f>
        <v>0</v>
      </c>
      <c r="Y10" s="12">
        <f>TRANSICAO!$Y$10*CUSTOS!$R$3</f>
        <v>0.05</v>
      </c>
      <c r="Z10" s="12">
        <f>TRANSICAO!$Z$10*CUSTOS!$R$3</f>
        <v>0</v>
      </c>
      <c r="AA10" s="12">
        <f>TRANSICAO!$AA$10*CUSTOS!$R$3</f>
        <v>0</v>
      </c>
      <c r="AB10" s="12">
        <f>TRANSICAO!$AB$10*CUSTOS!$R$3</f>
        <v>0</v>
      </c>
      <c r="AC10" s="12">
        <f>TRANSICAO!$AC$10*CUSTOS!$R$3</f>
        <v>23.3611</v>
      </c>
      <c r="AD10" s="12">
        <f>TRANSICAO!$AD$10*CUSTOS!$R$3</f>
        <v>0</v>
      </c>
      <c r="AE10" s="12">
        <v>0</v>
      </c>
      <c r="AF10" s="12">
        <v>0</v>
      </c>
      <c r="AG10" s="12"/>
      <c r="AH10" s="12">
        <v>0</v>
      </c>
      <c r="AI10" s="12">
        <v>0</v>
      </c>
      <c r="AJ10" s="12">
        <v>0</v>
      </c>
      <c r="AK10" s="12">
        <f t="shared" si="0"/>
        <v>0</v>
      </c>
      <c r="AL10" s="12"/>
      <c r="AM10" s="12"/>
      <c r="AP10" s="12">
        <v>1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17" t="s">
        <v>72</v>
      </c>
      <c r="H11" s="17" t="s">
        <v>71</v>
      </c>
      <c r="I11" s="17">
        <f>'MERCADO TUSD'!$U$8</f>
        <v>931.37599999999986</v>
      </c>
      <c r="J11" s="15"/>
      <c r="L11" s="12">
        <f>0.84</f>
        <v>0.84</v>
      </c>
      <c r="M11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2.1911425947723986</v>
      </c>
      <c r="N11" s="12">
        <f ca="1">(+M11+O11+R11+U11+V11+W11+X11+Y11+Z11+AA11+AC11+AH11+AI11+AJ11+AK11)*CUSTOS!$M$5</f>
        <v>9.6326974259477249E-12</v>
      </c>
      <c r="O11" s="12">
        <v>1</v>
      </c>
      <c r="P11" s="12">
        <v>1</v>
      </c>
      <c r="Q11" s="12">
        <f>0.84</f>
        <v>0.84</v>
      </c>
      <c r="R11" s="12">
        <v>1</v>
      </c>
      <c r="S11" s="12">
        <v>1</v>
      </c>
      <c r="T11" s="12"/>
      <c r="U11" s="12">
        <f>TRANSICAO!$U$11*CUSTOS!$R$3</f>
        <v>0</v>
      </c>
      <c r="V11" s="12">
        <f>TRANSICAO!$V$11*CUSTOS!$R$3</f>
        <v>0</v>
      </c>
      <c r="W11" s="12">
        <f>TRANSICAO!$W$11*CUSTOS!$R$3</f>
        <v>0</v>
      </c>
      <c r="X11" s="12">
        <f>TRANSICAO!$X$11*CUSTOS!$R$3</f>
        <v>0</v>
      </c>
      <c r="Y11" s="12">
        <f>TRANSICAO!$Y$11*CUSTOS!$R$3</f>
        <v>1.1868000000000001</v>
      </c>
      <c r="Z11" s="12">
        <f>TRANSICAO!$Z$11*CUSTOS!$R$3</f>
        <v>0</v>
      </c>
      <c r="AA11" s="12">
        <f>TRANSICAO!$AA$11*CUSTOS!$R$3</f>
        <v>0</v>
      </c>
      <c r="AB11" s="12">
        <f>TRANSICAO!$AB$11*CUSTOS!$R$3</f>
        <v>0</v>
      </c>
      <c r="AC11" s="12">
        <f>TRANSICAO!$AC$11*CUSTOS!$R$3</f>
        <v>945.93089999999995</v>
      </c>
      <c r="AD11" s="12">
        <f>TRANSICAO!$AD$11*CUSTOS!$R$3</f>
        <v>0</v>
      </c>
      <c r="AE11" s="12">
        <v>0</v>
      </c>
      <c r="AF11" s="12">
        <v>0</v>
      </c>
      <c r="AG11" s="12"/>
      <c r="AH11" s="12">
        <v>11.561400000000001</v>
      </c>
      <c r="AI11" s="12">
        <v>0.39950000000000002</v>
      </c>
      <c r="AJ11" s="12">
        <f ca="1">$N$63</f>
        <v>0</v>
      </c>
      <c r="AK11" s="12">
        <f t="shared" ca="1" si="0"/>
        <v>0</v>
      </c>
      <c r="AL11" s="12"/>
      <c r="AM11" s="12"/>
      <c r="AP11" s="12">
        <v>1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17" t="s">
        <v>73</v>
      </c>
      <c r="H12" s="17" t="s">
        <v>71</v>
      </c>
      <c r="I12" s="17">
        <f>'MERCADO TUSD'!$U$9</f>
        <v>14483.396000000004</v>
      </c>
      <c r="J12" s="15"/>
      <c r="L12" s="12">
        <f>0.84</f>
        <v>0.84</v>
      </c>
      <c r="M12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2.1911425947723986</v>
      </c>
      <c r="N12" s="12">
        <f ca="1">(+M12+O12+R12+U12+V12+W12+X12+Y12+Z12+AA12+AC12+AH12+AI12+AJ12+AK12)*CUSTOS!$M$5</f>
        <v>1.6152042594772401E-13</v>
      </c>
      <c r="O12" s="12">
        <v>1</v>
      </c>
      <c r="P12" s="12">
        <v>1</v>
      </c>
      <c r="Q12" s="12">
        <f>0.84</f>
        <v>0.84</v>
      </c>
      <c r="R12" s="12">
        <v>1</v>
      </c>
      <c r="S12" s="12">
        <v>1</v>
      </c>
      <c r="T12" s="12"/>
      <c r="U12" s="12">
        <f>TRANSICAO!$U$12*CUSTOS!$R$3</f>
        <v>0</v>
      </c>
      <c r="V12" s="12">
        <f>TRANSICAO!$V$12*CUSTOS!$R$3</f>
        <v>0</v>
      </c>
      <c r="W12" s="12">
        <f>TRANSICAO!$W$12*CUSTOS!$R$3</f>
        <v>0</v>
      </c>
      <c r="X12" s="12">
        <f>TRANSICAO!$X$12*CUSTOS!$R$3</f>
        <v>0</v>
      </c>
      <c r="Y12" s="12">
        <f>TRANSICAO!$Y$12*CUSTOS!$R$3</f>
        <v>0</v>
      </c>
      <c r="Z12" s="12">
        <f>TRANSICAO!$Z$12*CUSTOS!$R$3</f>
        <v>0</v>
      </c>
      <c r="AA12" s="12">
        <f>TRANSICAO!$AA$12*CUSTOS!$R$3</f>
        <v>0</v>
      </c>
      <c r="AB12" s="12">
        <f>TRANSICAO!$AB$12*CUSTOS!$R$3</f>
        <v>0</v>
      </c>
      <c r="AC12" s="12">
        <f>TRANSICAO!$AC$12*CUSTOS!$R$3</f>
        <v>0</v>
      </c>
      <c r="AD12" s="12">
        <f>TRANSICAO!$AD$12*CUSTOS!$R$3</f>
        <v>0</v>
      </c>
      <c r="AE12" s="12">
        <v>0</v>
      </c>
      <c r="AF12" s="12">
        <v>0</v>
      </c>
      <c r="AG12" s="12"/>
      <c r="AH12" s="12">
        <v>11.561400000000001</v>
      </c>
      <c r="AI12" s="12">
        <v>0.39950000000000002</v>
      </c>
      <c r="AJ12" s="12">
        <f ca="1">$N$63</f>
        <v>0</v>
      </c>
      <c r="AK12" s="12">
        <f t="shared" ca="1" si="0"/>
        <v>0</v>
      </c>
      <c r="AL12" s="12"/>
      <c r="AM12" s="12"/>
      <c r="AP12" s="12">
        <v>1</v>
      </c>
    </row>
    <row r="13" spans="1:42" ht="11.25" customHeight="1" x14ac:dyDescent="0.25">
      <c r="A13" s="102"/>
      <c r="B13" s="102"/>
      <c r="C13" s="102"/>
      <c r="D13" s="102"/>
      <c r="E13" s="102" t="s">
        <v>78</v>
      </c>
      <c r="F13" s="102" t="s">
        <v>25</v>
      </c>
      <c r="G13" s="17" t="s">
        <v>72</v>
      </c>
      <c r="H13" s="17" t="s">
        <v>71</v>
      </c>
      <c r="I13" s="17">
        <f>'MERCADO TUSD'!$U$10</f>
        <v>0</v>
      </c>
      <c r="J13" s="15"/>
      <c r="L13" s="12">
        <v>0</v>
      </c>
      <c r="M13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2.1911425947723986</v>
      </c>
      <c r="N13" s="12">
        <f ca="1">(+M13+O13+R13+U13+V13+W13+X13+Y13+Z13+AA13+AC13+AH13+AI13+AJ13+AK13)*CUSTOS!$M$5</f>
        <v>9.6226974259477247E-12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/>
      <c r="U13" s="12">
        <f>TRANSICAO!$U$13*CUSTOS!$R$3</f>
        <v>0</v>
      </c>
      <c r="V13" s="12">
        <f>TRANSICAO!$V$13*CUSTOS!$R$3</f>
        <v>0</v>
      </c>
      <c r="W13" s="12">
        <f>TRANSICAO!$W$13*CUSTOS!$R$3</f>
        <v>0</v>
      </c>
      <c r="X13" s="12">
        <f>TRANSICAO!$X$13*CUSTOS!$R$3</f>
        <v>0</v>
      </c>
      <c r="Y13" s="12">
        <f>TRANSICAO!$Y$13*CUSTOS!$R$3</f>
        <v>1.1868000000000001</v>
      </c>
      <c r="Z13" s="12">
        <f>TRANSICAO!$Z$13*CUSTOS!$R$3</f>
        <v>0</v>
      </c>
      <c r="AA13" s="12">
        <f>TRANSICAO!$AA$13*CUSTOS!$R$3</f>
        <v>0</v>
      </c>
      <c r="AB13" s="12">
        <f>TRANSICAO!$AB$13*CUSTOS!$R$3</f>
        <v>0</v>
      </c>
      <c r="AC13" s="12">
        <f>TRANSICAO!$AC$13*CUSTOS!$R$3</f>
        <v>945.93089999999995</v>
      </c>
      <c r="AD13" s="12">
        <f>TRANSICAO!$AD$13*CUSTOS!$R$3</f>
        <v>0</v>
      </c>
      <c r="AE13" s="12">
        <v>0</v>
      </c>
      <c r="AF13" s="12">
        <v>0</v>
      </c>
      <c r="AG13" s="12"/>
      <c r="AH13" s="12">
        <v>11.561400000000001</v>
      </c>
      <c r="AI13" s="12">
        <v>0.39950000000000002</v>
      </c>
      <c r="AJ13" s="12">
        <f ca="1">$N$63</f>
        <v>0</v>
      </c>
      <c r="AK13" s="12">
        <f t="shared" ca="1" si="0"/>
        <v>0</v>
      </c>
      <c r="AL13" s="12"/>
      <c r="AM13" s="12"/>
      <c r="AP13" s="12">
        <v>1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17" t="s">
        <v>73</v>
      </c>
      <c r="H14" s="17" t="s">
        <v>71</v>
      </c>
      <c r="I14" s="17">
        <f>'MERCADO TUSD'!$U$11</f>
        <v>0</v>
      </c>
      <c r="J14" s="15"/>
      <c r="L14" s="12">
        <v>0</v>
      </c>
      <c r="M14" s="12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2.1911425947723986</v>
      </c>
      <c r="N14" s="12">
        <f ca="1">(+M14+O14+R14+U14+V14+W14+X14+Y14+Z14+AA14+AC14+AH14+AI14+AJ14+AK14)*CUSTOS!$M$5</f>
        <v>1.51520425947724E-13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/>
      <c r="U14" s="12">
        <f>TRANSICAO!$U$14*CUSTOS!$R$3</f>
        <v>0</v>
      </c>
      <c r="V14" s="12">
        <f>TRANSICAO!$V$14*CUSTOS!$R$3</f>
        <v>0</v>
      </c>
      <c r="W14" s="12">
        <f>TRANSICAO!$W$14*CUSTOS!$R$3</f>
        <v>0</v>
      </c>
      <c r="X14" s="12">
        <f>TRANSICAO!$X$14*CUSTOS!$R$3</f>
        <v>0</v>
      </c>
      <c r="Y14" s="12">
        <f>TRANSICAO!$Y$14*CUSTOS!$R$3</f>
        <v>0</v>
      </c>
      <c r="Z14" s="12">
        <f>TRANSICAO!$Z$14*CUSTOS!$R$3</f>
        <v>0</v>
      </c>
      <c r="AA14" s="12">
        <f>TRANSICAO!$AA$14*CUSTOS!$R$3</f>
        <v>0</v>
      </c>
      <c r="AB14" s="12">
        <f>TRANSICAO!$AB$14*CUSTOS!$R$3</f>
        <v>0</v>
      </c>
      <c r="AC14" s="12">
        <f>TRANSICAO!$AC$14*CUSTOS!$R$3</f>
        <v>0</v>
      </c>
      <c r="AD14" s="12">
        <f>TRANSICAO!$AD$14*CUSTOS!$R$3</f>
        <v>0</v>
      </c>
      <c r="AE14" s="12">
        <v>0</v>
      </c>
      <c r="AF14" s="12">
        <v>0</v>
      </c>
      <c r="AG14" s="12"/>
      <c r="AH14" s="12">
        <v>11.561400000000001</v>
      </c>
      <c r="AI14" s="12">
        <v>0.39950000000000002</v>
      </c>
      <c r="AJ14" s="12">
        <f ca="1">$N$63</f>
        <v>0</v>
      </c>
      <c r="AK14" s="12">
        <f t="shared" ca="1" si="0"/>
        <v>0</v>
      </c>
      <c r="AL14" s="12"/>
      <c r="AM14" s="12"/>
      <c r="AP14" s="12">
        <v>1</v>
      </c>
    </row>
    <row r="15" spans="1:42" ht="11.25" customHeight="1" x14ac:dyDescent="0.25">
      <c r="A15" s="102" t="s">
        <v>80</v>
      </c>
      <c r="B15" s="102" t="s">
        <v>79</v>
      </c>
      <c r="C15" s="102" t="s">
        <v>25</v>
      </c>
      <c r="D15" s="102" t="s">
        <v>25</v>
      </c>
      <c r="E15" s="18" t="s">
        <v>81</v>
      </c>
      <c r="F15" s="18" t="s">
        <v>25</v>
      </c>
      <c r="G15" s="17" t="s">
        <v>9</v>
      </c>
      <c r="H15" s="17" t="s">
        <v>74</v>
      </c>
      <c r="I15" s="17">
        <f>'MERCADO TUSD'!$U$12+0.00000001</f>
        <v>1E-8</v>
      </c>
      <c r="J15" s="15"/>
      <c r="L15" s="12">
        <v>0</v>
      </c>
      <c r="M15" s="12">
        <v>1.2800000000000001E-2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/>
      <c r="U15" s="12">
        <f>TRANSICAO!$U$15*CUSTOS!$T$4</f>
        <v>0</v>
      </c>
      <c r="V15" s="12">
        <f>TRANSICAO!$V$15*CUSTOS!$T$4</f>
        <v>0</v>
      </c>
      <c r="W15" s="12">
        <f>TRANSICAO!$W$15*CUSTOS!$T$4</f>
        <v>0</v>
      </c>
      <c r="X15" s="12">
        <f>TRANSICAO!$X$15*CUSTOS!$T$4</f>
        <v>0</v>
      </c>
      <c r="Y15" s="12">
        <f>TRANSICAO!$Y$15*CUSTOS!$T$4</f>
        <v>0</v>
      </c>
      <c r="Z15" s="12">
        <f>TRANSICAO!$Z$15*CUSTOS!$T$4</f>
        <v>0</v>
      </c>
      <c r="AA15" s="12">
        <f>TRANSICAO!$AA$15*CUSTOS!$T$4</f>
        <v>0</v>
      </c>
      <c r="AB15" s="12">
        <f>TRANSICAO!$AB$15*CUSTOS!$T$4</f>
        <v>0</v>
      </c>
      <c r="AC15" s="12">
        <f>TRANSICAO!$AC$15*CUSTOS!$T$4</f>
        <v>5.4347000000000003</v>
      </c>
      <c r="AD15" s="12">
        <f>TRANSICAO!$AD$15*CUSTOS!$T$4</f>
        <v>0</v>
      </c>
      <c r="AE15" s="12">
        <v>0</v>
      </c>
      <c r="AF15" s="12">
        <v>0</v>
      </c>
      <c r="AG15" s="12"/>
      <c r="AH15" s="12">
        <v>0</v>
      </c>
      <c r="AI15" s="12">
        <v>0</v>
      </c>
      <c r="AJ15" s="12">
        <v>0</v>
      </c>
      <c r="AK15" s="12">
        <f t="shared" si="0"/>
        <v>0</v>
      </c>
      <c r="AL15" s="12"/>
      <c r="AM15" s="12"/>
      <c r="AP15" s="12"/>
    </row>
    <row r="16" spans="1:42" ht="11.25" customHeight="1" x14ac:dyDescent="0.25">
      <c r="A16" s="102"/>
      <c r="B16" s="102"/>
      <c r="C16" s="102"/>
      <c r="D16" s="102"/>
      <c r="E16" s="18" t="s">
        <v>82</v>
      </c>
      <c r="F16" s="18" t="s">
        <v>25</v>
      </c>
      <c r="G16" s="17" t="s">
        <v>9</v>
      </c>
      <c r="H16" s="17" t="s">
        <v>74</v>
      </c>
      <c r="I16" s="17">
        <f>'MERCADO TUSD'!$U$13+0.00000001</f>
        <v>1E-8</v>
      </c>
      <c r="J16" s="15"/>
      <c r="L16" s="12">
        <v>0</v>
      </c>
      <c r="M16" s="12">
        <v>1.2800000000000001E-2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/>
      <c r="U16" s="12">
        <f>TRANSICAO!$U$16*CUSTOS!$T$4</f>
        <v>0</v>
      </c>
      <c r="V16" s="12">
        <f>TRANSICAO!$V$16*CUSTOS!$T$4</f>
        <v>0</v>
      </c>
      <c r="W16" s="12">
        <f>TRANSICAO!$W$16*CUSTOS!$T$4</f>
        <v>0</v>
      </c>
      <c r="X16" s="12">
        <f>TRANSICAO!$X$16*CUSTOS!$T$4</f>
        <v>0</v>
      </c>
      <c r="Y16" s="12">
        <f>TRANSICAO!$Y$16*CUSTOS!$T$4</f>
        <v>0</v>
      </c>
      <c r="Z16" s="12">
        <f>TRANSICAO!$Z$16*CUSTOS!$T$4</f>
        <v>0</v>
      </c>
      <c r="AA16" s="12">
        <f>TRANSICAO!$AA$16*CUSTOS!$T$4</f>
        <v>0</v>
      </c>
      <c r="AB16" s="12">
        <f>TRANSICAO!$AB$16*CUSTOS!$T$4</f>
        <v>0</v>
      </c>
      <c r="AC16" s="12">
        <f>TRANSICAO!$AC$16*CUSTOS!$T$4</f>
        <v>14.134399999999999</v>
      </c>
      <c r="AD16" s="12">
        <f>TRANSICAO!$AD$16*CUSTOS!$T$4</f>
        <v>0</v>
      </c>
      <c r="AE16" s="12">
        <v>0</v>
      </c>
      <c r="AF16" s="12">
        <v>0</v>
      </c>
      <c r="AG16" s="12"/>
      <c r="AH16" s="12">
        <v>0</v>
      </c>
      <c r="AI16" s="12">
        <v>0</v>
      </c>
      <c r="AJ16" s="12">
        <v>0</v>
      </c>
      <c r="AK16" s="12">
        <f t="shared" si="0"/>
        <v>0</v>
      </c>
      <c r="AL16" s="12"/>
      <c r="AM16" s="12"/>
      <c r="AP16" s="12"/>
    </row>
    <row r="17" spans="1:42" ht="11.25" customHeight="1" x14ac:dyDescent="0.25">
      <c r="A17" s="102" t="s">
        <v>22</v>
      </c>
      <c r="B17" s="102" t="s">
        <v>85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17" t="s">
        <v>72</v>
      </c>
      <c r="H17" s="17" t="s">
        <v>71</v>
      </c>
      <c r="I17" s="17">
        <f>'MERCADO TUSD'!$U$14</f>
        <v>0</v>
      </c>
      <c r="J17" s="15"/>
      <c r="L17" s="12">
        <f>1</f>
        <v>1</v>
      </c>
      <c r="M17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2.4784110129770376</v>
      </c>
      <c r="N17" s="12">
        <f ca="1">(+M17+O17+R17+U17+V17+W17+X17+Y17+Z17+AA17+AC17+AH17+AI17+AJ17+AK17)*CUSTOS!$M$5</f>
        <v>6.5815681101297704E-12</v>
      </c>
      <c r="O17" s="12">
        <v>1</v>
      </c>
      <c r="P17" s="12">
        <v>1</v>
      </c>
      <c r="Q17" s="12">
        <f>1</f>
        <v>1</v>
      </c>
      <c r="R17" s="12">
        <v>1</v>
      </c>
      <c r="S17" s="12">
        <v>1</v>
      </c>
      <c r="T17" s="12"/>
      <c r="U17" s="12">
        <f>TRANSICAO!$U$17*CUSTOS!$T$3</f>
        <v>0</v>
      </c>
      <c r="V17" s="12">
        <f>TRANSICAO!$V$17*CUSTOS!$T$3</f>
        <v>0</v>
      </c>
      <c r="W17" s="12">
        <f>TRANSICAO!$W$17*CUSTOS!$T$3</f>
        <v>0</v>
      </c>
      <c r="X17" s="12">
        <f>TRANSICAO!$X$17*CUSTOS!$T$3</f>
        <v>0</v>
      </c>
      <c r="Y17" s="12">
        <f>TRANSICAO!$Y$17*CUSTOS!$T$3</f>
        <v>0.56540000000000001</v>
      </c>
      <c r="Z17" s="12">
        <f>TRANSICAO!$Z$17*CUSTOS!$T$3</f>
        <v>0</v>
      </c>
      <c r="AA17" s="12">
        <f>TRANSICAO!$AA$17*CUSTOS!$T$3</f>
        <v>0</v>
      </c>
      <c r="AB17" s="12">
        <f>TRANSICAO!$AB$17*CUSTOS!$T$3</f>
        <v>0</v>
      </c>
      <c r="AC17" s="12">
        <f>TRANSICAO!$AC$17*CUSTOS!$T$3</f>
        <v>627.03030000000001</v>
      </c>
      <c r="AD17" s="12">
        <f>TRANSICAO!$AD$17*CUSTOS!$T$3</f>
        <v>0</v>
      </c>
      <c r="AE17" s="12">
        <v>0</v>
      </c>
      <c r="AF17" s="12">
        <v>0</v>
      </c>
      <c r="AG17" s="12"/>
      <c r="AH17" s="12">
        <v>26.082699999999999</v>
      </c>
      <c r="AI17" s="12">
        <v>0</v>
      </c>
      <c r="AJ17" s="12">
        <f ca="1">$N$64</f>
        <v>0</v>
      </c>
      <c r="AK17" s="12">
        <f t="shared" ca="1" si="0"/>
        <v>0</v>
      </c>
      <c r="AL17" s="12"/>
      <c r="AM17" s="12"/>
      <c r="AP17" s="12">
        <v>1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17" t="s">
        <v>83</v>
      </c>
      <c r="H18" s="17" t="s">
        <v>71</v>
      </c>
      <c r="I18" s="17">
        <f>'MERCADO TUSD'!$U$15</f>
        <v>0</v>
      </c>
      <c r="J18" s="15"/>
      <c r="L18" s="12">
        <f>1</f>
        <v>1</v>
      </c>
      <c r="M18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2.4784110129770376</v>
      </c>
      <c r="N18" s="12">
        <f ca="1">(+M18+O18+R18+U18+V18+W18+X18+Y18+Z18+AA18+AC18+AH18+AI18+AJ18+AK18)*CUSTOS!$M$5</f>
        <v>4.0711861101297708E-12</v>
      </c>
      <c r="O18" s="12">
        <v>1</v>
      </c>
      <c r="P18" s="12">
        <v>1</v>
      </c>
      <c r="Q18" s="12">
        <f>1</f>
        <v>1</v>
      </c>
      <c r="R18" s="12">
        <v>1</v>
      </c>
      <c r="S18" s="12">
        <v>1</v>
      </c>
      <c r="T18" s="12"/>
      <c r="U18" s="12">
        <f>TRANSICAO!$U$18*CUSTOS!$T$3</f>
        <v>0</v>
      </c>
      <c r="V18" s="12">
        <f>TRANSICAO!$V$18*CUSTOS!$T$3</f>
        <v>0</v>
      </c>
      <c r="W18" s="12">
        <f>TRANSICAO!$W$18*CUSTOS!$T$3</f>
        <v>0</v>
      </c>
      <c r="X18" s="12">
        <f>TRANSICAO!$X$18*CUSTOS!$T$3</f>
        <v>0</v>
      </c>
      <c r="Y18" s="12">
        <f>TRANSICAO!$Y$18*CUSTOS!$T$3</f>
        <v>0.33929999999999999</v>
      </c>
      <c r="Z18" s="12">
        <f>TRANSICAO!$Z$18*CUSTOS!$T$3</f>
        <v>0</v>
      </c>
      <c r="AA18" s="12">
        <f>TRANSICAO!$AA$18*CUSTOS!$T$3</f>
        <v>0</v>
      </c>
      <c r="AB18" s="12">
        <f>TRANSICAO!$AB$18*CUSTOS!$T$3</f>
        <v>0</v>
      </c>
      <c r="AC18" s="12">
        <f>TRANSICAO!$AC$18*CUSTOS!$T$3</f>
        <v>376.21820000000002</v>
      </c>
      <c r="AD18" s="12">
        <f>TRANSICAO!$AD$18*CUSTOS!$T$3</f>
        <v>0</v>
      </c>
      <c r="AE18" s="12">
        <v>0</v>
      </c>
      <c r="AF18" s="12">
        <v>0</v>
      </c>
      <c r="AG18" s="12"/>
      <c r="AH18" s="12">
        <v>26.082699999999999</v>
      </c>
      <c r="AI18" s="12">
        <v>0</v>
      </c>
      <c r="AJ18" s="12">
        <f ca="1">$N$64</f>
        <v>0</v>
      </c>
      <c r="AK18" s="12">
        <f t="shared" ca="1" si="0"/>
        <v>0</v>
      </c>
      <c r="AL18" s="12"/>
      <c r="AM18" s="12"/>
      <c r="AP18" s="12">
        <v>1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17" t="s">
        <v>73</v>
      </c>
      <c r="H19" s="17" t="s">
        <v>71</v>
      </c>
      <c r="I19" s="17">
        <f>'MERCADO TUSD'!$U$16</f>
        <v>0</v>
      </c>
      <c r="J19" s="15"/>
      <c r="L19" s="12">
        <f>1</f>
        <v>1</v>
      </c>
      <c r="M19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2.4784110129770376</v>
      </c>
      <c r="N19" s="12">
        <f ca="1">(+M19+O19+R19+U19+V19+W19+X19+Y19+Z19+AA19+AC19+AH19+AI19+AJ19+AK19)*CUSTOS!$M$5</f>
        <v>1.5608021101297703E-12</v>
      </c>
      <c r="O19" s="12">
        <v>1</v>
      </c>
      <c r="P19" s="12">
        <v>1</v>
      </c>
      <c r="Q19" s="12">
        <f>1</f>
        <v>1</v>
      </c>
      <c r="R19" s="12">
        <v>1</v>
      </c>
      <c r="S19" s="12">
        <v>1</v>
      </c>
      <c r="T19" s="12"/>
      <c r="U19" s="12">
        <f>TRANSICAO!$U$19*CUSTOS!$T$3</f>
        <v>0</v>
      </c>
      <c r="V19" s="12">
        <f>TRANSICAO!$V$19*CUSTOS!$T$3</f>
        <v>0</v>
      </c>
      <c r="W19" s="12">
        <f>TRANSICAO!$W$19*CUSTOS!$T$3</f>
        <v>0</v>
      </c>
      <c r="X19" s="12">
        <f>TRANSICAO!$X$19*CUSTOS!$T$3</f>
        <v>0</v>
      </c>
      <c r="Y19" s="12">
        <f>TRANSICAO!$Y$19*CUSTOS!$T$3</f>
        <v>0.11310000000000001</v>
      </c>
      <c r="Z19" s="12">
        <f>TRANSICAO!$Z$19*CUSTOS!$T$3</f>
        <v>0</v>
      </c>
      <c r="AA19" s="12">
        <f>TRANSICAO!$AA$19*CUSTOS!$T$3</f>
        <v>0</v>
      </c>
      <c r="AB19" s="12">
        <f>TRANSICAO!$AB$19*CUSTOS!$T$3</f>
        <v>0</v>
      </c>
      <c r="AC19" s="12">
        <f>TRANSICAO!$AC$19*CUSTOS!$T$3</f>
        <v>125.40600000000001</v>
      </c>
      <c r="AD19" s="12">
        <f>TRANSICAO!$AD$19*CUSTOS!$T$3</f>
        <v>0</v>
      </c>
      <c r="AE19" s="12">
        <v>0</v>
      </c>
      <c r="AF19" s="12">
        <v>0</v>
      </c>
      <c r="AG19" s="12"/>
      <c r="AH19" s="12">
        <v>26.082699999999999</v>
      </c>
      <c r="AI19" s="12">
        <v>0</v>
      </c>
      <c r="AJ19" s="12">
        <f ca="1">$N$64</f>
        <v>0</v>
      </c>
      <c r="AK19" s="12">
        <f t="shared" ca="1" si="0"/>
        <v>0</v>
      </c>
      <c r="AL19" s="12"/>
      <c r="AM19" s="12"/>
      <c r="AP19" s="12">
        <v>1</v>
      </c>
    </row>
    <row r="20" spans="1:42" ht="11.25" customHeight="1" x14ac:dyDescent="0.25">
      <c r="A20" s="102"/>
      <c r="B20" s="102" t="s">
        <v>23</v>
      </c>
      <c r="C20" s="102" t="s">
        <v>24</v>
      </c>
      <c r="D20" s="18" t="s">
        <v>24</v>
      </c>
      <c r="E20" s="18" t="s">
        <v>25</v>
      </c>
      <c r="F20" s="18" t="s">
        <v>25</v>
      </c>
      <c r="G20" s="17" t="s">
        <v>77</v>
      </c>
      <c r="H20" s="17" t="s">
        <v>71</v>
      </c>
      <c r="I20" s="17">
        <f>'MERCADO TUSD'!$U$17</f>
        <v>13817.398000000001</v>
      </c>
      <c r="J20" s="15"/>
      <c r="L20" s="12">
        <f>1</f>
        <v>1</v>
      </c>
      <c r="M20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2.4784110129770376</v>
      </c>
      <c r="N20" s="12">
        <f ca="1">(+M20+O20+R20+U20+V20+W20+X20+Y20+Z20+AA20+AC20+AH20+AI20+AJ20+AK20)*CUSTOS!$M$5</f>
        <v>2.8159931101297707E-12</v>
      </c>
      <c r="O20" s="12">
        <v>1</v>
      </c>
      <c r="P20" s="12">
        <v>1</v>
      </c>
      <c r="Q20" s="12">
        <f>1</f>
        <v>1</v>
      </c>
      <c r="R20" s="12">
        <v>1</v>
      </c>
      <c r="S20" s="12">
        <v>1</v>
      </c>
      <c r="T20" s="12"/>
      <c r="U20" s="12">
        <f>TRANSICAO!$U$20*CUSTOS!$T$3</f>
        <v>0</v>
      </c>
      <c r="V20" s="12">
        <f>TRANSICAO!$V$20*CUSTOS!$T$3</f>
        <v>0</v>
      </c>
      <c r="W20" s="12">
        <f>TRANSICAO!$W$20*CUSTOS!$T$3</f>
        <v>0</v>
      </c>
      <c r="X20" s="12">
        <f>TRANSICAO!$X$20*CUSTOS!$T$3</f>
        <v>0</v>
      </c>
      <c r="Y20" s="12">
        <f>TRANSICAO!$Y$20*CUSTOS!$T$3</f>
        <v>0.22620000000000001</v>
      </c>
      <c r="Z20" s="12">
        <f>TRANSICAO!$Z$20*CUSTOS!$T$3</f>
        <v>0</v>
      </c>
      <c r="AA20" s="12">
        <f>TRANSICAO!$AA$20*CUSTOS!$T$3</f>
        <v>0</v>
      </c>
      <c r="AB20" s="12">
        <f>TRANSICAO!$AB$20*CUSTOS!$T$3</f>
        <v>0</v>
      </c>
      <c r="AC20" s="12">
        <f>TRANSICAO!$AC$20*CUSTOS!$T$3</f>
        <v>250.81200000000001</v>
      </c>
      <c r="AD20" s="12">
        <f>TRANSICAO!$AD$20*CUSTOS!$T$3</f>
        <v>0</v>
      </c>
      <c r="AE20" s="12">
        <v>0</v>
      </c>
      <c r="AF20" s="12">
        <v>0</v>
      </c>
      <c r="AG20" s="12"/>
      <c r="AH20" s="12">
        <v>26.082699999999999</v>
      </c>
      <c r="AI20" s="12">
        <v>0</v>
      </c>
      <c r="AJ20" s="12">
        <f ca="1">$N$64</f>
        <v>0</v>
      </c>
      <c r="AK20" s="12">
        <f t="shared" ca="1" si="0"/>
        <v>0</v>
      </c>
      <c r="AL20" s="12"/>
      <c r="AM20" s="12"/>
      <c r="AP20" s="12">
        <v>1</v>
      </c>
    </row>
    <row r="21" spans="1:42" ht="11.25" customHeight="1" x14ac:dyDescent="0.25">
      <c r="A21" s="102"/>
      <c r="B21" s="102"/>
      <c r="C21" s="102"/>
      <c r="D21" s="18" t="s">
        <v>29</v>
      </c>
      <c r="E21" s="18" t="s">
        <v>25</v>
      </c>
      <c r="F21" s="18" t="s">
        <v>25</v>
      </c>
      <c r="G21" s="17" t="s">
        <v>77</v>
      </c>
      <c r="H21" s="17" t="s">
        <v>71</v>
      </c>
      <c r="I21" s="17">
        <f>'MERCADO TUSD'!$U$18</f>
        <v>152.22200000000001</v>
      </c>
      <c r="J21" s="15"/>
      <c r="L21" s="12">
        <v>0</v>
      </c>
      <c r="M21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2.4784110129770376</v>
      </c>
      <c r="N21" s="12">
        <f ca="1">(+M21+O21+R21+U21+V21+W21+X21+Y21+Z21+AA21+AC21+AH21+AI21+AJ21+AK21)*CUSTOS!$M$5</f>
        <v>2.8059931101297705E-12</v>
      </c>
      <c r="O21" s="12">
        <f>1 - CUSTOS!$M$24</f>
        <v>1</v>
      </c>
      <c r="P21" s="12">
        <v>0</v>
      </c>
      <c r="Q21" s="12">
        <v>0</v>
      </c>
      <c r="R21" s="12">
        <v>0</v>
      </c>
      <c r="S21" s="12">
        <f>1 - CUSTOS!$M$24</f>
        <v>1</v>
      </c>
      <c r="T21" s="12"/>
      <c r="U21" s="12">
        <f>TRANSICAO!$U$21*CUSTOS!$T$3</f>
        <v>0</v>
      </c>
      <c r="V21" s="12">
        <f>TRANSICAO!$V$21*CUSTOS!$T$3</f>
        <v>0</v>
      </c>
      <c r="W21" s="12">
        <f>TRANSICAO!$W$21*CUSTOS!$T$3</f>
        <v>0</v>
      </c>
      <c r="X21" s="12">
        <f>TRANSICAO!$X$21*CUSTOS!$T$3</f>
        <v>0</v>
      </c>
      <c r="Y21" s="12">
        <f>TRANSICAO!$Y$21*CUSTOS!$T$3</f>
        <v>0.22620000000000001</v>
      </c>
      <c r="Z21" s="12">
        <f>TRANSICAO!$Z$21*CUSTOS!$T$3</f>
        <v>0</v>
      </c>
      <c r="AA21" s="12">
        <f>TRANSICAO!$AA$21*CUSTOS!$T$3</f>
        <v>0</v>
      </c>
      <c r="AB21" s="12">
        <f>TRANSICAO!$AB$21*CUSTOS!$T$3</f>
        <v>0</v>
      </c>
      <c r="AC21" s="12">
        <f>TRANSICAO!$AC$21*CUSTOS!$T$3</f>
        <v>250.81200000000001</v>
      </c>
      <c r="AD21" s="12">
        <f>TRANSICAO!$AD$21*CUSTOS!$T$3</f>
        <v>0</v>
      </c>
      <c r="AE21" s="12">
        <v>0</v>
      </c>
      <c r="AF21" s="12">
        <v>0</v>
      </c>
      <c r="AG21" s="12"/>
      <c r="AH21" s="12">
        <f>(1 - CUSTOS!$M$24)*26.0827</f>
        <v>26.082699999999999</v>
      </c>
      <c r="AI21" s="12">
        <v>0</v>
      </c>
      <c r="AJ21" s="12">
        <f ca="1">$N$64*(1-CUSTOS!$M$24)</f>
        <v>0</v>
      </c>
      <c r="AK21" s="12">
        <f t="shared" ca="1" si="0"/>
        <v>0</v>
      </c>
      <c r="AL21" s="12"/>
      <c r="AM21" s="12"/>
      <c r="AP21" s="12">
        <f>IF((1 - CUSTOS!$M$24)&lt;&gt;0,1/(1 - CUSTOS!$M$24),1)</f>
        <v>1</v>
      </c>
    </row>
    <row r="22" spans="1:42" ht="11.25" customHeight="1" x14ac:dyDescent="0.25">
      <c r="A22" s="102"/>
      <c r="B22" s="102"/>
      <c r="C22" s="102"/>
      <c r="D22" s="18" t="s">
        <v>30</v>
      </c>
      <c r="E22" s="18" t="s">
        <v>25</v>
      </c>
      <c r="F22" s="18" t="s">
        <v>25</v>
      </c>
      <c r="G22" s="17" t="s">
        <v>77</v>
      </c>
      <c r="H22" s="17" t="s">
        <v>71</v>
      </c>
      <c r="I22" s="17">
        <f>'MERCADO TUSD'!$U$19</f>
        <v>271.62199999999996</v>
      </c>
      <c r="J22" s="15"/>
      <c r="L22" s="12">
        <v>0</v>
      </c>
      <c r="M22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2.4784110129770376</v>
      </c>
      <c r="N22" s="12">
        <f ca="1">(+M22+O22+R22+U22+V22+W22+X22+Y22+Z22+AA22+AC22+AH22+AI22+AJ22+AK22)*CUSTOS!$M$5</f>
        <v>2.8059931101297705E-12</v>
      </c>
      <c r="O22" s="12">
        <f>1 - CUSTOS!$M$25</f>
        <v>1</v>
      </c>
      <c r="P22" s="12">
        <v>0</v>
      </c>
      <c r="Q22" s="12">
        <v>0</v>
      </c>
      <c r="R22" s="12">
        <v>0</v>
      </c>
      <c r="S22" s="12">
        <f>1 - CUSTOS!$M$25</f>
        <v>1</v>
      </c>
      <c r="T22" s="12"/>
      <c r="U22" s="12">
        <f>TRANSICAO!$U$22*CUSTOS!$T$3</f>
        <v>0</v>
      </c>
      <c r="V22" s="12">
        <f>TRANSICAO!$V$22*CUSTOS!$T$3</f>
        <v>0</v>
      </c>
      <c r="W22" s="12">
        <f>TRANSICAO!$W$22*CUSTOS!$T$3</f>
        <v>0</v>
      </c>
      <c r="X22" s="12">
        <f>TRANSICAO!$X$22*CUSTOS!$T$3</f>
        <v>0</v>
      </c>
      <c r="Y22" s="12">
        <f>TRANSICAO!$Y$22*CUSTOS!$T$3</f>
        <v>0.22620000000000001</v>
      </c>
      <c r="Z22" s="12">
        <f>TRANSICAO!$Z$22*CUSTOS!$T$3</f>
        <v>0</v>
      </c>
      <c r="AA22" s="12">
        <f>TRANSICAO!$AA$22*CUSTOS!$T$3</f>
        <v>0</v>
      </c>
      <c r="AB22" s="12">
        <f>TRANSICAO!$AB$22*CUSTOS!$T$3</f>
        <v>0</v>
      </c>
      <c r="AC22" s="12">
        <f>TRANSICAO!$AC$22*CUSTOS!$T$3</f>
        <v>250.81200000000001</v>
      </c>
      <c r="AD22" s="12">
        <f>TRANSICAO!$AD$22*CUSTOS!$T$3</f>
        <v>0</v>
      </c>
      <c r="AE22" s="12">
        <v>0</v>
      </c>
      <c r="AF22" s="12">
        <v>0</v>
      </c>
      <c r="AG22" s="12"/>
      <c r="AH22" s="12">
        <f>(1 - CUSTOS!$M$25)*26.0827</f>
        <v>26.082699999999999</v>
      </c>
      <c r="AI22" s="12">
        <v>0</v>
      </c>
      <c r="AJ22" s="12">
        <f ca="1">$N$64*(1-CUSTOS!$M$25)</f>
        <v>0</v>
      </c>
      <c r="AK22" s="12">
        <f t="shared" ca="1" si="0"/>
        <v>0</v>
      </c>
      <c r="AL22" s="12"/>
      <c r="AM22" s="12"/>
      <c r="AP22" s="12">
        <f>IF((1 - CUSTOS!$M$25)&lt;&gt;0,1/(1 - CUSTOS!$M$25),1)</f>
        <v>1</v>
      </c>
    </row>
    <row r="23" spans="1:42" ht="11.25" customHeight="1" x14ac:dyDescent="0.25">
      <c r="A23" s="102"/>
      <c r="B23" s="102"/>
      <c r="C23" s="102"/>
      <c r="D23" s="18" t="s">
        <v>31</v>
      </c>
      <c r="E23" s="18" t="s">
        <v>25</v>
      </c>
      <c r="F23" s="18" t="s">
        <v>25</v>
      </c>
      <c r="G23" s="17" t="s">
        <v>77</v>
      </c>
      <c r="H23" s="17" t="s">
        <v>71</v>
      </c>
      <c r="I23" s="17">
        <f>'MERCADO TUSD'!$U$20</f>
        <v>195.72200000000001</v>
      </c>
      <c r="J23" s="15"/>
      <c r="L23" s="12">
        <v>0</v>
      </c>
      <c r="M23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2.4784110129770376</v>
      </c>
      <c r="N23" s="12">
        <f ca="1">(+M23+O23+R23+U23+V23+W23+X23+Y23+Z23+AA23+AC23+AH23+AI23+AJ23+AK23)*CUSTOS!$M$5</f>
        <v>2.8059931101297705E-12</v>
      </c>
      <c r="O23" s="12">
        <f>1 - CUSTOS!$M$26</f>
        <v>1</v>
      </c>
      <c r="P23" s="12">
        <v>0</v>
      </c>
      <c r="Q23" s="12">
        <v>0</v>
      </c>
      <c r="R23" s="12">
        <v>0</v>
      </c>
      <c r="S23" s="12">
        <f>1 - CUSTOS!$M$26</f>
        <v>1</v>
      </c>
      <c r="T23" s="12"/>
      <c r="U23" s="12">
        <f>TRANSICAO!$U$23*CUSTOS!$T$3</f>
        <v>0</v>
      </c>
      <c r="V23" s="12">
        <f>TRANSICAO!$V$23*CUSTOS!$T$3</f>
        <v>0</v>
      </c>
      <c r="W23" s="12">
        <f>TRANSICAO!$W$23*CUSTOS!$T$3</f>
        <v>0</v>
      </c>
      <c r="X23" s="12">
        <f>TRANSICAO!$X$23*CUSTOS!$T$3</f>
        <v>0</v>
      </c>
      <c r="Y23" s="12">
        <f>TRANSICAO!$Y$23*CUSTOS!$T$3</f>
        <v>0.22620000000000001</v>
      </c>
      <c r="Z23" s="12">
        <f>TRANSICAO!$Z$23*CUSTOS!$T$3</f>
        <v>0</v>
      </c>
      <c r="AA23" s="12">
        <f>TRANSICAO!$AA$23*CUSTOS!$T$3</f>
        <v>0</v>
      </c>
      <c r="AB23" s="12">
        <f>TRANSICAO!$AB$23*CUSTOS!$T$3</f>
        <v>0</v>
      </c>
      <c r="AC23" s="12">
        <f>TRANSICAO!$AC$23*CUSTOS!$T$3</f>
        <v>250.81200000000001</v>
      </c>
      <c r="AD23" s="12">
        <f>TRANSICAO!$AD$23*CUSTOS!$T$3</f>
        <v>0</v>
      </c>
      <c r="AE23" s="12">
        <v>0</v>
      </c>
      <c r="AF23" s="12">
        <v>0</v>
      </c>
      <c r="AG23" s="12"/>
      <c r="AH23" s="12">
        <f>(1 - CUSTOS!$M$26)*26.0827</f>
        <v>26.082699999999999</v>
      </c>
      <c r="AI23" s="12">
        <v>0</v>
      </c>
      <c r="AJ23" s="12">
        <f ca="1">$N$64*(1-CUSTOS!$M$26)</f>
        <v>0</v>
      </c>
      <c r="AK23" s="12">
        <f t="shared" ca="1" si="0"/>
        <v>0</v>
      </c>
      <c r="AL23" s="12"/>
      <c r="AM23" s="12"/>
      <c r="AP23" s="12">
        <f>IF((1 - CUSTOS!$M$26)&lt;&gt;0,1/(1 - CUSTOS!$M$26),1)</f>
        <v>1</v>
      </c>
    </row>
    <row r="24" spans="1:42" ht="11.25" customHeight="1" x14ac:dyDescent="0.25">
      <c r="A24" s="102"/>
      <c r="B24" s="102"/>
      <c r="C24" s="102"/>
      <c r="D24" s="18" t="s">
        <v>32</v>
      </c>
      <c r="E24" s="18" t="s">
        <v>25</v>
      </c>
      <c r="F24" s="18" t="s">
        <v>25</v>
      </c>
      <c r="G24" s="17" t="s">
        <v>77</v>
      </c>
      <c r="H24" s="17" t="s">
        <v>71</v>
      </c>
      <c r="I24" s="17">
        <f>'MERCADO TUSD'!$U$21</f>
        <v>56.320999999999998</v>
      </c>
      <c r="J24" s="15"/>
      <c r="L24" s="12">
        <v>0</v>
      </c>
      <c r="M24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2.4784110129770376</v>
      </c>
      <c r="N24" s="12">
        <f ca="1">(+M24+O24+R24+U24+V24+W24+X24+Y24+Z24+AA24+AC24+AH24+AI24+AJ24+AK24)*CUSTOS!$M$5</f>
        <v>2.8059931101297705E-12</v>
      </c>
      <c r="O24" s="12">
        <f>1 - CUSTOS!$M$27</f>
        <v>1</v>
      </c>
      <c r="P24" s="12">
        <v>0</v>
      </c>
      <c r="Q24" s="12">
        <v>0</v>
      </c>
      <c r="R24" s="12">
        <v>0</v>
      </c>
      <c r="S24" s="12">
        <f>1 - CUSTOS!$M$27</f>
        <v>1</v>
      </c>
      <c r="T24" s="12"/>
      <c r="U24" s="12">
        <f>TRANSICAO!$U$24*CUSTOS!$T$3</f>
        <v>0</v>
      </c>
      <c r="V24" s="12">
        <f>TRANSICAO!$V$24*CUSTOS!$T$3</f>
        <v>0</v>
      </c>
      <c r="W24" s="12">
        <f>TRANSICAO!$W$24*CUSTOS!$T$3</f>
        <v>0</v>
      </c>
      <c r="X24" s="12">
        <f>TRANSICAO!$X$24*CUSTOS!$T$3</f>
        <v>0</v>
      </c>
      <c r="Y24" s="12">
        <f>TRANSICAO!$Y$24*CUSTOS!$T$3</f>
        <v>0.22620000000000001</v>
      </c>
      <c r="Z24" s="12">
        <f>TRANSICAO!$Z$24*CUSTOS!$T$3</f>
        <v>0</v>
      </c>
      <c r="AA24" s="12">
        <f>TRANSICAO!$AA$24*CUSTOS!$T$3</f>
        <v>0</v>
      </c>
      <c r="AB24" s="12">
        <f>TRANSICAO!$AB$24*CUSTOS!$T$3</f>
        <v>0</v>
      </c>
      <c r="AC24" s="12">
        <f>TRANSICAO!$AC$24*CUSTOS!$T$3</f>
        <v>250.81200000000001</v>
      </c>
      <c r="AD24" s="12">
        <f>TRANSICAO!$AD$24*CUSTOS!$T$3</f>
        <v>0</v>
      </c>
      <c r="AE24" s="12">
        <v>0</v>
      </c>
      <c r="AF24" s="12">
        <v>0</v>
      </c>
      <c r="AG24" s="12"/>
      <c r="AH24" s="12">
        <f>(1 - CUSTOS!$M$27)*26.0827</f>
        <v>26.082699999999999</v>
      </c>
      <c r="AI24" s="12">
        <v>0</v>
      </c>
      <c r="AJ24" s="12">
        <f ca="1">$N$64*(1-CUSTOS!$M$27)</f>
        <v>0</v>
      </c>
      <c r="AK24" s="12">
        <f t="shared" ca="1" si="0"/>
        <v>0</v>
      </c>
      <c r="AL24" s="12"/>
      <c r="AM24" s="12"/>
      <c r="AP24" s="12">
        <f>IF((1 - CUSTOS!$M$27)&lt;&gt;0,1/(1 - CUSTOS!$M$27),1)</f>
        <v>1</v>
      </c>
    </row>
    <row r="25" spans="1:42" ht="11.25" customHeight="1" x14ac:dyDescent="0.25">
      <c r="A25" s="102"/>
      <c r="B25" s="102" t="s">
        <v>87</v>
      </c>
      <c r="C25" s="102" t="s">
        <v>24</v>
      </c>
      <c r="D25" s="18" t="s">
        <v>24</v>
      </c>
      <c r="E25" s="18" t="s">
        <v>25</v>
      </c>
      <c r="F25" s="18" t="s">
        <v>25</v>
      </c>
      <c r="G25" s="17" t="s">
        <v>77</v>
      </c>
      <c r="H25" s="17" t="s">
        <v>71</v>
      </c>
      <c r="I25" s="17">
        <f>'MERCADO TUSD'!$U$22</f>
        <v>0</v>
      </c>
      <c r="J25" s="15"/>
      <c r="L25" s="12">
        <f>1</f>
        <v>1</v>
      </c>
      <c r="M25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2.4784110129770376</v>
      </c>
      <c r="N25" s="12">
        <f ca="1">(+M25+O25+R25+U25+V25+W25+X25+Y25+Z25+AA25+AC25+AH25+AI25+AJ25+AK25)*CUSTOS!$M$5</f>
        <v>2.8159931101297707E-12</v>
      </c>
      <c r="O25" s="12">
        <v>1</v>
      </c>
      <c r="P25" s="12">
        <v>1</v>
      </c>
      <c r="Q25" s="12">
        <f>1</f>
        <v>1</v>
      </c>
      <c r="R25" s="12">
        <v>1</v>
      </c>
      <c r="S25" s="12">
        <v>1</v>
      </c>
      <c r="T25" s="12"/>
      <c r="U25" s="12">
        <f>TRANSICAO!$U$25*CUSTOS!$T$3</f>
        <v>0</v>
      </c>
      <c r="V25" s="12">
        <f>TRANSICAO!$V$25*CUSTOS!$T$3</f>
        <v>0</v>
      </c>
      <c r="W25" s="12">
        <f>TRANSICAO!$W$25*CUSTOS!$T$3</f>
        <v>0</v>
      </c>
      <c r="X25" s="12">
        <f>TRANSICAO!$X$25*CUSTOS!$T$3</f>
        <v>0</v>
      </c>
      <c r="Y25" s="12">
        <f>TRANSICAO!$Y$25*CUSTOS!$T$3</f>
        <v>0.22620000000000001</v>
      </c>
      <c r="Z25" s="12">
        <f>TRANSICAO!$Z$25*CUSTOS!$T$3</f>
        <v>0</v>
      </c>
      <c r="AA25" s="12">
        <f>TRANSICAO!$AA$25*CUSTOS!$T$3</f>
        <v>0</v>
      </c>
      <c r="AB25" s="12">
        <f>TRANSICAO!$AB$25*CUSTOS!$T$3</f>
        <v>0</v>
      </c>
      <c r="AC25" s="12">
        <f>TRANSICAO!$AC$25*CUSTOS!$T$3</f>
        <v>250.81200000000001</v>
      </c>
      <c r="AD25" s="12">
        <f>TRANSICAO!$AD$25*CUSTOS!$T$3</f>
        <v>0</v>
      </c>
      <c r="AE25" s="12">
        <v>0</v>
      </c>
      <c r="AF25" s="12">
        <v>0</v>
      </c>
      <c r="AG25" s="12"/>
      <c r="AH25" s="12">
        <v>26.082699999999999</v>
      </c>
      <c r="AI25" s="12">
        <v>0</v>
      </c>
      <c r="AJ25" s="12">
        <f ca="1">$N$64</f>
        <v>0</v>
      </c>
      <c r="AK25" s="12">
        <f t="shared" ca="1" si="0"/>
        <v>0</v>
      </c>
      <c r="AL25" s="12"/>
      <c r="AM25" s="12"/>
      <c r="AP25" s="12">
        <v>1</v>
      </c>
    </row>
    <row r="26" spans="1:42" ht="11.25" customHeight="1" x14ac:dyDescent="0.25">
      <c r="A26" s="102"/>
      <c r="B26" s="102"/>
      <c r="C26" s="102"/>
      <c r="D26" s="18" t="s">
        <v>29</v>
      </c>
      <c r="E26" s="18" t="s">
        <v>25</v>
      </c>
      <c r="F26" s="18" t="s">
        <v>25</v>
      </c>
      <c r="G26" s="17" t="s">
        <v>77</v>
      </c>
      <c r="H26" s="17" t="s">
        <v>71</v>
      </c>
      <c r="I26" s="17">
        <f>'MERCADO TUSD'!$U$23</f>
        <v>0</v>
      </c>
      <c r="J26" s="15"/>
      <c r="L26" s="12">
        <v>0</v>
      </c>
      <c r="M26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2.4784110129770376</v>
      </c>
      <c r="N26" s="12">
        <f ca="1">(+M26+O26+R26+U26+V26+W26+X26+Y26+Z26+AA26+AC26+AH26+AI26+AJ26+AK26)*CUSTOS!$M$5</f>
        <v>2.8059931101297705E-12</v>
      </c>
      <c r="O26" s="12">
        <f>1 - CUSTOS!$M$24</f>
        <v>1</v>
      </c>
      <c r="P26" s="12">
        <v>0</v>
      </c>
      <c r="Q26" s="12">
        <v>0</v>
      </c>
      <c r="R26" s="12">
        <v>0</v>
      </c>
      <c r="S26" s="12">
        <f>1 - CUSTOS!$M$24</f>
        <v>1</v>
      </c>
      <c r="T26" s="12"/>
      <c r="U26" s="12">
        <f>TRANSICAO!$U$26*CUSTOS!$T$3</f>
        <v>0</v>
      </c>
      <c r="V26" s="12">
        <f>TRANSICAO!$V$26*CUSTOS!$T$3</f>
        <v>0</v>
      </c>
      <c r="W26" s="12">
        <f>TRANSICAO!$W$26*CUSTOS!$T$3</f>
        <v>0</v>
      </c>
      <c r="X26" s="12">
        <f>TRANSICAO!$X$26*CUSTOS!$T$3</f>
        <v>0</v>
      </c>
      <c r="Y26" s="12">
        <f>TRANSICAO!$Y$26*CUSTOS!$T$3</f>
        <v>0.22620000000000001</v>
      </c>
      <c r="Z26" s="12">
        <f>TRANSICAO!$Z$26*CUSTOS!$T$3</f>
        <v>0</v>
      </c>
      <c r="AA26" s="12">
        <f>TRANSICAO!$AA$26*CUSTOS!$T$3</f>
        <v>0</v>
      </c>
      <c r="AB26" s="12">
        <f>TRANSICAO!$AB$26*CUSTOS!$T$3</f>
        <v>0</v>
      </c>
      <c r="AC26" s="12">
        <f>TRANSICAO!$AC$26*CUSTOS!$T$3</f>
        <v>250.81200000000001</v>
      </c>
      <c r="AD26" s="12">
        <f>TRANSICAO!$AD$26*CUSTOS!$T$3</f>
        <v>0</v>
      </c>
      <c r="AE26" s="12">
        <v>0</v>
      </c>
      <c r="AF26" s="12">
        <v>0</v>
      </c>
      <c r="AG26" s="12"/>
      <c r="AH26" s="12">
        <f>(1 - CUSTOS!$M$24)*26.0827</f>
        <v>26.082699999999999</v>
      </c>
      <c r="AI26" s="12">
        <v>0</v>
      </c>
      <c r="AJ26" s="12">
        <f ca="1">$N$64*(1-CUSTOS!$M$24)</f>
        <v>0</v>
      </c>
      <c r="AK26" s="12">
        <f t="shared" ca="1" si="0"/>
        <v>0</v>
      </c>
      <c r="AL26" s="12"/>
      <c r="AM26" s="12"/>
      <c r="AP26" s="12">
        <f>IF((1 - CUSTOS!$M$24)&lt;&gt;0,1/(1 - CUSTOS!$M$24),1)</f>
        <v>1</v>
      </c>
    </row>
    <row r="27" spans="1:42" ht="11.25" customHeight="1" x14ac:dyDescent="0.25">
      <c r="A27" s="102"/>
      <c r="B27" s="102"/>
      <c r="C27" s="102"/>
      <c r="D27" s="18" t="s">
        <v>30</v>
      </c>
      <c r="E27" s="18" t="s">
        <v>25</v>
      </c>
      <c r="F27" s="18" t="s">
        <v>25</v>
      </c>
      <c r="G27" s="17" t="s">
        <v>77</v>
      </c>
      <c r="H27" s="17" t="s">
        <v>71</v>
      </c>
      <c r="I27" s="17">
        <f>'MERCADO TUSD'!$U$24</f>
        <v>0</v>
      </c>
      <c r="J27" s="15"/>
      <c r="L27" s="12">
        <v>0</v>
      </c>
      <c r="M27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2.4784110129770376</v>
      </c>
      <c r="N27" s="12">
        <f ca="1">(+M27+O27+R27+U27+V27+W27+X27+Y27+Z27+AA27+AC27+AH27+AI27+AJ27+AK27)*CUSTOS!$M$5</f>
        <v>2.8059931101297705E-12</v>
      </c>
      <c r="O27" s="12">
        <f>1 - CUSTOS!$M$25</f>
        <v>1</v>
      </c>
      <c r="P27" s="12">
        <v>0</v>
      </c>
      <c r="Q27" s="12">
        <v>0</v>
      </c>
      <c r="R27" s="12">
        <v>0</v>
      </c>
      <c r="S27" s="12">
        <f>1 - CUSTOS!$M$25</f>
        <v>1</v>
      </c>
      <c r="T27" s="12"/>
      <c r="U27" s="12">
        <f>TRANSICAO!$U$27*CUSTOS!$T$3</f>
        <v>0</v>
      </c>
      <c r="V27" s="12">
        <f>TRANSICAO!$V$27*CUSTOS!$T$3</f>
        <v>0</v>
      </c>
      <c r="W27" s="12">
        <f>TRANSICAO!$W$27*CUSTOS!$T$3</f>
        <v>0</v>
      </c>
      <c r="X27" s="12">
        <f>TRANSICAO!$X$27*CUSTOS!$T$3</f>
        <v>0</v>
      </c>
      <c r="Y27" s="12">
        <f>TRANSICAO!$Y$27*CUSTOS!$T$3</f>
        <v>0.22620000000000001</v>
      </c>
      <c r="Z27" s="12">
        <f>TRANSICAO!$Z$27*CUSTOS!$T$3</f>
        <v>0</v>
      </c>
      <c r="AA27" s="12">
        <f>TRANSICAO!$AA$27*CUSTOS!$T$3</f>
        <v>0</v>
      </c>
      <c r="AB27" s="12">
        <f>TRANSICAO!$AB$27*CUSTOS!$T$3</f>
        <v>0</v>
      </c>
      <c r="AC27" s="12">
        <f>TRANSICAO!$AC$27*CUSTOS!$T$3</f>
        <v>250.81200000000001</v>
      </c>
      <c r="AD27" s="12">
        <f>TRANSICAO!$AD$27*CUSTOS!$T$3</f>
        <v>0</v>
      </c>
      <c r="AE27" s="12">
        <v>0</v>
      </c>
      <c r="AF27" s="12">
        <v>0</v>
      </c>
      <c r="AG27" s="12"/>
      <c r="AH27" s="12">
        <f>(1 - CUSTOS!$M$25)*26.0827</f>
        <v>26.082699999999999</v>
      </c>
      <c r="AI27" s="12">
        <v>0</v>
      </c>
      <c r="AJ27" s="12">
        <f ca="1">$N$64*(1-CUSTOS!$M$25)</f>
        <v>0</v>
      </c>
      <c r="AK27" s="12">
        <f t="shared" ca="1" si="0"/>
        <v>0</v>
      </c>
      <c r="AL27" s="12"/>
      <c r="AM27" s="12"/>
      <c r="AP27" s="12">
        <f>IF((1 - CUSTOS!$M$25)&lt;&gt;0,1/(1 - CUSTOS!$M$25),1)</f>
        <v>1</v>
      </c>
    </row>
    <row r="28" spans="1:42" ht="11.25" customHeight="1" x14ac:dyDescent="0.25">
      <c r="A28" s="102"/>
      <c r="B28" s="102"/>
      <c r="C28" s="102"/>
      <c r="D28" s="18" t="s">
        <v>31</v>
      </c>
      <c r="E28" s="18" t="s">
        <v>25</v>
      </c>
      <c r="F28" s="18" t="s">
        <v>25</v>
      </c>
      <c r="G28" s="17" t="s">
        <v>77</v>
      </c>
      <c r="H28" s="17" t="s">
        <v>71</v>
      </c>
      <c r="I28" s="17">
        <f>'MERCADO TUSD'!$U$25</f>
        <v>0</v>
      </c>
      <c r="J28" s="15"/>
      <c r="L28" s="12">
        <v>0</v>
      </c>
      <c r="M28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2.4784110129770376</v>
      </c>
      <c r="N28" s="12">
        <f ca="1">(+M28+O28+R28+U28+V28+W28+X28+Y28+Z28+AA28+AC28+AH28+AI28+AJ28+AK28)*CUSTOS!$M$5</f>
        <v>2.8059931101297705E-12</v>
      </c>
      <c r="O28" s="12">
        <f>1 - CUSTOS!$M$26</f>
        <v>1</v>
      </c>
      <c r="P28" s="12">
        <v>0</v>
      </c>
      <c r="Q28" s="12">
        <v>0</v>
      </c>
      <c r="R28" s="12">
        <v>0</v>
      </c>
      <c r="S28" s="12">
        <f>1 - CUSTOS!$M$26</f>
        <v>1</v>
      </c>
      <c r="T28" s="12"/>
      <c r="U28" s="12">
        <f>TRANSICAO!$U$28*CUSTOS!$T$3</f>
        <v>0</v>
      </c>
      <c r="V28" s="12">
        <f>TRANSICAO!$V$28*CUSTOS!$T$3</f>
        <v>0</v>
      </c>
      <c r="W28" s="12">
        <f>TRANSICAO!$W$28*CUSTOS!$T$3</f>
        <v>0</v>
      </c>
      <c r="X28" s="12">
        <f>TRANSICAO!$X$28*CUSTOS!$T$3</f>
        <v>0</v>
      </c>
      <c r="Y28" s="12">
        <f>TRANSICAO!$Y$28*CUSTOS!$T$3</f>
        <v>0.22620000000000001</v>
      </c>
      <c r="Z28" s="12">
        <f>TRANSICAO!$Z$28*CUSTOS!$T$3</f>
        <v>0</v>
      </c>
      <c r="AA28" s="12">
        <f>TRANSICAO!$AA$28*CUSTOS!$T$3</f>
        <v>0</v>
      </c>
      <c r="AB28" s="12">
        <f>TRANSICAO!$AB$28*CUSTOS!$T$3</f>
        <v>0</v>
      </c>
      <c r="AC28" s="12">
        <f>TRANSICAO!$AC$28*CUSTOS!$T$3</f>
        <v>250.81200000000001</v>
      </c>
      <c r="AD28" s="12">
        <f>TRANSICAO!$AD$28*CUSTOS!$T$3</f>
        <v>0</v>
      </c>
      <c r="AE28" s="12">
        <v>0</v>
      </c>
      <c r="AF28" s="12">
        <v>0</v>
      </c>
      <c r="AG28" s="12"/>
      <c r="AH28" s="12">
        <f>(1 - CUSTOS!$M$26)*26.0827</f>
        <v>26.082699999999999</v>
      </c>
      <c r="AI28" s="12">
        <v>0</v>
      </c>
      <c r="AJ28" s="12">
        <f ca="1">$N$64*(1-CUSTOS!$M$26)</f>
        <v>0</v>
      </c>
      <c r="AK28" s="12">
        <f t="shared" ca="1" si="0"/>
        <v>0</v>
      </c>
      <c r="AL28" s="12"/>
      <c r="AM28" s="12"/>
      <c r="AP28" s="12">
        <f>IF((1 - CUSTOS!$M$26)&lt;&gt;0,1/(1 - CUSTOS!$M$26),1)</f>
        <v>1</v>
      </c>
    </row>
    <row r="29" spans="1:42" ht="11.25" customHeight="1" x14ac:dyDescent="0.25">
      <c r="A29" s="102"/>
      <c r="B29" s="102"/>
      <c r="C29" s="102"/>
      <c r="D29" s="18" t="s">
        <v>32</v>
      </c>
      <c r="E29" s="18" t="s">
        <v>25</v>
      </c>
      <c r="F29" s="18" t="s">
        <v>25</v>
      </c>
      <c r="G29" s="17" t="s">
        <v>77</v>
      </c>
      <c r="H29" s="17" t="s">
        <v>71</v>
      </c>
      <c r="I29" s="17">
        <f>'MERCADO TUSD'!$U$26</f>
        <v>0</v>
      </c>
      <c r="J29" s="15"/>
      <c r="L29" s="12">
        <v>0</v>
      </c>
      <c r="M29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2.4784110129770376</v>
      </c>
      <c r="N29" s="12">
        <f ca="1">(+M29+O29+R29+U29+V29+W29+X29+Y29+Z29+AA29+AC29+AH29+AI29+AJ29+AK29)*CUSTOS!$M$5</f>
        <v>2.8059931101297705E-12</v>
      </c>
      <c r="O29" s="12">
        <f>1 - CUSTOS!$M$27</f>
        <v>1</v>
      </c>
      <c r="P29" s="12">
        <v>0</v>
      </c>
      <c r="Q29" s="12">
        <v>0</v>
      </c>
      <c r="R29" s="12">
        <v>0</v>
      </c>
      <c r="S29" s="12">
        <f>1 - CUSTOS!$M$27</f>
        <v>1</v>
      </c>
      <c r="T29" s="12"/>
      <c r="U29" s="12">
        <f>TRANSICAO!$U$29*CUSTOS!$T$3</f>
        <v>0</v>
      </c>
      <c r="V29" s="12">
        <f>TRANSICAO!$V$29*CUSTOS!$T$3</f>
        <v>0</v>
      </c>
      <c r="W29" s="12">
        <f>TRANSICAO!$W$29*CUSTOS!$T$3</f>
        <v>0</v>
      </c>
      <c r="X29" s="12">
        <f>TRANSICAO!$X$29*CUSTOS!$T$3</f>
        <v>0</v>
      </c>
      <c r="Y29" s="12">
        <f>TRANSICAO!$Y$29*CUSTOS!$T$3</f>
        <v>0.22620000000000001</v>
      </c>
      <c r="Z29" s="12">
        <f>TRANSICAO!$Z$29*CUSTOS!$T$3</f>
        <v>0</v>
      </c>
      <c r="AA29" s="12">
        <f>TRANSICAO!$AA$29*CUSTOS!$T$3</f>
        <v>0</v>
      </c>
      <c r="AB29" s="12">
        <f>TRANSICAO!$AB$29*CUSTOS!$T$3</f>
        <v>0</v>
      </c>
      <c r="AC29" s="12">
        <f>TRANSICAO!$AC$29*CUSTOS!$T$3</f>
        <v>250.81200000000001</v>
      </c>
      <c r="AD29" s="12">
        <f>TRANSICAO!$AD$29*CUSTOS!$T$3</f>
        <v>0</v>
      </c>
      <c r="AE29" s="12">
        <v>0</v>
      </c>
      <c r="AF29" s="12">
        <v>0</v>
      </c>
      <c r="AG29" s="12"/>
      <c r="AH29" s="12">
        <f>(1 - CUSTOS!$M$27)*26.0827</f>
        <v>26.082699999999999</v>
      </c>
      <c r="AI29" s="12">
        <v>0</v>
      </c>
      <c r="AJ29" s="12">
        <f ca="1">$N$64*(1-CUSTOS!$M$27)</f>
        <v>0</v>
      </c>
      <c r="AK29" s="12">
        <f t="shared" ca="1" si="0"/>
        <v>0</v>
      </c>
      <c r="AL29" s="12"/>
      <c r="AM29" s="12"/>
      <c r="AP29" s="12">
        <f>IF((1 - CUSTOS!$M$27)&lt;&gt;0,1/(1 - CUSTOS!$M$27),1)</f>
        <v>1</v>
      </c>
    </row>
    <row r="30" spans="1:42" ht="11.25" customHeight="1" x14ac:dyDescent="0.25">
      <c r="A30" s="102" t="s">
        <v>40</v>
      </c>
      <c r="B30" s="102" t="s">
        <v>85</v>
      </c>
      <c r="C30" s="102" t="s">
        <v>41</v>
      </c>
      <c r="D30" s="102" t="s">
        <v>25</v>
      </c>
      <c r="E30" s="102" t="s">
        <v>25</v>
      </c>
      <c r="F30" s="102" t="s">
        <v>25</v>
      </c>
      <c r="G30" s="17" t="s">
        <v>72</v>
      </c>
      <c r="H30" s="17" t="s">
        <v>71</v>
      </c>
      <c r="I30" s="17">
        <f>'MERCADO TUSD'!$U$27</f>
        <v>0</v>
      </c>
      <c r="J30" s="15"/>
      <c r="L30" s="12">
        <f>1*(1 - CUSTOS!$M$28)</f>
        <v>1</v>
      </c>
      <c r="M30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2.4784110129770376</v>
      </c>
      <c r="N30" s="12">
        <f ca="1">(+M30+O30+R30+U30+V30+W30+X30+Y30+Z30+AA30+AC30+AH30+AI30+AJ30+AK30)*CUSTOS!$M$5</f>
        <v>6.8326051101297704E-12</v>
      </c>
      <c r="O30" s="12">
        <f>1 - CUSTOS!$M$28</f>
        <v>1</v>
      </c>
      <c r="P30" s="12">
        <f>1 - CUSTOS!$M$28</f>
        <v>1</v>
      </c>
      <c r="Q30" s="12">
        <f>1*(1 - CUSTOS!$M$28)</f>
        <v>1</v>
      </c>
      <c r="R30" s="12">
        <f>1 - CUSTOS!$M$28</f>
        <v>1</v>
      </c>
      <c r="S30" s="12">
        <f>1 - CUSTOS!$M$28</f>
        <v>1</v>
      </c>
      <c r="T30" s="12"/>
      <c r="U30" s="12">
        <f>TRANSICAO!$U$30*CUSTOS!$T$3</f>
        <v>0</v>
      </c>
      <c r="V30" s="12">
        <f>TRANSICAO!$V$30*CUSTOS!$T$3</f>
        <v>0</v>
      </c>
      <c r="W30" s="12">
        <f>TRANSICAO!$W$30*CUSTOS!$T$3</f>
        <v>0</v>
      </c>
      <c r="X30" s="12">
        <f>TRANSICAO!$X$30*CUSTOS!$T$3</f>
        <v>0</v>
      </c>
      <c r="Y30" s="12">
        <f>TRANSICAO!$Y$30*CUSTOS!$T$3</f>
        <v>0.58799999999999997</v>
      </c>
      <c r="Z30" s="12">
        <f>TRANSICAO!$Z$30*CUSTOS!$T$3</f>
        <v>0</v>
      </c>
      <c r="AA30" s="12">
        <f>TRANSICAO!$AA$30*CUSTOS!$T$3</f>
        <v>0</v>
      </c>
      <c r="AB30" s="12">
        <f>TRANSICAO!$AB$30*CUSTOS!$T$3</f>
        <v>0</v>
      </c>
      <c r="AC30" s="12">
        <f>TRANSICAO!$AC$30*CUSTOS!$T$3</f>
        <v>652.1114</v>
      </c>
      <c r="AD30" s="12">
        <f>TRANSICAO!$AD$30*CUSTOS!$T$3</f>
        <v>0</v>
      </c>
      <c r="AE30" s="12">
        <v>0</v>
      </c>
      <c r="AF30" s="12">
        <v>0</v>
      </c>
      <c r="AG30" s="12"/>
      <c r="AH30" s="12">
        <f>(1 - CUSTOS!$M$28)*26.0827</f>
        <v>26.082699999999999</v>
      </c>
      <c r="AI30" s="12">
        <v>0</v>
      </c>
      <c r="AJ30" s="12">
        <f ca="1">$N$64*(1-CUSTOS!$M$28)</f>
        <v>0</v>
      </c>
      <c r="AK30" s="12">
        <f t="shared" ca="1" si="0"/>
        <v>0</v>
      </c>
      <c r="AL30" s="12"/>
      <c r="AM30" s="12"/>
      <c r="AP30" s="12">
        <f>IF((1 - CUSTOS!$M$28)&lt;&gt;0,1/(1 - CUSTOS!$M$28),1)</f>
        <v>1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17" t="s">
        <v>83</v>
      </c>
      <c r="H31" s="17" t="s">
        <v>71</v>
      </c>
      <c r="I31" s="17">
        <f>'MERCADO TUSD'!$U$28</f>
        <v>0</v>
      </c>
      <c r="J31" s="15"/>
      <c r="L31" s="12">
        <f>1*(1 - CUSTOS!$M$28)</f>
        <v>1</v>
      </c>
      <c r="M31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2.4784110129770376</v>
      </c>
      <c r="N31" s="12">
        <f ca="1">(+M31+O31+R31+U31+V31+W31+X31+Y31+Z31+AA31+AC31+AH31+AI31+AJ31+AK31)*CUSTOS!$M$5</f>
        <v>4.2218081101297704E-12</v>
      </c>
      <c r="O31" s="12">
        <f>1 - CUSTOS!$M$28</f>
        <v>1</v>
      </c>
      <c r="P31" s="12">
        <f>1 - CUSTOS!$M$28</f>
        <v>1</v>
      </c>
      <c r="Q31" s="12">
        <f>1*(1 - CUSTOS!$M$28)</f>
        <v>1</v>
      </c>
      <c r="R31" s="12">
        <f>1 - CUSTOS!$M$28</f>
        <v>1</v>
      </c>
      <c r="S31" s="12">
        <f>1 - CUSTOS!$M$28</f>
        <v>1</v>
      </c>
      <c r="T31" s="12"/>
      <c r="U31" s="12">
        <f>TRANSICAO!$U$31*CUSTOS!$T$3</f>
        <v>0</v>
      </c>
      <c r="V31" s="12">
        <f>TRANSICAO!$V$31*CUSTOS!$T$3</f>
        <v>0</v>
      </c>
      <c r="W31" s="12">
        <f>TRANSICAO!$W$31*CUSTOS!$T$3</f>
        <v>0</v>
      </c>
      <c r="X31" s="12">
        <f>TRANSICAO!$X$31*CUSTOS!$T$3</f>
        <v>0</v>
      </c>
      <c r="Y31" s="12">
        <f>TRANSICAO!$Y$31*CUSTOS!$T$3</f>
        <v>0.3528</v>
      </c>
      <c r="Z31" s="12">
        <f>TRANSICAO!$Z$31*CUSTOS!$T$3</f>
        <v>0</v>
      </c>
      <c r="AA31" s="12">
        <f>TRANSICAO!$AA$31*CUSTOS!$T$3</f>
        <v>0</v>
      </c>
      <c r="AB31" s="12">
        <f>TRANSICAO!$AB$31*CUSTOS!$T$3</f>
        <v>0</v>
      </c>
      <c r="AC31" s="12">
        <f>TRANSICAO!$AC$31*CUSTOS!$T$3</f>
        <v>391.26690000000002</v>
      </c>
      <c r="AD31" s="12">
        <f>TRANSICAO!$AD$31*CUSTOS!$T$3</f>
        <v>0</v>
      </c>
      <c r="AE31" s="12">
        <v>0</v>
      </c>
      <c r="AF31" s="12">
        <v>0</v>
      </c>
      <c r="AG31" s="12"/>
      <c r="AH31" s="12">
        <f>(1 - CUSTOS!$M$28)*26.0827</f>
        <v>26.082699999999999</v>
      </c>
      <c r="AI31" s="12">
        <v>0</v>
      </c>
      <c r="AJ31" s="12">
        <f ca="1">$N$64*(1-CUSTOS!$M$28)</f>
        <v>0</v>
      </c>
      <c r="AK31" s="12">
        <f t="shared" ca="1" si="0"/>
        <v>0</v>
      </c>
      <c r="AL31" s="12"/>
      <c r="AM31" s="12"/>
      <c r="AP31" s="12">
        <f>IF((1 - CUSTOS!$M$28)&lt;&gt;0,1/(1 - CUSTOS!$M$28),1)</f>
        <v>1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17" t="s">
        <v>73</v>
      </c>
      <c r="H32" s="17" t="s">
        <v>71</v>
      </c>
      <c r="I32" s="17">
        <f>'MERCADO TUSD'!$U$29</f>
        <v>0</v>
      </c>
      <c r="J32" s="15"/>
      <c r="L32" s="12">
        <f>1*(1 - CUSTOS!$M$28)</f>
        <v>1</v>
      </c>
      <c r="M32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2.4784110129770376</v>
      </c>
      <c r="N32" s="12">
        <f ca="1">(+M32+O32+R32+U32+V32+W32+X32+Y32+Z32+AA32+AC32+AH32+AI32+AJ32+AK32)*CUSTOS!$M$5</f>
        <v>1.6110091101297704E-12</v>
      </c>
      <c r="O32" s="12">
        <f>1 - CUSTOS!$M$28</f>
        <v>1</v>
      </c>
      <c r="P32" s="12">
        <f>1 - CUSTOS!$M$28</f>
        <v>1</v>
      </c>
      <c r="Q32" s="12">
        <f>1*(1 - CUSTOS!$M$28)</f>
        <v>1</v>
      </c>
      <c r="R32" s="12">
        <f>1 - CUSTOS!$M$28</f>
        <v>1</v>
      </c>
      <c r="S32" s="12">
        <f>1 - CUSTOS!$M$28</f>
        <v>1</v>
      </c>
      <c r="T32" s="12"/>
      <c r="U32" s="12">
        <f>TRANSICAO!$U$32*CUSTOS!$T$3</f>
        <v>0</v>
      </c>
      <c r="V32" s="12">
        <f>TRANSICAO!$V$32*CUSTOS!$T$3</f>
        <v>0</v>
      </c>
      <c r="W32" s="12">
        <f>TRANSICAO!$W$32*CUSTOS!$T$3</f>
        <v>0</v>
      </c>
      <c r="X32" s="12">
        <f>TRANSICAO!$X$32*CUSTOS!$T$3</f>
        <v>0</v>
      </c>
      <c r="Y32" s="12">
        <f>TRANSICAO!$Y$32*CUSTOS!$T$3</f>
        <v>0.1176</v>
      </c>
      <c r="Z32" s="12">
        <f>TRANSICAO!$Z$32*CUSTOS!$T$3</f>
        <v>0</v>
      </c>
      <c r="AA32" s="12">
        <f>TRANSICAO!$AA$32*CUSTOS!$T$3</f>
        <v>0</v>
      </c>
      <c r="AB32" s="12">
        <f>TRANSICAO!$AB$32*CUSTOS!$T$3</f>
        <v>0</v>
      </c>
      <c r="AC32" s="12">
        <f>TRANSICAO!$AC$32*CUSTOS!$T$3</f>
        <v>130.4222</v>
      </c>
      <c r="AD32" s="12">
        <f>TRANSICAO!$AD$32*CUSTOS!$T$3</f>
        <v>0</v>
      </c>
      <c r="AE32" s="12">
        <v>0</v>
      </c>
      <c r="AF32" s="12">
        <v>0</v>
      </c>
      <c r="AG32" s="12"/>
      <c r="AH32" s="12">
        <f>(1 - CUSTOS!$M$28)*26.0827</f>
        <v>26.082699999999999</v>
      </c>
      <c r="AI32" s="12">
        <v>0</v>
      </c>
      <c r="AJ32" s="12">
        <f ca="1">$N$64*(1-CUSTOS!$M$28)</f>
        <v>0</v>
      </c>
      <c r="AK32" s="12">
        <f t="shared" ca="1" si="0"/>
        <v>0</v>
      </c>
      <c r="AL32" s="12"/>
      <c r="AM32" s="12"/>
      <c r="AP32" s="12">
        <f>IF((1 - CUSTOS!$M$28)&lt;&gt;0,1/(1 - CUSTOS!$M$28),1)</f>
        <v>1</v>
      </c>
    </row>
    <row r="33" spans="1:42" ht="11.25" customHeight="1" x14ac:dyDescent="0.25">
      <c r="A33" s="102"/>
      <c r="B33" s="18" t="s">
        <v>23</v>
      </c>
      <c r="C33" s="18" t="s">
        <v>41</v>
      </c>
      <c r="D33" s="18" t="s">
        <v>25</v>
      </c>
      <c r="E33" s="18" t="s">
        <v>25</v>
      </c>
      <c r="F33" s="18" t="s">
        <v>25</v>
      </c>
      <c r="G33" s="17" t="s">
        <v>77</v>
      </c>
      <c r="H33" s="17" t="s">
        <v>71</v>
      </c>
      <c r="I33" s="17">
        <f>'MERCADO TUSD'!$U$30</f>
        <v>47790.548000000003</v>
      </c>
      <c r="J33" s="15"/>
      <c r="L33" s="12">
        <f>1*(1 - CUSTOS!$M$28)</f>
        <v>1</v>
      </c>
      <c r="M33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2.4784110129770376</v>
      </c>
      <c r="N33" s="12">
        <f ca="1">(+M33+O33+R33+U33+V33+W33+X33+Y33+Z33+AA33+AC33+AH33+AI33+AJ33+AK33)*CUSTOS!$M$5</f>
        <v>2.8159931101297707E-12</v>
      </c>
      <c r="O33" s="12">
        <f>1 - CUSTOS!$M$28</f>
        <v>1</v>
      </c>
      <c r="P33" s="12">
        <f>1 - CUSTOS!$M$28</f>
        <v>1</v>
      </c>
      <c r="Q33" s="12">
        <f>1*(1 - CUSTOS!$M$28)</f>
        <v>1</v>
      </c>
      <c r="R33" s="12">
        <f>1 - CUSTOS!$M$28</f>
        <v>1</v>
      </c>
      <c r="S33" s="12">
        <f>1 - CUSTOS!$M$28</f>
        <v>1</v>
      </c>
      <c r="T33" s="12"/>
      <c r="U33" s="12">
        <f>TRANSICAO!$U$33*CUSTOS!$T$3</f>
        <v>0</v>
      </c>
      <c r="V33" s="12">
        <f>TRANSICAO!$V$33*CUSTOS!$T$3</f>
        <v>0</v>
      </c>
      <c r="W33" s="12">
        <f>TRANSICAO!$W$33*CUSTOS!$T$3</f>
        <v>0</v>
      </c>
      <c r="X33" s="12">
        <f>TRANSICAO!$X$33*CUSTOS!$T$3</f>
        <v>0</v>
      </c>
      <c r="Y33" s="12">
        <f>TRANSICAO!$Y$33*CUSTOS!$T$3</f>
        <v>0.22620000000000001</v>
      </c>
      <c r="Z33" s="12">
        <f>TRANSICAO!$Z$33*CUSTOS!$T$3</f>
        <v>0</v>
      </c>
      <c r="AA33" s="12">
        <f>TRANSICAO!$AA$33*CUSTOS!$T$3</f>
        <v>0</v>
      </c>
      <c r="AB33" s="12">
        <f>TRANSICAO!$AB$33*CUSTOS!$T$3</f>
        <v>0</v>
      </c>
      <c r="AC33" s="12">
        <f>TRANSICAO!$AC$33*CUSTOS!$T$3</f>
        <v>250.81200000000001</v>
      </c>
      <c r="AD33" s="12">
        <f>TRANSICAO!$AD$33*CUSTOS!$T$3</f>
        <v>0</v>
      </c>
      <c r="AE33" s="12">
        <v>0</v>
      </c>
      <c r="AF33" s="12">
        <v>0</v>
      </c>
      <c r="AG33" s="12"/>
      <c r="AH33" s="12">
        <f>(1 - CUSTOS!$M$28)*26.0827</f>
        <v>26.082699999999999</v>
      </c>
      <c r="AI33" s="12">
        <v>0</v>
      </c>
      <c r="AJ33" s="12">
        <f ca="1">$N$64*(1-CUSTOS!$M$28)</f>
        <v>0</v>
      </c>
      <c r="AK33" s="12">
        <f t="shared" ca="1" si="0"/>
        <v>0</v>
      </c>
      <c r="AL33" s="12"/>
      <c r="AM33" s="12"/>
      <c r="AP33" s="12">
        <f>IF((1 - CUSTOS!$M$28)&lt;&gt;0,1/(1 - CUSTOS!$M$28),1)</f>
        <v>1</v>
      </c>
    </row>
    <row r="34" spans="1:42" ht="11.25" customHeight="1" x14ac:dyDescent="0.25">
      <c r="A34" s="102"/>
      <c r="B34" s="102" t="s">
        <v>85</v>
      </c>
      <c r="C34" s="102" t="s">
        <v>41</v>
      </c>
      <c r="D34" s="102" t="s">
        <v>88</v>
      </c>
      <c r="E34" s="102" t="s">
        <v>25</v>
      </c>
      <c r="F34" s="102" t="s">
        <v>25</v>
      </c>
      <c r="G34" s="17" t="s">
        <v>72</v>
      </c>
      <c r="H34" s="17" t="s">
        <v>71</v>
      </c>
      <c r="I34" s="17">
        <f>'MERCADO TUSD'!$U$31</f>
        <v>0</v>
      </c>
      <c r="J34" s="15"/>
      <c r="L34" s="12">
        <f>1*(1 - CUSTOS!$M$29)</f>
        <v>1</v>
      </c>
      <c r="M34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2.4784110129770376</v>
      </c>
      <c r="N34" s="12">
        <f ca="1">(+M34+O34+R34+U34+V34+W34+X34+Y34+Z34+AA34+AC34+AH34+AI34+AJ34+AK34)*CUSTOS!$M$5</f>
        <v>6.8326051101297704E-12</v>
      </c>
      <c r="O34" s="12">
        <f>1 - CUSTOS!$M$29</f>
        <v>1</v>
      </c>
      <c r="P34" s="12">
        <f>1 - CUSTOS!$M$29</f>
        <v>1</v>
      </c>
      <c r="Q34" s="12">
        <f>1*(1 - CUSTOS!$M$29)</f>
        <v>1</v>
      </c>
      <c r="R34" s="12">
        <f>1 - CUSTOS!$M$29</f>
        <v>1</v>
      </c>
      <c r="S34" s="12">
        <f>1 - CUSTOS!$M$29</f>
        <v>1</v>
      </c>
      <c r="T34" s="12"/>
      <c r="U34" s="12">
        <f>TRANSICAO!$U$34*CUSTOS!$T$3</f>
        <v>0</v>
      </c>
      <c r="V34" s="12">
        <f>TRANSICAO!$V$34*CUSTOS!$T$3</f>
        <v>0</v>
      </c>
      <c r="W34" s="12">
        <f>TRANSICAO!$W$34*CUSTOS!$T$3</f>
        <v>0</v>
      </c>
      <c r="X34" s="12">
        <f>TRANSICAO!$X$34*CUSTOS!$T$3</f>
        <v>0</v>
      </c>
      <c r="Y34" s="12">
        <f>TRANSICAO!$Y$34*CUSTOS!$T$3</f>
        <v>0.58799999999999997</v>
      </c>
      <c r="Z34" s="12">
        <f>TRANSICAO!$Z$34*CUSTOS!$T$3</f>
        <v>0</v>
      </c>
      <c r="AA34" s="12">
        <f>TRANSICAO!$AA$34*CUSTOS!$T$3</f>
        <v>0</v>
      </c>
      <c r="AB34" s="12">
        <f>TRANSICAO!$AB$34*CUSTOS!$T$3</f>
        <v>0</v>
      </c>
      <c r="AC34" s="12">
        <f>TRANSICAO!$AC$34*CUSTOS!$T$3</f>
        <v>652.1114</v>
      </c>
      <c r="AD34" s="12">
        <f>TRANSICAO!$AD$34*CUSTOS!$T$3</f>
        <v>0</v>
      </c>
      <c r="AE34" s="12">
        <v>0</v>
      </c>
      <c r="AF34" s="12">
        <v>0</v>
      </c>
      <c r="AG34" s="12"/>
      <c r="AH34" s="12">
        <f>(1 - CUSTOS!$M$29)*26.0827</f>
        <v>26.082699999999999</v>
      </c>
      <c r="AI34" s="12">
        <v>0</v>
      </c>
      <c r="AJ34" s="12">
        <f ca="1">$N$64*(1-CUSTOS!$M$29)</f>
        <v>0</v>
      </c>
      <c r="AK34" s="12">
        <f t="shared" ca="1" si="0"/>
        <v>0</v>
      </c>
      <c r="AL34" s="12"/>
      <c r="AM34" s="12"/>
      <c r="AP34" s="12">
        <f>IF((1 - CUSTOS!$M$29)&lt;&gt;0,1/(1 - CUSTOS!$M$29),1)</f>
        <v>1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17" t="s">
        <v>83</v>
      </c>
      <c r="H35" s="17" t="s">
        <v>71</v>
      </c>
      <c r="I35" s="17">
        <f>'MERCADO TUSD'!$U$32</f>
        <v>0</v>
      </c>
      <c r="J35" s="15"/>
      <c r="L35" s="12">
        <f>1*(1 - CUSTOS!$M$29)</f>
        <v>1</v>
      </c>
      <c r="M35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2.4784110129770376</v>
      </c>
      <c r="N35" s="12">
        <f ca="1">(+M35+O35+R35+U35+V35+W35+X35+Y35+Z35+AA35+AC35+AH35+AI35+AJ35+AK35)*CUSTOS!$M$5</f>
        <v>4.2218081101297704E-12</v>
      </c>
      <c r="O35" s="12">
        <f>1 - CUSTOS!$M$29</f>
        <v>1</v>
      </c>
      <c r="P35" s="12">
        <f>1 - CUSTOS!$M$29</f>
        <v>1</v>
      </c>
      <c r="Q35" s="12">
        <f>1*(1 - CUSTOS!$M$29)</f>
        <v>1</v>
      </c>
      <c r="R35" s="12">
        <f>1 - CUSTOS!$M$29</f>
        <v>1</v>
      </c>
      <c r="S35" s="12">
        <f>1 - CUSTOS!$M$29</f>
        <v>1</v>
      </c>
      <c r="T35" s="12"/>
      <c r="U35" s="12">
        <f>TRANSICAO!$U$35*CUSTOS!$T$3</f>
        <v>0</v>
      </c>
      <c r="V35" s="12">
        <f>TRANSICAO!$V$35*CUSTOS!$T$3</f>
        <v>0</v>
      </c>
      <c r="W35" s="12">
        <f>TRANSICAO!$W$35*CUSTOS!$T$3</f>
        <v>0</v>
      </c>
      <c r="X35" s="12">
        <f>TRANSICAO!$X$35*CUSTOS!$T$3</f>
        <v>0</v>
      </c>
      <c r="Y35" s="12">
        <f>TRANSICAO!$Y$35*CUSTOS!$T$3</f>
        <v>0.3528</v>
      </c>
      <c r="Z35" s="12">
        <f>TRANSICAO!$Z$35*CUSTOS!$T$3</f>
        <v>0</v>
      </c>
      <c r="AA35" s="12">
        <f>TRANSICAO!$AA$35*CUSTOS!$T$3</f>
        <v>0</v>
      </c>
      <c r="AB35" s="12">
        <f>TRANSICAO!$AB$35*CUSTOS!$T$3</f>
        <v>0</v>
      </c>
      <c r="AC35" s="12">
        <f>TRANSICAO!$AC$35*CUSTOS!$T$3</f>
        <v>391.26690000000002</v>
      </c>
      <c r="AD35" s="12">
        <f>TRANSICAO!$AD$35*CUSTOS!$T$3</f>
        <v>0</v>
      </c>
      <c r="AE35" s="12">
        <v>0</v>
      </c>
      <c r="AF35" s="12">
        <v>0</v>
      </c>
      <c r="AG35" s="12"/>
      <c r="AH35" s="12">
        <f>(1 - CUSTOS!$M$29)*26.0827</f>
        <v>26.082699999999999</v>
      </c>
      <c r="AI35" s="12">
        <v>0</v>
      </c>
      <c r="AJ35" s="12">
        <f ca="1">$N$64*(1-CUSTOS!$M$29)</f>
        <v>0</v>
      </c>
      <c r="AK35" s="12">
        <f t="shared" ca="1" si="0"/>
        <v>0</v>
      </c>
      <c r="AL35" s="12"/>
      <c r="AM35" s="12"/>
      <c r="AP35" s="12">
        <f>IF((1 - CUSTOS!$M$29)&lt;&gt;0,1/(1 - CUSTOS!$M$29),1)</f>
        <v>1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17" t="s">
        <v>73</v>
      </c>
      <c r="H36" s="17" t="s">
        <v>71</v>
      </c>
      <c r="I36" s="17">
        <f>'MERCADO TUSD'!$U$33</f>
        <v>0</v>
      </c>
      <c r="J36" s="15"/>
      <c r="L36" s="12">
        <f>1*(1 - CUSTOS!$M$29)</f>
        <v>1</v>
      </c>
      <c r="M36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2.4784110129770376</v>
      </c>
      <c r="N36" s="12">
        <f ca="1">(+M36+O36+R36+U36+V36+W36+X36+Y36+Z36+AA36+AC36+AH36+AI36+AJ36+AK36)*CUSTOS!$M$5</f>
        <v>1.6110091101297704E-12</v>
      </c>
      <c r="O36" s="12">
        <f>1 - CUSTOS!$M$29</f>
        <v>1</v>
      </c>
      <c r="P36" s="12">
        <f>1 - CUSTOS!$M$29</f>
        <v>1</v>
      </c>
      <c r="Q36" s="12">
        <f>1*(1 - CUSTOS!$M$29)</f>
        <v>1</v>
      </c>
      <c r="R36" s="12">
        <f>1 - CUSTOS!$M$29</f>
        <v>1</v>
      </c>
      <c r="S36" s="12">
        <f>1 - CUSTOS!$M$29</f>
        <v>1</v>
      </c>
      <c r="T36" s="12"/>
      <c r="U36" s="12">
        <f>TRANSICAO!$U$36*CUSTOS!$T$3</f>
        <v>0</v>
      </c>
      <c r="V36" s="12">
        <f>TRANSICAO!$V$36*CUSTOS!$T$3</f>
        <v>0</v>
      </c>
      <c r="W36" s="12">
        <f>TRANSICAO!$W$36*CUSTOS!$T$3</f>
        <v>0</v>
      </c>
      <c r="X36" s="12">
        <f>TRANSICAO!$X$36*CUSTOS!$T$3</f>
        <v>0</v>
      </c>
      <c r="Y36" s="12">
        <f>TRANSICAO!$Y$36*CUSTOS!$T$3</f>
        <v>0.1176</v>
      </c>
      <c r="Z36" s="12">
        <f>TRANSICAO!$Z$36*CUSTOS!$T$3</f>
        <v>0</v>
      </c>
      <c r="AA36" s="12">
        <f>TRANSICAO!$AA$36*CUSTOS!$T$3</f>
        <v>0</v>
      </c>
      <c r="AB36" s="12">
        <f>TRANSICAO!$AB$36*CUSTOS!$T$3</f>
        <v>0</v>
      </c>
      <c r="AC36" s="12">
        <f>TRANSICAO!$AC$36*CUSTOS!$T$3</f>
        <v>130.4222</v>
      </c>
      <c r="AD36" s="12">
        <f>TRANSICAO!$AD$36*CUSTOS!$T$3</f>
        <v>0</v>
      </c>
      <c r="AE36" s="12">
        <v>0</v>
      </c>
      <c r="AF36" s="12">
        <v>0</v>
      </c>
      <c r="AG36" s="12"/>
      <c r="AH36" s="12">
        <f>(1 - CUSTOS!$M$29)*26.0827</f>
        <v>26.082699999999999</v>
      </c>
      <c r="AI36" s="12">
        <v>0</v>
      </c>
      <c r="AJ36" s="12">
        <f ca="1">$N$64*(1-CUSTOS!$M$29)</f>
        <v>0</v>
      </c>
      <c r="AK36" s="12">
        <f t="shared" ca="1" si="0"/>
        <v>0</v>
      </c>
      <c r="AL36" s="12"/>
      <c r="AM36" s="12"/>
      <c r="AP36" s="12">
        <f>IF((1 - CUSTOS!$M$29)&lt;&gt;0,1/(1 - CUSTOS!$M$29),1)</f>
        <v>1</v>
      </c>
    </row>
    <row r="37" spans="1:42" ht="11.25" customHeight="1" x14ac:dyDescent="0.25">
      <c r="A37" s="102"/>
      <c r="B37" s="18" t="s">
        <v>23</v>
      </c>
      <c r="C37" s="18" t="s">
        <v>41</v>
      </c>
      <c r="D37" s="18" t="s">
        <v>88</v>
      </c>
      <c r="E37" s="18" t="s">
        <v>25</v>
      </c>
      <c r="F37" s="18" t="s">
        <v>25</v>
      </c>
      <c r="G37" s="17" t="s">
        <v>77</v>
      </c>
      <c r="H37" s="17" t="s">
        <v>71</v>
      </c>
      <c r="I37" s="17">
        <f>'MERCADO TUSD'!$U$34</f>
        <v>0</v>
      </c>
      <c r="J37" s="15"/>
      <c r="L37" s="12">
        <f>1*(1 - CUSTOS!$M$29)</f>
        <v>1</v>
      </c>
      <c r="M37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2.4784110129770376</v>
      </c>
      <c r="N37" s="12">
        <f ca="1">(+M37+O37+R37+U37+V37+W37+X37+Y37+Z37+AA37+AC37+AH37+AI37+AJ37+AK37)*CUSTOS!$M$5</f>
        <v>2.8159931101297707E-12</v>
      </c>
      <c r="O37" s="12">
        <f>1 - CUSTOS!$M$29</f>
        <v>1</v>
      </c>
      <c r="P37" s="12">
        <f>1 - CUSTOS!$M$29</f>
        <v>1</v>
      </c>
      <c r="Q37" s="12">
        <f>1*(1 - CUSTOS!$M$29)</f>
        <v>1</v>
      </c>
      <c r="R37" s="12">
        <f>1 - CUSTOS!$M$29</f>
        <v>1</v>
      </c>
      <c r="S37" s="12">
        <f>1 - CUSTOS!$M$29</f>
        <v>1</v>
      </c>
      <c r="T37" s="12"/>
      <c r="U37" s="12">
        <f>TRANSICAO!$U$37*CUSTOS!$T$3</f>
        <v>0</v>
      </c>
      <c r="V37" s="12">
        <f>TRANSICAO!$V$37*CUSTOS!$T$3</f>
        <v>0</v>
      </c>
      <c r="W37" s="12">
        <f>TRANSICAO!$W$37*CUSTOS!$T$3</f>
        <v>0</v>
      </c>
      <c r="X37" s="12">
        <f>TRANSICAO!$X$37*CUSTOS!$T$3</f>
        <v>0</v>
      </c>
      <c r="Y37" s="12">
        <f>TRANSICAO!$Y$37*CUSTOS!$T$3</f>
        <v>0.22620000000000001</v>
      </c>
      <c r="Z37" s="12">
        <f>TRANSICAO!$Z$37*CUSTOS!$T$3</f>
        <v>0</v>
      </c>
      <c r="AA37" s="12">
        <f>TRANSICAO!$AA$37*CUSTOS!$T$3</f>
        <v>0</v>
      </c>
      <c r="AB37" s="12">
        <f>TRANSICAO!$AB$37*CUSTOS!$T$3</f>
        <v>0</v>
      </c>
      <c r="AC37" s="12">
        <f>TRANSICAO!$AC$37*CUSTOS!$T$3</f>
        <v>250.81200000000001</v>
      </c>
      <c r="AD37" s="12">
        <f>TRANSICAO!$AD$37*CUSTOS!$T$3</f>
        <v>0</v>
      </c>
      <c r="AE37" s="12">
        <v>0</v>
      </c>
      <c r="AF37" s="12">
        <v>0</v>
      </c>
      <c r="AG37" s="12"/>
      <c r="AH37" s="12">
        <f>(1 - CUSTOS!$M$29)*26.0827</f>
        <v>26.082699999999999</v>
      </c>
      <c r="AI37" s="12">
        <v>0</v>
      </c>
      <c r="AJ37" s="12">
        <f ca="1">$N$64*(1-CUSTOS!$M$29)</f>
        <v>0</v>
      </c>
      <c r="AK37" s="12">
        <f t="shared" ca="1" si="0"/>
        <v>0</v>
      </c>
      <c r="AL37" s="12"/>
      <c r="AM37" s="12"/>
      <c r="AP37" s="12">
        <f>IF((1 - CUSTOS!$M$29)&lt;&gt;0,1/(1 - CUSTOS!$M$29),1)</f>
        <v>1</v>
      </c>
    </row>
    <row r="38" spans="1:42" ht="11.25" customHeight="1" x14ac:dyDescent="0.25">
      <c r="A38" s="102"/>
      <c r="B38" s="102" t="s">
        <v>85</v>
      </c>
      <c r="C38" s="102" t="s">
        <v>41</v>
      </c>
      <c r="D38" s="102" t="s">
        <v>89</v>
      </c>
      <c r="E38" s="102" t="s">
        <v>25</v>
      </c>
      <c r="F38" s="102" t="s">
        <v>25</v>
      </c>
      <c r="G38" s="17" t="s">
        <v>72</v>
      </c>
      <c r="H38" s="17" t="s">
        <v>71</v>
      </c>
      <c r="I38" s="17">
        <f>'MERCADO TUSD'!$U$35</f>
        <v>0</v>
      </c>
      <c r="J38" s="15"/>
      <c r="L38" s="12">
        <f>1*(1 - CUSTOS!$M$30)</f>
        <v>1</v>
      </c>
      <c r="M38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2.4784110129770376</v>
      </c>
      <c r="N38" s="12">
        <f ca="1">(+M38+O38+R38+U38+V38+W38+X38+Y38+Z38+AA38+AC38+AH38+AI38+AJ38+AK38)*CUSTOS!$M$5</f>
        <v>6.8326051101297704E-12</v>
      </c>
      <c r="O38" s="12">
        <f>1 - CUSTOS!$M$30</f>
        <v>1</v>
      </c>
      <c r="P38" s="12">
        <f>1 - CUSTOS!$M$30</f>
        <v>1</v>
      </c>
      <c r="Q38" s="12">
        <f>1*(1 - CUSTOS!$M$30)</f>
        <v>1</v>
      </c>
      <c r="R38" s="12">
        <f>1 - CUSTOS!$M$30</f>
        <v>1</v>
      </c>
      <c r="S38" s="12">
        <f>1 - CUSTOS!$M$30</f>
        <v>1</v>
      </c>
      <c r="T38" s="12"/>
      <c r="U38" s="12">
        <f>TRANSICAO!$U$38*CUSTOS!$T$3</f>
        <v>0</v>
      </c>
      <c r="V38" s="12">
        <f>TRANSICAO!$V$38*CUSTOS!$T$3</f>
        <v>0</v>
      </c>
      <c r="W38" s="12">
        <f>TRANSICAO!$W$38*CUSTOS!$T$3</f>
        <v>0</v>
      </c>
      <c r="X38" s="12">
        <f>TRANSICAO!$X$38*CUSTOS!$T$3</f>
        <v>0</v>
      </c>
      <c r="Y38" s="12">
        <f>TRANSICAO!$Y$38*CUSTOS!$T$3</f>
        <v>0.58799999999999997</v>
      </c>
      <c r="Z38" s="12">
        <f>TRANSICAO!$Z$38*CUSTOS!$T$3</f>
        <v>0</v>
      </c>
      <c r="AA38" s="12">
        <f>TRANSICAO!$AA$38*CUSTOS!$T$3</f>
        <v>0</v>
      </c>
      <c r="AB38" s="12">
        <f>TRANSICAO!$AB$38*CUSTOS!$T$3</f>
        <v>0</v>
      </c>
      <c r="AC38" s="12">
        <f>TRANSICAO!$AC$38*CUSTOS!$T$3</f>
        <v>652.1114</v>
      </c>
      <c r="AD38" s="12">
        <f>TRANSICAO!$AD$38*CUSTOS!$T$3</f>
        <v>0</v>
      </c>
      <c r="AE38" s="12">
        <v>0</v>
      </c>
      <c r="AF38" s="12">
        <v>0</v>
      </c>
      <c r="AG38" s="12"/>
      <c r="AH38" s="12">
        <f>(1 - CUSTOS!$M$30)*26.0827</f>
        <v>26.082699999999999</v>
      </c>
      <c r="AI38" s="12">
        <v>0</v>
      </c>
      <c r="AJ38" s="12">
        <f ca="1">$N$64*(1-CUSTOS!$M$30)</f>
        <v>0</v>
      </c>
      <c r="AK38" s="12">
        <f t="shared" ca="1" si="0"/>
        <v>0</v>
      </c>
      <c r="AL38" s="12"/>
      <c r="AM38" s="12"/>
      <c r="AP38" s="12">
        <f>IF((1 - CUSTOS!$M$30)&lt;&gt;0,1/(1 - CUSTOS!$M$30),1)</f>
        <v>1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17" t="s">
        <v>83</v>
      </c>
      <c r="H39" s="17" t="s">
        <v>71</v>
      </c>
      <c r="I39" s="17">
        <f>'MERCADO TUSD'!$U$36</f>
        <v>0</v>
      </c>
      <c r="J39" s="15"/>
      <c r="L39" s="12">
        <f>1*(1 - CUSTOS!$M$30)</f>
        <v>1</v>
      </c>
      <c r="M39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2.4784110129770376</v>
      </c>
      <c r="N39" s="12">
        <f ca="1">(+M39+O39+R39+U39+V39+W39+X39+Y39+Z39+AA39+AC39+AH39+AI39+AJ39+AK39)*CUSTOS!$M$5</f>
        <v>4.2218081101297704E-12</v>
      </c>
      <c r="O39" s="12">
        <f>1 - CUSTOS!$M$30</f>
        <v>1</v>
      </c>
      <c r="P39" s="12">
        <f>1 - CUSTOS!$M$30</f>
        <v>1</v>
      </c>
      <c r="Q39" s="12">
        <f>1*(1 - CUSTOS!$M$30)</f>
        <v>1</v>
      </c>
      <c r="R39" s="12">
        <f>1 - CUSTOS!$M$30</f>
        <v>1</v>
      </c>
      <c r="S39" s="12">
        <f>1 - CUSTOS!$M$30</f>
        <v>1</v>
      </c>
      <c r="T39" s="12"/>
      <c r="U39" s="12">
        <f>TRANSICAO!$U$39*CUSTOS!$T$3</f>
        <v>0</v>
      </c>
      <c r="V39" s="12">
        <f>TRANSICAO!$V$39*CUSTOS!$T$3</f>
        <v>0</v>
      </c>
      <c r="W39" s="12">
        <f>TRANSICAO!$W$39*CUSTOS!$T$3</f>
        <v>0</v>
      </c>
      <c r="X39" s="12">
        <f>TRANSICAO!$X$39*CUSTOS!$T$3</f>
        <v>0</v>
      </c>
      <c r="Y39" s="12">
        <f>TRANSICAO!$Y$39*CUSTOS!$T$3</f>
        <v>0.3528</v>
      </c>
      <c r="Z39" s="12">
        <f>TRANSICAO!$Z$39*CUSTOS!$T$3</f>
        <v>0</v>
      </c>
      <c r="AA39" s="12">
        <f>TRANSICAO!$AA$39*CUSTOS!$T$3</f>
        <v>0</v>
      </c>
      <c r="AB39" s="12">
        <f>TRANSICAO!$AB$39*CUSTOS!$T$3</f>
        <v>0</v>
      </c>
      <c r="AC39" s="12">
        <f>TRANSICAO!$AC$39*CUSTOS!$T$3</f>
        <v>391.26690000000002</v>
      </c>
      <c r="AD39" s="12">
        <f>TRANSICAO!$AD$39*CUSTOS!$T$3</f>
        <v>0</v>
      </c>
      <c r="AE39" s="12">
        <v>0</v>
      </c>
      <c r="AF39" s="12">
        <v>0</v>
      </c>
      <c r="AG39" s="12"/>
      <c r="AH39" s="12">
        <f>(1 - CUSTOS!$M$30)*26.0827</f>
        <v>26.082699999999999</v>
      </c>
      <c r="AI39" s="12">
        <v>0</v>
      </c>
      <c r="AJ39" s="12">
        <f ca="1">$N$64*(1-CUSTOS!$M$30)</f>
        <v>0</v>
      </c>
      <c r="AK39" s="12">
        <f t="shared" ca="1" si="0"/>
        <v>0</v>
      </c>
      <c r="AL39" s="12"/>
      <c r="AM39" s="12"/>
      <c r="AP39" s="12">
        <f>IF((1 - CUSTOS!$M$30)&lt;&gt;0,1/(1 - CUSTOS!$M$30),1)</f>
        <v>1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17" t="s">
        <v>73</v>
      </c>
      <c r="H40" s="17" t="s">
        <v>71</v>
      </c>
      <c r="I40" s="17">
        <f>'MERCADO TUSD'!$U$37</f>
        <v>0</v>
      </c>
      <c r="J40" s="15"/>
      <c r="L40" s="12">
        <f>1*(1 - CUSTOS!$M$30)</f>
        <v>1</v>
      </c>
      <c r="M40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2.4784110129770376</v>
      </c>
      <c r="N40" s="12">
        <f ca="1">(+M40+O40+R40+U40+V40+W40+X40+Y40+Z40+AA40+AC40+AH40+AI40+AJ40+AK40)*CUSTOS!$M$5</f>
        <v>1.6110091101297704E-12</v>
      </c>
      <c r="O40" s="12">
        <f>1 - CUSTOS!$M$30</f>
        <v>1</v>
      </c>
      <c r="P40" s="12">
        <f>1 - CUSTOS!$M$30</f>
        <v>1</v>
      </c>
      <c r="Q40" s="12">
        <f>1*(1 - CUSTOS!$M$30)</f>
        <v>1</v>
      </c>
      <c r="R40" s="12">
        <f>1 - CUSTOS!$M$30</f>
        <v>1</v>
      </c>
      <c r="S40" s="12">
        <f>1 - CUSTOS!$M$30</f>
        <v>1</v>
      </c>
      <c r="T40" s="12"/>
      <c r="U40" s="12">
        <f>TRANSICAO!$U$40*CUSTOS!$T$3</f>
        <v>0</v>
      </c>
      <c r="V40" s="12">
        <f>TRANSICAO!$V$40*CUSTOS!$T$3</f>
        <v>0</v>
      </c>
      <c r="W40" s="12">
        <f>TRANSICAO!$W$40*CUSTOS!$T$3</f>
        <v>0</v>
      </c>
      <c r="X40" s="12">
        <f>TRANSICAO!$X$40*CUSTOS!$T$3</f>
        <v>0</v>
      </c>
      <c r="Y40" s="12">
        <f>TRANSICAO!$Y$40*CUSTOS!$T$3</f>
        <v>0.1176</v>
      </c>
      <c r="Z40" s="12">
        <f>TRANSICAO!$Z$40*CUSTOS!$T$3</f>
        <v>0</v>
      </c>
      <c r="AA40" s="12">
        <f>TRANSICAO!$AA$40*CUSTOS!$T$3</f>
        <v>0</v>
      </c>
      <c r="AB40" s="12">
        <f>TRANSICAO!$AB$40*CUSTOS!$T$3</f>
        <v>0</v>
      </c>
      <c r="AC40" s="12">
        <f>TRANSICAO!$AC$40*CUSTOS!$T$3</f>
        <v>130.4222</v>
      </c>
      <c r="AD40" s="12">
        <f>TRANSICAO!$AD$40*CUSTOS!$T$3</f>
        <v>0</v>
      </c>
      <c r="AE40" s="12">
        <v>0</v>
      </c>
      <c r="AF40" s="12">
        <v>0</v>
      </c>
      <c r="AG40" s="12"/>
      <c r="AH40" s="12">
        <f>(1 - CUSTOS!$M$30)*26.0827</f>
        <v>26.082699999999999</v>
      </c>
      <c r="AI40" s="12">
        <v>0</v>
      </c>
      <c r="AJ40" s="12">
        <f ca="1">$N$64*(1-CUSTOS!$M$30)</f>
        <v>0</v>
      </c>
      <c r="AK40" s="12">
        <f t="shared" ca="1" si="0"/>
        <v>0</v>
      </c>
      <c r="AL40" s="12"/>
      <c r="AM40" s="12"/>
      <c r="AP40" s="12">
        <f>IF((1 - CUSTOS!$M$30)&lt;&gt;0,1/(1 - CUSTOS!$M$30),1)</f>
        <v>1</v>
      </c>
    </row>
    <row r="41" spans="1:42" ht="11.25" customHeight="1" x14ac:dyDescent="0.25">
      <c r="A41" s="102"/>
      <c r="B41" s="18" t="s">
        <v>23</v>
      </c>
      <c r="C41" s="18" t="s">
        <v>41</v>
      </c>
      <c r="D41" s="18" t="s">
        <v>89</v>
      </c>
      <c r="E41" s="18" t="s">
        <v>25</v>
      </c>
      <c r="F41" s="18" t="s">
        <v>25</v>
      </c>
      <c r="G41" s="17" t="s">
        <v>77</v>
      </c>
      <c r="H41" s="17" t="s">
        <v>71</v>
      </c>
      <c r="I41" s="17">
        <f>'MERCADO TUSD'!$U$38</f>
        <v>0</v>
      </c>
      <c r="J41" s="15"/>
      <c r="L41" s="12">
        <f>1*(1 - CUSTOS!$M$30)</f>
        <v>1</v>
      </c>
      <c r="M41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2.4784110129770376</v>
      </c>
      <c r="N41" s="12">
        <f ca="1">(+M41+O41+R41+U41+V41+W41+X41+Y41+Z41+AA41+AC41+AH41+AI41+AJ41+AK41)*CUSTOS!$M$5</f>
        <v>2.8159931101297707E-12</v>
      </c>
      <c r="O41" s="12">
        <f>1 - CUSTOS!$M$30</f>
        <v>1</v>
      </c>
      <c r="P41" s="12">
        <f>1 - CUSTOS!$M$30</f>
        <v>1</v>
      </c>
      <c r="Q41" s="12">
        <f>1*(1 - CUSTOS!$M$30)</f>
        <v>1</v>
      </c>
      <c r="R41" s="12">
        <f>1 - CUSTOS!$M$30</f>
        <v>1</v>
      </c>
      <c r="S41" s="12">
        <f>1 - CUSTOS!$M$30</f>
        <v>1</v>
      </c>
      <c r="T41" s="12"/>
      <c r="U41" s="12">
        <f>TRANSICAO!$U$41*CUSTOS!$T$3</f>
        <v>0</v>
      </c>
      <c r="V41" s="12">
        <f>TRANSICAO!$V$41*CUSTOS!$T$3</f>
        <v>0</v>
      </c>
      <c r="W41" s="12">
        <f>TRANSICAO!$W$41*CUSTOS!$T$3</f>
        <v>0</v>
      </c>
      <c r="X41" s="12">
        <f>TRANSICAO!$X$41*CUSTOS!$T$3</f>
        <v>0</v>
      </c>
      <c r="Y41" s="12">
        <f>TRANSICAO!$Y$41*CUSTOS!$T$3</f>
        <v>0.22620000000000001</v>
      </c>
      <c r="Z41" s="12">
        <f>TRANSICAO!$Z$41*CUSTOS!$T$3</f>
        <v>0</v>
      </c>
      <c r="AA41" s="12">
        <f>TRANSICAO!$AA$41*CUSTOS!$T$3</f>
        <v>0</v>
      </c>
      <c r="AB41" s="12">
        <f>TRANSICAO!$AB$41*CUSTOS!$T$3</f>
        <v>0</v>
      </c>
      <c r="AC41" s="12">
        <f>TRANSICAO!$AC$41*CUSTOS!$T$3</f>
        <v>250.81200000000001</v>
      </c>
      <c r="AD41" s="12">
        <f>TRANSICAO!$AD$41*CUSTOS!$T$3</f>
        <v>0</v>
      </c>
      <c r="AE41" s="12">
        <v>0</v>
      </c>
      <c r="AF41" s="12">
        <v>0</v>
      </c>
      <c r="AG41" s="12"/>
      <c r="AH41" s="12">
        <f>(1 - CUSTOS!$M$30)*26.0827</f>
        <v>26.082699999999999</v>
      </c>
      <c r="AI41" s="12">
        <v>0</v>
      </c>
      <c r="AJ41" s="12">
        <f ca="1">$N$64*(1-CUSTOS!$M$30)</f>
        <v>0</v>
      </c>
      <c r="AK41" s="12">
        <f t="shared" ca="1" si="0"/>
        <v>0</v>
      </c>
      <c r="AL41" s="12"/>
      <c r="AM41" s="12"/>
      <c r="AP41" s="12">
        <f>IF((1 - CUSTOS!$M$30)&lt;&gt;0,1/(1 - CUSTOS!$M$30),1)</f>
        <v>1</v>
      </c>
    </row>
    <row r="42" spans="1:42" ht="11.25" customHeight="1" x14ac:dyDescent="0.25">
      <c r="A42" s="102"/>
      <c r="B42" s="102" t="s">
        <v>87</v>
      </c>
      <c r="C42" s="102" t="s">
        <v>41</v>
      </c>
      <c r="D42" s="18" t="s">
        <v>25</v>
      </c>
      <c r="E42" s="18" t="s">
        <v>25</v>
      </c>
      <c r="F42" s="18" t="s">
        <v>25</v>
      </c>
      <c r="G42" s="17" t="s">
        <v>77</v>
      </c>
      <c r="H42" s="17" t="s">
        <v>71</v>
      </c>
      <c r="I42" s="17">
        <f>'MERCADO TUSD'!$U$39</f>
        <v>0</v>
      </c>
      <c r="J42" s="15"/>
      <c r="L42" s="12">
        <f>1*(1 - CUSTOS!$M$28)</f>
        <v>1</v>
      </c>
      <c r="M42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2.4784110129770376</v>
      </c>
      <c r="N42" s="12">
        <f ca="1">(+M42+O42+R42+U42+V42+W42+X42+Y42+Z42+AA42+AC42+AH42+AI42+AJ42+AK42)*CUSTOS!$M$5</f>
        <v>2.8159931101297707E-12</v>
      </c>
      <c r="O42" s="12">
        <f>1 - CUSTOS!$M$28</f>
        <v>1</v>
      </c>
      <c r="P42" s="12">
        <f>1 - CUSTOS!$M$28</f>
        <v>1</v>
      </c>
      <c r="Q42" s="12">
        <f>1*(1 - CUSTOS!$M$28)</f>
        <v>1</v>
      </c>
      <c r="R42" s="12">
        <f>1 - CUSTOS!$M$28</f>
        <v>1</v>
      </c>
      <c r="S42" s="12">
        <f>1 - CUSTOS!$M$28</f>
        <v>1</v>
      </c>
      <c r="T42" s="12"/>
      <c r="U42" s="12">
        <f>TRANSICAO!$U$42*CUSTOS!$T$3</f>
        <v>0</v>
      </c>
      <c r="V42" s="12">
        <f>TRANSICAO!$V$42*CUSTOS!$T$3</f>
        <v>0</v>
      </c>
      <c r="W42" s="12">
        <f>TRANSICAO!$W$42*CUSTOS!$T$3</f>
        <v>0</v>
      </c>
      <c r="X42" s="12">
        <f>TRANSICAO!$X$42*CUSTOS!$T$3</f>
        <v>0</v>
      </c>
      <c r="Y42" s="12">
        <f>TRANSICAO!$Y$42*CUSTOS!$T$3</f>
        <v>0.22620000000000001</v>
      </c>
      <c r="Z42" s="12">
        <f>TRANSICAO!$Z$42*CUSTOS!$T$3</f>
        <v>0</v>
      </c>
      <c r="AA42" s="12">
        <f>TRANSICAO!$AA$42*CUSTOS!$T$3</f>
        <v>0</v>
      </c>
      <c r="AB42" s="12">
        <f>TRANSICAO!$AB$42*CUSTOS!$T$3</f>
        <v>0</v>
      </c>
      <c r="AC42" s="12">
        <f>TRANSICAO!$AC$42*CUSTOS!$T$3</f>
        <v>250.81200000000001</v>
      </c>
      <c r="AD42" s="12">
        <f>TRANSICAO!$AD$42*CUSTOS!$T$3</f>
        <v>0</v>
      </c>
      <c r="AE42" s="12">
        <v>0</v>
      </c>
      <c r="AF42" s="12">
        <v>0</v>
      </c>
      <c r="AG42" s="12"/>
      <c r="AH42" s="12">
        <f>(1 - CUSTOS!$M$28)*26.0827</f>
        <v>26.082699999999999</v>
      </c>
      <c r="AI42" s="12">
        <v>0</v>
      </c>
      <c r="AJ42" s="12">
        <f ca="1">$N$64*(1-CUSTOS!$M$28)</f>
        <v>0</v>
      </c>
      <c r="AK42" s="12">
        <f t="shared" ca="1" si="0"/>
        <v>0</v>
      </c>
      <c r="AL42" s="12"/>
      <c r="AM42" s="12"/>
      <c r="AP42" s="12">
        <f>IF((1 - CUSTOS!$M$28)&lt;&gt;0,1/(1 - CUSTOS!$M$28),1)</f>
        <v>1</v>
      </c>
    </row>
    <row r="43" spans="1:42" ht="11.25" customHeight="1" x14ac:dyDescent="0.25">
      <c r="A43" s="102"/>
      <c r="B43" s="102"/>
      <c r="C43" s="102"/>
      <c r="D43" s="18" t="s">
        <v>88</v>
      </c>
      <c r="E43" s="18" t="s">
        <v>25</v>
      </c>
      <c r="F43" s="18" t="s">
        <v>25</v>
      </c>
      <c r="G43" s="17" t="s">
        <v>77</v>
      </c>
      <c r="H43" s="17" t="s">
        <v>71</v>
      </c>
      <c r="I43" s="17">
        <f>'MERCADO TUSD'!$U$40</f>
        <v>0</v>
      </c>
      <c r="J43" s="15"/>
      <c r="L43" s="12">
        <f>1*(1 - CUSTOS!$M$29)</f>
        <v>1</v>
      </c>
      <c r="M43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2.4784110129770376</v>
      </c>
      <c r="N43" s="12">
        <f ca="1">(+M43+O43+R43+U43+V43+W43+X43+Y43+Z43+AA43+AC43+AH43+AI43+AJ43+AK43)*CUSTOS!$M$5</f>
        <v>2.8159931101297707E-12</v>
      </c>
      <c r="O43" s="12">
        <f>1 - CUSTOS!$M$29</f>
        <v>1</v>
      </c>
      <c r="P43" s="12">
        <f>1 - CUSTOS!$M$29</f>
        <v>1</v>
      </c>
      <c r="Q43" s="12">
        <f>1*(1 - CUSTOS!$M$29)</f>
        <v>1</v>
      </c>
      <c r="R43" s="12">
        <f>1 - CUSTOS!$M$29</f>
        <v>1</v>
      </c>
      <c r="S43" s="12">
        <f>1 - CUSTOS!$M$29</f>
        <v>1</v>
      </c>
      <c r="T43" s="12"/>
      <c r="U43" s="12">
        <f>TRANSICAO!$U$43*CUSTOS!$T$3</f>
        <v>0</v>
      </c>
      <c r="V43" s="12">
        <f>TRANSICAO!$V$43*CUSTOS!$T$3</f>
        <v>0</v>
      </c>
      <c r="W43" s="12">
        <f>TRANSICAO!$W$43*CUSTOS!$T$3</f>
        <v>0</v>
      </c>
      <c r="X43" s="12">
        <f>TRANSICAO!$X$43*CUSTOS!$T$3</f>
        <v>0</v>
      </c>
      <c r="Y43" s="12">
        <f>TRANSICAO!$Y$43*CUSTOS!$T$3</f>
        <v>0.22620000000000001</v>
      </c>
      <c r="Z43" s="12">
        <f>TRANSICAO!$Z$43*CUSTOS!$T$3</f>
        <v>0</v>
      </c>
      <c r="AA43" s="12">
        <f>TRANSICAO!$AA$43*CUSTOS!$T$3</f>
        <v>0</v>
      </c>
      <c r="AB43" s="12">
        <f>TRANSICAO!$AB$43*CUSTOS!$T$3</f>
        <v>0</v>
      </c>
      <c r="AC43" s="12">
        <f>TRANSICAO!$AC$43*CUSTOS!$T$3</f>
        <v>250.81200000000001</v>
      </c>
      <c r="AD43" s="12">
        <f>TRANSICAO!$AD$43*CUSTOS!$T$3</f>
        <v>0</v>
      </c>
      <c r="AE43" s="12">
        <v>0</v>
      </c>
      <c r="AF43" s="12">
        <v>0</v>
      </c>
      <c r="AG43" s="12"/>
      <c r="AH43" s="12">
        <f>(1 - CUSTOS!$M$29)*26.0827</f>
        <v>26.082699999999999</v>
      </c>
      <c r="AI43" s="12">
        <v>0</v>
      </c>
      <c r="AJ43" s="12">
        <f ca="1">$N$64*(1-CUSTOS!$M$29)</f>
        <v>0</v>
      </c>
      <c r="AK43" s="12">
        <f t="shared" ca="1" si="0"/>
        <v>0</v>
      </c>
      <c r="AL43" s="12"/>
      <c r="AM43" s="12"/>
      <c r="AP43" s="12">
        <f>IF((1 - CUSTOS!$M$29)&lt;&gt;0,1/(1 - CUSTOS!$M$29),1)</f>
        <v>1</v>
      </c>
    </row>
    <row r="44" spans="1:42" ht="11.25" customHeight="1" x14ac:dyDescent="0.25">
      <c r="A44" s="102"/>
      <c r="B44" s="102"/>
      <c r="C44" s="102"/>
      <c r="D44" s="18" t="s">
        <v>89</v>
      </c>
      <c r="E44" s="18" t="s">
        <v>25</v>
      </c>
      <c r="F44" s="18" t="s">
        <v>25</v>
      </c>
      <c r="G44" s="17" t="s">
        <v>77</v>
      </c>
      <c r="H44" s="17" t="s">
        <v>71</v>
      </c>
      <c r="I44" s="17">
        <f>'MERCADO TUSD'!$U$41</f>
        <v>0</v>
      </c>
      <c r="J44" s="15"/>
      <c r="L44" s="12">
        <f>1*(1 - CUSTOS!$M$30)</f>
        <v>1</v>
      </c>
      <c r="M44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2.4784110129770376</v>
      </c>
      <c r="N44" s="12">
        <f ca="1">(+M44+O44+R44+U44+V44+W44+X44+Y44+Z44+AA44+AC44+AH44+AI44+AJ44+AK44)*CUSTOS!$M$5</f>
        <v>2.8159931101297707E-12</v>
      </c>
      <c r="O44" s="12">
        <f>1 - CUSTOS!$M$30</f>
        <v>1</v>
      </c>
      <c r="P44" s="12">
        <f>1 - CUSTOS!$M$30</f>
        <v>1</v>
      </c>
      <c r="Q44" s="12">
        <f>1*(1 - CUSTOS!$M$30)</f>
        <v>1</v>
      </c>
      <c r="R44" s="12">
        <f>1 - CUSTOS!$M$30</f>
        <v>1</v>
      </c>
      <c r="S44" s="12">
        <f>1 - CUSTOS!$M$30</f>
        <v>1</v>
      </c>
      <c r="T44" s="12"/>
      <c r="U44" s="12">
        <f>TRANSICAO!$U$44*CUSTOS!$T$3</f>
        <v>0</v>
      </c>
      <c r="V44" s="12">
        <f>TRANSICAO!$V$44*CUSTOS!$T$3</f>
        <v>0</v>
      </c>
      <c r="W44" s="12">
        <f>TRANSICAO!$W$44*CUSTOS!$T$3</f>
        <v>0</v>
      </c>
      <c r="X44" s="12">
        <f>TRANSICAO!$X$44*CUSTOS!$T$3</f>
        <v>0</v>
      </c>
      <c r="Y44" s="12">
        <f>TRANSICAO!$Y$44*CUSTOS!$T$3</f>
        <v>0.22620000000000001</v>
      </c>
      <c r="Z44" s="12">
        <f>TRANSICAO!$Z$44*CUSTOS!$T$3</f>
        <v>0</v>
      </c>
      <c r="AA44" s="12">
        <f>TRANSICAO!$AA$44*CUSTOS!$T$3</f>
        <v>0</v>
      </c>
      <c r="AB44" s="12">
        <f>TRANSICAO!$AB$44*CUSTOS!$T$3</f>
        <v>0</v>
      </c>
      <c r="AC44" s="12">
        <f>TRANSICAO!$AC$44*CUSTOS!$T$3</f>
        <v>250.81200000000001</v>
      </c>
      <c r="AD44" s="12">
        <f>TRANSICAO!$AD$44*CUSTOS!$T$3</f>
        <v>0</v>
      </c>
      <c r="AE44" s="12">
        <v>0</v>
      </c>
      <c r="AF44" s="12">
        <v>0</v>
      </c>
      <c r="AG44" s="12"/>
      <c r="AH44" s="12">
        <f>(1 - CUSTOS!$M$30)*26.0827</f>
        <v>26.082699999999999</v>
      </c>
      <c r="AI44" s="12">
        <v>0</v>
      </c>
      <c r="AJ44" s="12">
        <f ca="1">$N$64*(1-CUSTOS!$M$30)</f>
        <v>0</v>
      </c>
      <c r="AK44" s="12">
        <f t="shared" ca="1" si="0"/>
        <v>0</v>
      </c>
      <c r="AL44" s="12"/>
      <c r="AM44" s="12"/>
      <c r="AP44" s="12">
        <f>IF((1 - CUSTOS!$M$30)&lt;&gt;0,1/(1 - CUSTOS!$M$30),1)</f>
        <v>1</v>
      </c>
    </row>
    <row r="45" spans="1:42" ht="11.25" customHeight="1" x14ac:dyDescent="0.25">
      <c r="A45" s="102" t="s">
        <v>33</v>
      </c>
      <c r="B45" s="102" t="s">
        <v>85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17" t="s">
        <v>72</v>
      </c>
      <c r="H45" s="17" t="s">
        <v>71</v>
      </c>
      <c r="I45" s="17">
        <f>'MERCADO TUSD'!$U$42</f>
        <v>0</v>
      </c>
      <c r="J45" s="15"/>
      <c r="L45" s="12">
        <f>1*(1 - CUSTOS!$M$31)</f>
        <v>1</v>
      </c>
      <c r="M45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2.4784110129770376</v>
      </c>
      <c r="N45" s="12">
        <f ca="1">(+M45+O45+R45+U45+V45+W45+X45+Y45+Z45+AA45+AC45+AH45+AI45+AJ45+AK45)*CUSTOS!$M$5</f>
        <v>7.8367591101297706E-12</v>
      </c>
      <c r="O45" s="12">
        <f>1 - CUSTOS!$M$31</f>
        <v>1</v>
      </c>
      <c r="P45" s="12">
        <f>1 - CUSTOS!$M$31</f>
        <v>1</v>
      </c>
      <c r="Q45" s="12">
        <f>1*(1 - CUSTOS!$M$31)</f>
        <v>1</v>
      </c>
      <c r="R45" s="12">
        <f>1 - CUSTOS!$M$31</f>
        <v>1</v>
      </c>
      <c r="S45" s="12">
        <f>1 - CUSTOS!$M$31</f>
        <v>1</v>
      </c>
      <c r="T45" s="12"/>
      <c r="U45" s="12">
        <f>TRANSICAO!$U$45*CUSTOS!$T$3</f>
        <v>0</v>
      </c>
      <c r="V45" s="12">
        <f>TRANSICAO!$V$45*CUSTOS!$T$3</f>
        <v>0</v>
      </c>
      <c r="W45" s="12">
        <f>TRANSICAO!$W$45*CUSTOS!$T$3</f>
        <v>0</v>
      </c>
      <c r="X45" s="12">
        <f>TRANSICAO!$X$45*CUSTOS!$T$3</f>
        <v>0</v>
      </c>
      <c r="Y45" s="12">
        <f>TRANSICAO!$Y$45*CUSTOS!$T$3</f>
        <v>0.67849999999999999</v>
      </c>
      <c r="Z45" s="12">
        <f>TRANSICAO!$Z$45*CUSTOS!$T$3</f>
        <v>0</v>
      </c>
      <c r="AA45" s="12">
        <f>TRANSICAO!$AA$45*CUSTOS!$T$3</f>
        <v>0</v>
      </c>
      <c r="AB45" s="12">
        <f>TRANSICAO!$AB$45*CUSTOS!$T$3</f>
        <v>0</v>
      </c>
      <c r="AC45" s="12">
        <f>TRANSICAO!$AC$45*CUSTOS!$T$3</f>
        <v>752.43629999999996</v>
      </c>
      <c r="AD45" s="12">
        <f>TRANSICAO!$AD$45*CUSTOS!$T$3</f>
        <v>0</v>
      </c>
      <c r="AE45" s="12">
        <v>0</v>
      </c>
      <c r="AF45" s="12">
        <v>0</v>
      </c>
      <c r="AG45" s="12"/>
      <c r="AH45" s="12">
        <f>(1 - CUSTOS!$M$31)*26.0827</f>
        <v>26.082699999999999</v>
      </c>
      <c r="AI45" s="12">
        <v>0</v>
      </c>
      <c r="AJ45" s="12">
        <f ca="1">$N$64*(1-CUSTOS!$M$31)</f>
        <v>0</v>
      </c>
      <c r="AK45" s="12">
        <f t="shared" ca="1" si="0"/>
        <v>0</v>
      </c>
      <c r="AL45" s="12"/>
      <c r="AM45" s="12"/>
      <c r="AP45" s="12">
        <f>IF((1 - CUSTOS!$M$31)&lt;&gt;0,1/(1 - CUSTOS!$M$31),1)</f>
        <v>1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17" t="s">
        <v>83</v>
      </c>
      <c r="H46" s="17" t="s">
        <v>71</v>
      </c>
      <c r="I46" s="17">
        <f>'MERCADO TUSD'!$U$43</f>
        <v>0</v>
      </c>
      <c r="J46" s="15"/>
      <c r="L46" s="12">
        <f>1*(1 - CUSTOS!$M$31)</f>
        <v>1</v>
      </c>
      <c r="M46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2.4784110129770376</v>
      </c>
      <c r="N46" s="12">
        <f ca="1">(+M46+O46+R46+U46+V46+W46+X46+Y46+Z46+AA46+AC46+AH46+AI46+AJ46+AK46)*CUSTOS!$M$5</f>
        <v>4.8242991101297703E-12</v>
      </c>
      <c r="O46" s="12">
        <f>1 - CUSTOS!$M$31</f>
        <v>1</v>
      </c>
      <c r="P46" s="12">
        <f>1 - CUSTOS!$M$31</f>
        <v>1</v>
      </c>
      <c r="Q46" s="12">
        <f>1*(1 - CUSTOS!$M$31)</f>
        <v>1</v>
      </c>
      <c r="R46" s="12">
        <f>1 - CUSTOS!$M$31</f>
        <v>1</v>
      </c>
      <c r="S46" s="12">
        <f>1 - CUSTOS!$M$31</f>
        <v>1</v>
      </c>
      <c r="T46" s="12"/>
      <c r="U46" s="12">
        <f>TRANSICAO!$U$46*CUSTOS!$T$3</f>
        <v>0</v>
      </c>
      <c r="V46" s="12">
        <f>TRANSICAO!$V$46*CUSTOS!$T$3</f>
        <v>0</v>
      </c>
      <c r="W46" s="12">
        <f>TRANSICAO!$W$46*CUSTOS!$T$3</f>
        <v>0</v>
      </c>
      <c r="X46" s="12">
        <f>TRANSICAO!$X$46*CUSTOS!$T$3</f>
        <v>0</v>
      </c>
      <c r="Y46" s="12">
        <f>TRANSICAO!$Y$46*CUSTOS!$T$3</f>
        <v>0.40710000000000002</v>
      </c>
      <c r="Z46" s="12">
        <f>TRANSICAO!$Z$46*CUSTOS!$T$3</f>
        <v>0</v>
      </c>
      <c r="AA46" s="12">
        <f>TRANSICAO!$AA$46*CUSTOS!$T$3</f>
        <v>0</v>
      </c>
      <c r="AB46" s="12">
        <f>TRANSICAO!$AB$46*CUSTOS!$T$3</f>
        <v>0</v>
      </c>
      <c r="AC46" s="12">
        <f>TRANSICAO!$AC$46*CUSTOS!$T$3</f>
        <v>451.46170000000001</v>
      </c>
      <c r="AD46" s="12">
        <f>TRANSICAO!$AD$46*CUSTOS!$T$3</f>
        <v>0</v>
      </c>
      <c r="AE46" s="12">
        <v>0</v>
      </c>
      <c r="AF46" s="12">
        <v>0</v>
      </c>
      <c r="AG46" s="12"/>
      <c r="AH46" s="12">
        <f>(1 - CUSTOS!$M$31)*26.0827</f>
        <v>26.082699999999999</v>
      </c>
      <c r="AI46" s="12">
        <v>0</v>
      </c>
      <c r="AJ46" s="12">
        <f ca="1">$N$64*(1-CUSTOS!$M$31)</f>
        <v>0</v>
      </c>
      <c r="AK46" s="12">
        <f t="shared" ca="1" si="0"/>
        <v>0</v>
      </c>
      <c r="AL46" s="12"/>
      <c r="AM46" s="12"/>
      <c r="AP46" s="12">
        <f>IF((1 - CUSTOS!$M$31)&lt;&gt;0,1/(1 - CUSTOS!$M$31),1)</f>
        <v>1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17" t="s">
        <v>73</v>
      </c>
      <c r="H47" s="17" t="s">
        <v>71</v>
      </c>
      <c r="I47" s="17">
        <f>'MERCADO TUSD'!$U$44</f>
        <v>0</v>
      </c>
      <c r="J47" s="15"/>
      <c r="L47" s="12">
        <f>1*(1 - CUSTOS!$M$31)</f>
        <v>1</v>
      </c>
      <c r="M47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2.4784110129770376</v>
      </c>
      <c r="N47" s="12">
        <f ca="1">(+M47+O47+R47+U47+V47+W47+X47+Y47+Z47+AA47+AC47+AH47+AI47+AJ47+AK47)*CUSTOS!$M$5</f>
        <v>1.8118411101297704E-12</v>
      </c>
      <c r="O47" s="12">
        <f>1 - CUSTOS!$M$31</f>
        <v>1</v>
      </c>
      <c r="P47" s="12">
        <f>1 - CUSTOS!$M$31</f>
        <v>1</v>
      </c>
      <c r="Q47" s="12">
        <f>1*(1 - CUSTOS!$M$31)</f>
        <v>1</v>
      </c>
      <c r="R47" s="12">
        <f>1 - CUSTOS!$M$31</f>
        <v>1</v>
      </c>
      <c r="S47" s="12">
        <f>1 - CUSTOS!$M$31</f>
        <v>1</v>
      </c>
      <c r="T47" s="12"/>
      <c r="U47" s="12">
        <f>TRANSICAO!$U$47*CUSTOS!$T$3</f>
        <v>0</v>
      </c>
      <c r="V47" s="12">
        <f>TRANSICAO!$V$47*CUSTOS!$T$3</f>
        <v>0</v>
      </c>
      <c r="W47" s="12">
        <f>TRANSICAO!$W$47*CUSTOS!$T$3</f>
        <v>0</v>
      </c>
      <c r="X47" s="12">
        <f>TRANSICAO!$X$47*CUSTOS!$T$3</f>
        <v>0</v>
      </c>
      <c r="Y47" s="12">
        <f>TRANSICAO!$Y$47*CUSTOS!$T$3</f>
        <v>0.13569999999999999</v>
      </c>
      <c r="Z47" s="12">
        <f>TRANSICAO!$Z$47*CUSTOS!$T$3</f>
        <v>0</v>
      </c>
      <c r="AA47" s="12">
        <f>TRANSICAO!$AA$47*CUSTOS!$T$3</f>
        <v>0</v>
      </c>
      <c r="AB47" s="12">
        <f>TRANSICAO!$AB$47*CUSTOS!$T$3</f>
        <v>0</v>
      </c>
      <c r="AC47" s="12">
        <f>TRANSICAO!$AC$47*CUSTOS!$T$3</f>
        <v>150.4873</v>
      </c>
      <c r="AD47" s="12">
        <f>TRANSICAO!$AD$47*CUSTOS!$T$3</f>
        <v>0</v>
      </c>
      <c r="AE47" s="12">
        <v>0</v>
      </c>
      <c r="AF47" s="12">
        <v>0</v>
      </c>
      <c r="AG47" s="12"/>
      <c r="AH47" s="12">
        <f>(1 - CUSTOS!$M$31)*26.0827</f>
        <v>26.082699999999999</v>
      </c>
      <c r="AI47" s="12">
        <v>0</v>
      </c>
      <c r="AJ47" s="12">
        <f ca="1">$N$64*(1-CUSTOS!$M$31)</f>
        <v>0</v>
      </c>
      <c r="AK47" s="12">
        <f t="shared" ca="1" si="0"/>
        <v>0</v>
      </c>
      <c r="AL47" s="12"/>
      <c r="AM47" s="12"/>
      <c r="AP47" s="12">
        <f>IF((1 - CUSTOS!$M$31)&lt;&gt;0,1/(1 - CUSTOS!$M$31),1)</f>
        <v>1</v>
      </c>
    </row>
    <row r="48" spans="1:42" ht="11.25" customHeight="1" x14ac:dyDescent="0.25">
      <c r="A48" s="102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77</v>
      </c>
      <c r="H48" s="17" t="s">
        <v>71</v>
      </c>
      <c r="I48" s="17">
        <f>'MERCADO TUSD'!$U$45</f>
        <v>9552.121000000001</v>
      </c>
      <c r="J48" s="15"/>
      <c r="L48" s="12">
        <f>1*(1 - CUSTOS!$M$31)</f>
        <v>1</v>
      </c>
      <c r="M48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2.4784110129770376</v>
      </c>
      <c r="N48" s="12">
        <f ca="1">(+M48+O48+R48+U48+V48+W48+X48+Y48+Z48+AA48+AC48+AH48+AI48+AJ48+AK48)*CUSTOS!$M$5</f>
        <v>2.8159931101297707E-12</v>
      </c>
      <c r="O48" s="12">
        <f>1 - CUSTOS!$M$31</f>
        <v>1</v>
      </c>
      <c r="P48" s="12">
        <f>1 - CUSTOS!$M$31</f>
        <v>1</v>
      </c>
      <c r="Q48" s="12">
        <f>1*(1 - CUSTOS!$M$31)</f>
        <v>1</v>
      </c>
      <c r="R48" s="12">
        <f>1 - CUSTOS!$M$31</f>
        <v>1</v>
      </c>
      <c r="S48" s="12">
        <f>1 - CUSTOS!$M$31</f>
        <v>1</v>
      </c>
      <c r="T48" s="12"/>
      <c r="U48" s="12">
        <f>TRANSICAO!$U$48*CUSTOS!$T$3</f>
        <v>0</v>
      </c>
      <c r="V48" s="12">
        <f>TRANSICAO!$V$48*CUSTOS!$T$3</f>
        <v>0</v>
      </c>
      <c r="W48" s="12">
        <f>TRANSICAO!$W$48*CUSTOS!$T$3</f>
        <v>0</v>
      </c>
      <c r="X48" s="12">
        <f>TRANSICAO!$X$48*CUSTOS!$T$3</f>
        <v>0</v>
      </c>
      <c r="Y48" s="12">
        <f>TRANSICAO!$Y$48*CUSTOS!$T$3</f>
        <v>0.22620000000000001</v>
      </c>
      <c r="Z48" s="12">
        <f>TRANSICAO!$Z$48*CUSTOS!$T$3</f>
        <v>0</v>
      </c>
      <c r="AA48" s="12">
        <f>TRANSICAO!$AA$48*CUSTOS!$T$3</f>
        <v>0</v>
      </c>
      <c r="AB48" s="12">
        <f>TRANSICAO!$AB$48*CUSTOS!$T$3</f>
        <v>0</v>
      </c>
      <c r="AC48" s="12">
        <f>TRANSICAO!$AC$48*CUSTOS!$T$3</f>
        <v>250.81200000000001</v>
      </c>
      <c r="AD48" s="12">
        <f>TRANSICAO!$AD$48*CUSTOS!$T$3</f>
        <v>0</v>
      </c>
      <c r="AE48" s="12">
        <v>0</v>
      </c>
      <c r="AF48" s="12">
        <v>0</v>
      </c>
      <c r="AG48" s="12"/>
      <c r="AH48" s="12">
        <f>(1 - CUSTOS!$M$31)*26.0827</f>
        <v>26.082699999999999</v>
      </c>
      <c r="AI48" s="12">
        <v>0</v>
      </c>
      <c r="AJ48" s="12">
        <f ca="1">$N$64*(1-CUSTOS!$M$31)</f>
        <v>0</v>
      </c>
      <c r="AK48" s="12">
        <f t="shared" ca="1" si="0"/>
        <v>0</v>
      </c>
      <c r="AL48" s="12"/>
      <c r="AM48" s="12"/>
      <c r="AP48" s="12">
        <f>IF((1 - CUSTOS!$M$31)&lt;&gt;0,1/(1 - CUSTOS!$M$31),1)</f>
        <v>1</v>
      </c>
    </row>
    <row r="49" spans="1:42" ht="11.25" customHeight="1" x14ac:dyDescent="0.25">
      <c r="A49" s="102"/>
      <c r="B49" s="18" t="s">
        <v>87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77</v>
      </c>
      <c r="H49" s="17" t="s">
        <v>71</v>
      </c>
      <c r="I49" s="17">
        <f>'MERCADO TUSD'!$U$46</f>
        <v>0</v>
      </c>
      <c r="J49" s="15"/>
      <c r="L49" s="12">
        <f>1*(1 - CUSTOS!$M$31)</f>
        <v>1</v>
      </c>
      <c r="M49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2.4784110129770376</v>
      </c>
      <c r="N49" s="12">
        <f ca="1">(+M49+O49+R49+U49+V49+W49+X49+Y49+Z49+AA49+AC49+AH49+AI49+AJ49+AK49)*CUSTOS!$M$5</f>
        <v>2.8159931101297707E-12</v>
      </c>
      <c r="O49" s="12">
        <f>1 - CUSTOS!$M$31</f>
        <v>1</v>
      </c>
      <c r="P49" s="12">
        <f>1 - CUSTOS!$M$31</f>
        <v>1</v>
      </c>
      <c r="Q49" s="12">
        <f>1*(1 - CUSTOS!$M$31)</f>
        <v>1</v>
      </c>
      <c r="R49" s="12">
        <f>1 - CUSTOS!$M$31</f>
        <v>1</v>
      </c>
      <c r="S49" s="12">
        <f>1 - CUSTOS!$M$31</f>
        <v>1</v>
      </c>
      <c r="T49" s="12"/>
      <c r="U49" s="12">
        <f>TRANSICAO!$U$49*CUSTOS!$T$3</f>
        <v>0</v>
      </c>
      <c r="V49" s="12">
        <f>TRANSICAO!$V$49*CUSTOS!$T$3</f>
        <v>0</v>
      </c>
      <c r="W49" s="12">
        <f>TRANSICAO!$W$49*CUSTOS!$T$3</f>
        <v>0</v>
      </c>
      <c r="X49" s="12">
        <f>TRANSICAO!$X$49*CUSTOS!$T$3</f>
        <v>0</v>
      </c>
      <c r="Y49" s="12">
        <f>TRANSICAO!$Y$49*CUSTOS!$T$3</f>
        <v>0.22620000000000001</v>
      </c>
      <c r="Z49" s="12">
        <f>TRANSICAO!$Z$49*CUSTOS!$T$3</f>
        <v>0</v>
      </c>
      <c r="AA49" s="12">
        <f>TRANSICAO!$AA$49*CUSTOS!$T$3</f>
        <v>0</v>
      </c>
      <c r="AB49" s="12">
        <f>TRANSICAO!$AB$49*CUSTOS!$T$3</f>
        <v>0</v>
      </c>
      <c r="AC49" s="12">
        <f>TRANSICAO!$AC$49*CUSTOS!$T$3</f>
        <v>250.81200000000001</v>
      </c>
      <c r="AD49" s="12">
        <f>TRANSICAO!$AD$49*CUSTOS!$T$3</f>
        <v>0</v>
      </c>
      <c r="AE49" s="12">
        <v>0</v>
      </c>
      <c r="AF49" s="12">
        <v>0</v>
      </c>
      <c r="AG49" s="12"/>
      <c r="AH49" s="12">
        <f>(1 - CUSTOS!$M$31)*26.0827</f>
        <v>26.082699999999999</v>
      </c>
      <c r="AI49" s="12">
        <v>0</v>
      </c>
      <c r="AJ49" s="12">
        <f ca="1">$N$64*(1-CUSTOS!$M$31)</f>
        <v>0</v>
      </c>
      <c r="AK49" s="12">
        <f t="shared" ca="1" si="0"/>
        <v>0</v>
      </c>
      <c r="AL49" s="12"/>
      <c r="AM49" s="12"/>
      <c r="AP49" s="12">
        <f>IF((1 - CUSTOS!$M$31)&lt;&gt;0,1/(1 - CUSTOS!$M$31),1)</f>
        <v>1</v>
      </c>
    </row>
    <row r="50" spans="1:42" ht="11.25" customHeight="1" x14ac:dyDescent="0.25">
      <c r="A50" s="102" t="s">
        <v>43</v>
      </c>
      <c r="B50" s="102" t="s">
        <v>23</v>
      </c>
      <c r="C50" s="102" t="s">
        <v>44</v>
      </c>
      <c r="D50" s="18" t="s">
        <v>45</v>
      </c>
      <c r="E50" s="18" t="s">
        <v>25</v>
      </c>
      <c r="F50" s="18" t="s">
        <v>25</v>
      </c>
      <c r="G50" s="17" t="s">
        <v>77</v>
      </c>
      <c r="H50" s="17" t="s">
        <v>71</v>
      </c>
      <c r="I50" s="17">
        <f>'MERCADO TUSD'!$U$47</f>
        <v>4840.4129999999996</v>
      </c>
      <c r="J50" s="15"/>
      <c r="L50" s="12">
        <f>1*(1 - CUSTOS!$M$32)</f>
        <v>0.55000000000000004</v>
      </c>
      <c r="M50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1.3631260571373707</v>
      </c>
      <c r="N50" s="12">
        <f ca="1">(+M50+O50+R50+U50+V50+W50+X50+Y50+Z50+AA50+AC50+AH50+AI50+AJ50+AK50)*CUSTOS!$M$5</f>
        <v>1.5487962105713739E-12</v>
      </c>
      <c r="O50" s="12">
        <f>1 - CUSTOS!$M$32</f>
        <v>0.55000000000000004</v>
      </c>
      <c r="P50" s="12">
        <f>1 - CUSTOS!$M$32</f>
        <v>0.55000000000000004</v>
      </c>
      <c r="Q50" s="12">
        <f>1*(1 - CUSTOS!$M$32)</f>
        <v>0.55000000000000004</v>
      </c>
      <c r="R50" s="12">
        <f>1 - CUSTOS!$M$32</f>
        <v>0.55000000000000004</v>
      </c>
      <c r="S50" s="12">
        <f>1 - CUSTOS!$M$32</f>
        <v>0.55000000000000004</v>
      </c>
      <c r="T50" s="12"/>
      <c r="U50" s="12">
        <f>TRANSICAO!$U$50*CUSTOS!$T$3</f>
        <v>0</v>
      </c>
      <c r="V50" s="12">
        <f>TRANSICAO!$V$50*CUSTOS!$T$3</f>
        <v>0</v>
      </c>
      <c r="W50" s="12">
        <f>TRANSICAO!$W$50*CUSTOS!$T$3</f>
        <v>0</v>
      </c>
      <c r="X50" s="12">
        <f>TRANSICAO!$X$50*CUSTOS!$T$3</f>
        <v>0</v>
      </c>
      <c r="Y50" s="12">
        <f>TRANSICAO!$Y$50*CUSTOS!$T$3</f>
        <v>0.12441000000000002</v>
      </c>
      <c r="Z50" s="12">
        <f>TRANSICAO!$Z$50*CUSTOS!$T$3</f>
        <v>0</v>
      </c>
      <c r="AA50" s="12">
        <f>TRANSICAO!$AA$50*CUSTOS!$T$3</f>
        <v>0</v>
      </c>
      <c r="AB50" s="12">
        <f>TRANSICAO!$AB$50*CUSTOS!$T$3</f>
        <v>0</v>
      </c>
      <c r="AC50" s="12">
        <f>TRANSICAO!$AC$50*CUSTOS!$T$3</f>
        <v>137.94660000000002</v>
      </c>
      <c r="AD50" s="12">
        <f>TRANSICAO!$AD$50*CUSTOS!$T$3</f>
        <v>0</v>
      </c>
      <c r="AE50" s="12">
        <v>0</v>
      </c>
      <c r="AF50" s="12">
        <v>0</v>
      </c>
      <c r="AG50" s="12"/>
      <c r="AH50" s="12">
        <f>(1 - CUSTOS!$M$32)*26.0827</f>
        <v>14.345485</v>
      </c>
      <c r="AI50" s="12">
        <v>0</v>
      </c>
      <c r="AJ50" s="12">
        <f ca="1">$N$64*(1-CUSTOS!$M$32)</f>
        <v>0</v>
      </c>
      <c r="AK50" s="12">
        <f t="shared" ca="1" si="0"/>
        <v>0</v>
      </c>
      <c r="AL50" s="12"/>
      <c r="AM50" s="12"/>
      <c r="AP50" s="12">
        <f>IF((1 - CUSTOS!$M$32)&lt;&gt;0,1/(1 - CUSTOS!$M$32),1)</f>
        <v>1.8181818181818181</v>
      </c>
    </row>
    <row r="51" spans="1:42" ht="11.25" customHeight="1" x14ac:dyDescent="0.25">
      <c r="A51" s="102"/>
      <c r="B51" s="102"/>
      <c r="C51" s="102"/>
      <c r="D51" s="17" t="s">
        <v>90</v>
      </c>
      <c r="E51" s="17" t="s">
        <v>25</v>
      </c>
      <c r="F51" s="17" t="s">
        <v>25</v>
      </c>
      <c r="G51" s="17" t="s">
        <v>77</v>
      </c>
      <c r="H51" s="17" t="s">
        <v>71</v>
      </c>
      <c r="I51" s="17">
        <f>'MERCADO TUSD'!$U$48</f>
        <v>0</v>
      </c>
      <c r="J51" s="15"/>
      <c r="L51" s="12">
        <f>1*(1 - CUSTOS!$M$33)</f>
        <v>0.6</v>
      </c>
      <c r="M51" s="12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1.4870466077862226</v>
      </c>
      <c r="N51" s="12">
        <f ca="1">(+M51+O51+R51+U51+V51+W51+X51+Y51+Z51+AA51+AC51+AH51+AI51+AJ51+AK51)*CUSTOS!$M$5</f>
        <v>1.6895958660778623E-12</v>
      </c>
      <c r="O51" s="12">
        <f>1 - CUSTOS!$M$33</f>
        <v>0.6</v>
      </c>
      <c r="P51" s="12">
        <f>1 - CUSTOS!$M$33</f>
        <v>0.6</v>
      </c>
      <c r="Q51" s="12">
        <f>1*(1 - CUSTOS!$M$33)</f>
        <v>0.6</v>
      </c>
      <c r="R51" s="12">
        <f>1 - CUSTOS!$M$33</f>
        <v>0.6</v>
      </c>
      <c r="S51" s="12">
        <f>1 - CUSTOS!$M$33</f>
        <v>0.6</v>
      </c>
      <c r="T51" s="12"/>
      <c r="U51" s="12">
        <f>TRANSICAO!$U$51*CUSTOS!$T$3</f>
        <v>0</v>
      </c>
      <c r="V51" s="12">
        <f>TRANSICAO!$V$51*CUSTOS!$T$3</f>
        <v>0</v>
      </c>
      <c r="W51" s="12">
        <f>TRANSICAO!$W$51*CUSTOS!$T$3</f>
        <v>0</v>
      </c>
      <c r="X51" s="12">
        <f>TRANSICAO!$X$51*CUSTOS!$T$3</f>
        <v>0</v>
      </c>
      <c r="Y51" s="12">
        <f>TRANSICAO!$Y$51*CUSTOS!$T$3</f>
        <v>0.13572000000000001</v>
      </c>
      <c r="Z51" s="12">
        <f>TRANSICAO!$Z$51*CUSTOS!$T$3</f>
        <v>0</v>
      </c>
      <c r="AA51" s="12">
        <f>TRANSICAO!$AA$51*CUSTOS!$T$3</f>
        <v>0</v>
      </c>
      <c r="AB51" s="12">
        <f>TRANSICAO!$AB$51*CUSTOS!$T$3</f>
        <v>0</v>
      </c>
      <c r="AC51" s="12">
        <f>TRANSICAO!$AC$51*CUSTOS!$T$3</f>
        <v>150.4872</v>
      </c>
      <c r="AD51" s="12">
        <f>TRANSICAO!$AD$51*CUSTOS!$T$3</f>
        <v>0</v>
      </c>
      <c r="AE51" s="12">
        <v>0</v>
      </c>
      <c r="AF51" s="12">
        <v>0</v>
      </c>
      <c r="AG51" s="12"/>
      <c r="AH51" s="12">
        <f>(1 - CUSTOS!$M$33)*26.0827</f>
        <v>15.649619999999999</v>
      </c>
      <c r="AI51" s="12">
        <v>0</v>
      </c>
      <c r="AJ51" s="12">
        <f ca="1">$N$64*(1-CUSTOS!$M$33)</f>
        <v>0</v>
      </c>
      <c r="AK51" s="12">
        <f t="shared" ca="1" si="0"/>
        <v>0</v>
      </c>
      <c r="AL51" s="12"/>
      <c r="AM51" s="12"/>
      <c r="AP51" s="12">
        <f>IF((1 - CUSTOS!$M$33)&lt;&gt;0,1/(1 - CUSTOS!$M$33),1)</f>
        <v>1.6666666666666667</v>
      </c>
    </row>
    <row r="53" spans="1:42" ht="11.25" customHeight="1" x14ac:dyDescent="0.25">
      <c r="K53" s="16" t="s">
        <v>463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42" ht="11.25" customHeight="1" x14ac:dyDescent="0.25">
      <c r="K54" s="16" t="s">
        <v>464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1:42" ht="11.25" customHeight="1" x14ac:dyDescent="0.25">
      <c r="K55" s="16" t="s">
        <v>465</v>
      </c>
      <c r="L55" s="12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86989.594870000015</v>
      </c>
      <c r="M55" s="12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218984.05721102492</v>
      </c>
      <c r="N55" s="12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2.2113272341619464E-7</v>
      </c>
      <c r="O55" s="12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90173.539150000011</v>
      </c>
      <c r="P55" s="12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89497.652150000009</v>
      </c>
      <c r="Q55" s="12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86989.594870000015</v>
      </c>
      <c r="R55" s="12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89497.652150000009</v>
      </c>
      <c r="S55" s="12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90173.539150000011</v>
      </c>
      <c r="T55" s="12"/>
      <c r="U55" s="12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2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2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2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2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23494.930612929998</v>
      </c>
      <c r="Z55" s="12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2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2"/>
      <c r="AC55" s="12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22160904.333312396</v>
      </c>
      <c r="AD55" s="12"/>
      <c r="AE55" s="12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2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2"/>
      <c r="AH55" s="12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2124342.7934623049</v>
      </c>
      <c r="AI55" s="12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6262.305521000002</v>
      </c>
      <c r="AJ55" s="12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2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2"/>
      <c r="AM55" s="12"/>
    </row>
    <row r="56" spans="1:42" ht="11.25" customHeight="1" x14ac:dyDescent="0.25">
      <c r="K56" s="16" t="s">
        <v>402</v>
      </c>
      <c r="L56" s="12">
        <f>CUSTOS!$D$2</f>
        <v>0</v>
      </c>
      <c r="M56" s="12">
        <f>CUSTOS!$D$3</f>
        <v>224382.49700997537</v>
      </c>
      <c r="N56" s="12">
        <f>CUSTOS!$D$4</f>
        <v>0</v>
      </c>
      <c r="O56" s="12">
        <f>CUSTOS!$D$5</f>
        <v>0</v>
      </c>
      <c r="P56" s="12">
        <f>CUSTOS!$D$6</f>
        <v>0</v>
      </c>
      <c r="Q56" s="12">
        <f>CUSTOS!$D$7</f>
        <v>7967235.2594800005</v>
      </c>
      <c r="R56" s="12">
        <f>CUSTOS!$D$8</f>
        <v>1295379.5909400003</v>
      </c>
      <c r="S56" s="12">
        <f>CUSTOS!$D$9</f>
        <v>0</v>
      </c>
      <c r="T56" s="12">
        <f>CUSTOS!$D$10</f>
        <v>9486997.3474299759</v>
      </c>
      <c r="U56" s="12">
        <f>CUSTOS!$D$11</f>
        <v>0</v>
      </c>
      <c r="V56" s="12">
        <f>IF(SUM(V53:V55)&lt;&gt;0,CUSTOS!$D$12+CUSTOS!$D$16+CUSTOS!$D$17-'TR TUSD'!$Z$54-'TR TUSD'!$AA$54,0)</f>
        <v>0</v>
      </c>
      <c r="W56" s="12">
        <f>CUSTOS!$D$13</f>
        <v>0</v>
      </c>
      <c r="X56" s="12">
        <f>CUSTOS!$D$14</f>
        <v>0</v>
      </c>
      <c r="Y56" s="12">
        <f>IF(SUM(V53:V55)=0,CUSTOS!$D$15+CUSTOS!$D$16+CUSTOS!$D$17-'TR TUSD'!$Z$54-'TR TUSD'!$AA$54,CUSTOS!$D$15)</f>
        <v>14682368.972575199</v>
      </c>
      <c r="Z56" s="12">
        <f>Z54</f>
        <v>0</v>
      </c>
      <c r="AA56" s="12">
        <f>AA54</f>
        <v>0</v>
      </c>
      <c r="AB56" s="12">
        <f>CUSTOS!$D$18</f>
        <v>14682368.972575199</v>
      </c>
      <c r="AC56" s="12">
        <f>CUSTOS!$D$19</f>
        <v>47785171.07</v>
      </c>
      <c r="AD56" s="12">
        <f>CUSTOS!$D$20</f>
        <v>47785171.07</v>
      </c>
      <c r="AE56" s="12">
        <f>CUSTOS!$D$21</f>
        <v>0</v>
      </c>
      <c r="AF56" s="12">
        <f>CUSTOS!$D$22</f>
        <v>0</v>
      </c>
      <c r="AG56" s="12">
        <f>CUSTOS!$D$23</f>
        <v>0</v>
      </c>
      <c r="AH56" s="12">
        <f>CUSTOS!$D$24</f>
        <v>2269891.8234067685</v>
      </c>
      <c r="AI56" s="12">
        <f>CUSTOS!$D$25</f>
        <v>0</v>
      </c>
      <c r="AJ56" s="12">
        <f>CUSTOS!$D$26</f>
        <v>0</v>
      </c>
      <c r="AK56" s="12">
        <f>CUSTOS!$D$27</f>
        <v>0</v>
      </c>
      <c r="AL56" s="12">
        <f>CUSTOS!$D$28</f>
        <v>2269891.8234067685</v>
      </c>
      <c r="AM56" s="12">
        <f>CUSTOS!$D$29</f>
        <v>74224429.213411942</v>
      </c>
    </row>
    <row r="57" spans="1:42" ht="11.25" customHeight="1" x14ac:dyDescent="0.25">
      <c r="K57" s="16" t="s">
        <v>403</v>
      </c>
      <c r="L57" s="12">
        <f>CUSTOS!$E$2</f>
        <v>0</v>
      </c>
      <c r="M57" s="12">
        <f>CUSTOS!$E$3</f>
        <v>-14709.601146487978</v>
      </c>
      <c r="N57" s="12">
        <f>CUSTOS!$E$4</f>
        <v>0</v>
      </c>
      <c r="O57" s="12">
        <f>CUSTOS!$E$5</f>
        <v>0</v>
      </c>
      <c r="P57" s="12">
        <f>CUSTOS!$E$6</f>
        <v>0</v>
      </c>
      <c r="Q57" s="12">
        <f>CUSTOS!$E$7</f>
        <v>-352322.36415854463</v>
      </c>
      <c r="R57" s="12">
        <f>CUSTOS!$E$8</f>
        <v>-55891.756176992785</v>
      </c>
      <c r="S57" s="12">
        <f>CUSTOS!$E$9</f>
        <v>0</v>
      </c>
      <c r="T57" s="12">
        <f>CUSTOS!$E$10</f>
        <v>-422923.7214820254</v>
      </c>
      <c r="U57" s="12">
        <f>CUSTOS!$E$11</f>
        <v>0</v>
      </c>
      <c r="V57" s="12">
        <f>CUSTOS!$E$12</f>
        <v>0</v>
      </c>
      <c r="W57" s="12">
        <f>CUSTOS!$E$13</f>
        <v>0</v>
      </c>
      <c r="X57" s="12">
        <f>CUSTOS!$E$14</f>
        <v>0</v>
      </c>
      <c r="Y57" s="12">
        <f>CUSTOS!$E$15</f>
        <v>379960.11212711188</v>
      </c>
      <c r="Z57" s="12">
        <f>CUSTOS!$E$16</f>
        <v>0</v>
      </c>
      <c r="AA57" s="12">
        <f>CUSTOS!$E$17</f>
        <v>0</v>
      </c>
      <c r="AB57" s="12">
        <f>CUSTOS!$E$18</f>
        <v>379960.11212711188</v>
      </c>
      <c r="AC57" s="12">
        <f>CUSTOS!$E$19</f>
        <v>-29299244.538198307</v>
      </c>
      <c r="AD57" s="12">
        <f>CUSTOS!$E$20</f>
        <v>-29299244.538198307</v>
      </c>
      <c r="AE57" s="12">
        <f>CUSTOS!$E$21</f>
        <v>0</v>
      </c>
      <c r="AF57" s="12">
        <f>CUSTOS!$E$22</f>
        <v>0</v>
      </c>
      <c r="AG57" s="12">
        <f>CUSTOS!$E$23</f>
        <v>0</v>
      </c>
      <c r="AH57" s="12">
        <f>CUSTOS!$E$24</f>
        <v>162319.00512850611</v>
      </c>
      <c r="AI57" s="12">
        <f>CUSTOS!$E$25</f>
        <v>0</v>
      </c>
      <c r="AJ57" s="12">
        <f>CUSTOS!$E$26</f>
        <v>0</v>
      </c>
      <c r="AK57" s="12">
        <f>CUSTOS!$E$27</f>
        <v>0</v>
      </c>
      <c r="AL57" s="12">
        <f>CUSTOS!$E$28</f>
        <v>162319.00512850611</v>
      </c>
      <c r="AM57" s="12">
        <f>CUSTOS!$E$29</f>
        <v>-29179889.142424714</v>
      </c>
    </row>
    <row r="58" spans="1:42" ht="11.25" customHeight="1" x14ac:dyDescent="0.25">
      <c r="K58" s="16" t="s">
        <v>404</v>
      </c>
      <c r="L58" s="12">
        <f>CUSTOS!$F$2</f>
        <v>0</v>
      </c>
      <c r="M58" s="12">
        <f>CUSTOS!$F$3</f>
        <v>0</v>
      </c>
      <c r="N58" s="12">
        <f>CUSTOS!$F$4</f>
        <v>0</v>
      </c>
      <c r="O58" s="12">
        <f>CUSTOS!$F$5</f>
        <v>0</v>
      </c>
      <c r="P58" s="12">
        <f>CUSTOS!$F$6</f>
        <v>0</v>
      </c>
      <c r="Q58" s="12">
        <f>CUSTOS!$F$7</f>
        <v>0</v>
      </c>
      <c r="R58" s="12">
        <f>CUSTOS!$F$8</f>
        <v>0</v>
      </c>
      <c r="S58" s="12">
        <f>CUSTOS!$F$9</f>
        <v>0</v>
      </c>
      <c r="T58" s="12">
        <f>CUSTOS!$F$10</f>
        <v>0</v>
      </c>
      <c r="U58" s="12">
        <f>CUSTOS!$F$11</f>
        <v>0</v>
      </c>
      <c r="V58" s="12">
        <f>CUSTOS!$F$12</f>
        <v>0</v>
      </c>
      <c r="W58" s="12">
        <f>CUSTOS!$F$13</f>
        <v>0</v>
      </c>
      <c r="X58" s="12">
        <f>CUSTOS!$F$14</f>
        <v>0</v>
      </c>
      <c r="Y58" s="12">
        <f>CUSTOS!$F$15</f>
        <v>0</v>
      </c>
      <c r="Z58" s="12">
        <f>CUSTOS!$F$16</f>
        <v>0</v>
      </c>
      <c r="AA58" s="12">
        <f>CUSTOS!$F$17</f>
        <v>0</v>
      </c>
      <c r="AB58" s="12">
        <f>CUSTOS!$F$18</f>
        <v>0</v>
      </c>
      <c r="AC58" s="12">
        <f>CUSTOS!$F$19</f>
        <v>0</v>
      </c>
      <c r="AD58" s="12">
        <f>CUSTOS!$F$20</f>
        <v>0</v>
      </c>
      <c r="AE58" s="12">
        <f>CUSTOS!$F$21</f>
        <v>0</v>
      </c>
      <c r="AF58" s="12">
        <f>CUSTOS!$F$22</f>
        <v>0</v>
      </c>
      <c r="AG58" s="12">
        <f>CUSTOS!$F$23</f>
        <v>0</v>
      </c>
      <c r="AH58" s="12">
        <f>CUSTOS!$F$24</f>
        <v>0</v>
      </c>
      <c r="AI58" s="12">
        <f>CUSTOS!$F$25</f>
        <v>0</v>
      </c>
      <c r="AJ58" s="12">
        <f>CUSTOS!$F$26</f>
        <v>0</v>
      </c>
      <c r="AK58" s="12">
        <f>CUSTOS!$F$27</f>
        <v>0</v>
      </c>
      <c r="AL58" s="12">
        <f>CUSTOS!$F$28</f>
        <v>0</v>
      </c>
      <c r="AM58" s="12">
        <f>CUSTOS!$F$29</f>
        <v>0</v>
      </c>
    </row>
    <row r="59" spans="1:42" ht="11.25" customHeight="1" x14ac:dyDescent="0.25">
      <c r="K59" s="16" t="s">
        <v>466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/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/>
      <c r="AC59" s="12">
        <v>0</v>
      </c>
      <c r="AD59" s="12"/>
      <c r="AE59" s="12">
        <v>0</v>
      </c>
      <c r="AF59" s="12">
        <v>0</v>
      </c>
      <c r="AG59" s="12"/>
      <c r="AH59" s="12">
        <v>0</v>
      </c>
      <c r="AI59" s="12">
        <v>0</v>
      </c>
      <c r="AJ59" s="12">
        <v>0</v>
      </c>
      <c r="AK59" s="12">
        <v>0</v>
      </c>
      <c r="AL59" s="12"/>
      <c r="AM59" s="12"/>
    </row>
    <row r="60" spans="1:42" ht="11.25" customHeight="1" x14ac:dyDescent="0.25">
      <c r="K60" s="16" t="s">
        <v>467</v>
      </c>
      <c r="L60" s="12">
        <f t="shared" ref="L60:S60" si="1">IF((L55+L53)&lt;&gt;0,(L56-L54-L59)/(L55+L53),0)</f>
        <v>0</v>
      </c>
      <c r="M60" s="12">
        <f t="shared" si="1"/>
        <v>1.0246522046751021</v>
      </c>
      <c r="N60" s="12">
        <f t="shared" ca="1" si="1"/>
        <v>0</v>
      </c>
      <c r="O60" s="12">
        <f t="shared" si="1"/>
        <v>0</v>
      </c>
      <c r="P60" s="12">
        <f t="shared" si="1"/>
        <v>0</v>
      </c>
      <c r="Q60" s="12">
        <f t="shared" si="1"/>
        <v>91.588370671072639</v>
      </c>
      <c r="R60" s="12">
        <f t="shared" si="1"/>
        <v>14.473894675682843</v>
      </c>
      <c r="S60" s="12">
        <f t="shared" si="1"/>
        <v>0</v>
      </c>
      <c r="T60" s="12"/>
      <c r="U60" s="12">
        <f>IF(U55&lt;&gt;0,(U56-U54-U53-U59)/U55,0)</f>
        <v>0</v>
      </c>
      <c r="V60" s="12">
        <f>IF(V55&lt;&gt;0,(V56-V54-V53-V59)/V55,0)</f>
        <v>0</v>
      </c>
      <c r="W60" s="12">
        <f>IF(W55&lt;&gt;0,(W56-W54-W53-W59)/W55,0)</f>
        <v>0</v>
      </c>
      <c r="X60" s="12">
        <f>IF(X55&lt;&gt;0,(X56-X54-X53-X59)/X55,0)</f>
        <v>0</v>
      </c>
      <c r="Y60" s="12">
        <f>IF(Y55&lt;&gt;0,(Y56-Y54-Y53-Y59)/Y55,0)</f>
        <v>624.91646451149893</v>
      </c>
      <c r="Z60" s="12"/>
      <c r="AA60" s="12"/>
      <c r="AB60" s="12"/>
      <c r="AC60" s="12">
        <f>IF(AC55&lt;&gt;0,(AC56-AC54-AC53-AC59)/AC55,0)</f>
        <v>2.1562825393442568</v>
      </c>
      <c r="AD60" s="12"/>
      <c r="AE60" s="12">
        <f>IF((AE55+AE53)&lt;&gt;0,(AE56-AE54-AE59)/(AE55+AE53),0)</f>
        <v>0</v>
      </c>
      <c r="AF60" s="12">
        <f>IF((AF55+AF53)&lt;&gt;0,(AF56-AF54-AF59)/(AF55+AF53),0)</f>
        <v>0</v>
      </c>
      <c r="AG60" s="12"/>
      <c r="AH60" s="12">
        <f>IF(AH55&lt;&gt;0,(AH56-AH54-AH53-AH59)/AH55,0)</f>
        <v>1.0685148509893945</v>
      </c>
      <c r="AI60" s="12">
        <f>IF(AI55&lt;&gt;0,(AI56-AI54-AI53-AI59)/AI55,0)</f>
        <v>0</v>
      </c>
      <c r="AJ60" s="12">
        <f ca="1">IF((AJ55+AJ53)&lt;&gt;0,(AJ56-AJ54-AJ59)/(AJ55+AJ53),0)</f>
        <v>0</v>
      </c>
      <c r="AK60" s="12">
        <f ca="1">IF((AK55+AK53)&lt;&gt;0,(AK56-AK54-AK59)/(AK55+AK53),0)</f>
        <v>0</v>
      </c>
      <c r="AL60" s="12"/>
      <c r="AM60" s="12"/>
    </row>
    <row r="62" spans="1:42" ht="11.25" customHeight="1" x14ac:dyDescent="0.25">
      <c r="K62" s="19" t="s">
        <v>471</v>
      </c>
      <c r="L62" s="19" t="s">
        <v>472</v>
      </c>
      <c r="M62" s="19" t="s">
        <v>473</v>
      </c>
      <c r="N62" s="19" t="s">
        <v>474</v>
      </c>
      <c r="O62" s="19" t="s">
        <v>475</v>
      </c>
      <c r="P62" s="19" t="s">
        <v>476</v>
      </c>
    </row>
    <row r="63" spans="1:42" ht="11.25" customHeight="1" x14ac:dyDescent="0.25">
      <c r="K63" s="17" t="s">
        <v>35</v>
      </c>
      <c r="L63" s="17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13308241.341805033</v>
      </c>
      <c r="M63" s="17">
        <f>+'TUSD BE'!$I$7+'TUSD BE'!$I$8+'TUSD BE'!$I$11+'TUSD BE'!$I$12+'TUSD BE'!$I$13+'TUSD BE'!$I$14</f>
        <v>15675.358000000004</v>
      </c>
      <c r="N63" s="17">
        <f ca="1">IF(AND($L$70&lt;&gt;0,M63&lt;&gt;0),(L63/$L$70*$AJ$56)/M63,0)</f>
        <v>0</v>
      </c>
      <c r="O63" s="17"/>
      <c r="P63" s="17"/>
    </row>
    <row r="64" spans="1:42" ht="11.25" customHeight="1" x14ac:dyDescent="0.25">
      <c r="K64" s="17" t="s">
        <v>80</v>
      </c>
      <c r="L64" s="17">
        <f ca="1">+$L$65+$L$66+$L$67+$L$68+$L$69</f>
        <v>60916187.871606492</v>
      </c>
      <c r="M64" s="17">
        <f>+$M$65+$M$66+$M$67+$M$68+$M$69</f>
        <v>76676.366999999998</v>
      </c>
      <c r="N64" s="17">
        <f ca="1">IF(AND($L$70&lt;&gt;0,M64&lt;&gt;0),(L64/$L$70*$AJ$56)/M64,0)</f>
        <v>0</v>
      </c>
      <c r="O64" s="17"/>
      <c r="P64" s="17"/>
    </row>
    <row r="65" spans="11:16" ht="11.25" customHeight="1" x14ac:dyDescent="0.25">
      <c r="K65" s="17" t="s">
        <v>80</v>
      </c>
      <c r="L65" s="17"/>
      <c r="M65" s="17"/>
      <c r="N65" s="17">
        <f ca="1">IF(AND($L$70&lt;&gt;0,M65&lt;&gt;0),(L65/$L$70*$AJ$56)/M65,0)</f>
        <v>0</v>
      </c>
      <c r="O65" s="17"/>
      <c r="P65" s="17"/>
    </row>
    <row r="66" spans="11:16" ht="11.25" customHeight="1" x14ac:dyDescent="0.25">
      <c r="K66" s="17" t="s">
        <v>22</v>
      </c>
      <c r="L66" s="17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11793229.593102641</v>
      </c>
      <c r="M66" s="17">
        <f>+'TUSD BE'!$I$17+'TUSD BE'!$I$18+'TUSD BE'!$I$19+'TUSD BE'!$I$20+'TUSD BE'!$I$21+'TUSD BE'!$I$22+'TUSD BE'!$I$23+'TUSD BE'!$I$24+'TUSD BE'!$I$25+'TUSD BE'!$I$26+'TUSD BE'!$I$27+'TUSD BE'!$I$28+'TUSD BE'!$I$29</f>
        <v>14493.285</v>
      </c>
      <c r="N66" s="17"/>
      <c r="O66" s="17"/>
      <c r="P66" s="17"/>
    </row>
    <row r="67" spans="11:16" ht="11.25" customHeight="1" x14ac:dyDescent="0.25">
      <c r="K67" s="17" t="s">
        <v>40</v>
      </c>
      <c r="L67" s="17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39123692.334076904</v>
      </c>
      <c r="M67" s="17">
        <f>+'TUSD BE'!$I$30+'TUSD BE'!$I$31+'TUSD BE'!$I$32+'TUSD BE'!$I$33+'TUSD BE'!$I$34+'TUSD BE'!$I$35+'TUSD BE'!$I$36+'TUSD BE'!$I$37+'TUSD BE'!$I$38+'TUSD BE'!$I$39+'TUSD BE'!$I$40+'TUSD BE'!$I$41+'TUSD BE'!$I$42+'TUSD BE'!$I$43+'TUSD BE'!$I$44</f>
        <v>47790.548000000003</v>
      </c>
      <c r="N67" s="17"/>
      <c r="O67" s="17"/>
      <c r="P67" s="17"/>
    </row>
    <row r="68" spans="11:16" ht="11.25" customHeight="1" x14ac:dyDescent="0.25">
      <c r="K68" s="17" t="s">
        <v>33</v>
      </c>
      <c r="L68" s="17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7819835.9044109527</v>
      </c>
      <c r="M68" s="17">
        <f>+'TUSD BE'!$I$45+'TUSD BE'!$I$46+'TUSD BE'!$I$47+'TUSD BE'!$I$48+'TUSD BE'!$I$49</f>
        <v>9552.121000000001</v>
      </c>
      <c r="N68" s="17"/>
      <c r="O68" s="17"/>
      <c r="P68" s="17"/>
    </row>
    <row r="69" spans="11:16" ht="11.25" customHeight="1" x14ac:dyDescent="0.25">
      <c r="K69" s="17" t="s">
        <v>43</v>
      </c>
      <c r="L69" s="17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2179430.0400159964</v>
      </c>
      <c r="M69" s="17">
        <f>+'TUSD BE'!$I$50+'TUSD BE'!$I$51</f>
        <v>4840.4129999999996</v>
      </c>
      <c r="N69" s="17"/>
      <c r="O69" s="17"/>
      <c r="P69" s="17"/>
    </row>
    <row r="70" spans="11:16" ht="11.25" customHeight="1" x14ac:dyDescent="0.25">
      <c r="K70" s="17"/>
      <c r="L70" s="17">
        <f ca="1">SUM($L$63:$L$69,-$L$64)</f>
        <v>74224429.21341154</v>
      </c>
      <c r="M70" s="17">
        <f>SUM($M$63:$M$69,-$M$64)</f>
        <v>92351.725000000035</v>
      </c>
      <c r="N70" s="17"/>
      <c r="O70" s="17"/>
      <c r="P70" s="17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CD77-3E77-4211-92DD-6D6B2FD4863A}">
  <sheetPr codeName="Planilha9"/>
  <dimension ref="A1:AP58"/>
  <sheetViews>
    <sheetView showGridLines="0" topLeftCell="X40" workbookViewId="0">
      <selection activeCell="AM53" sqref="AM53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460</v>
      </c>
      <c r="J1" s="100"/>
      <c r="L1" s="104" t="s">
        <v>468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P1" s="104" t="s">
        <v>462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0"/>
      <c r="L2" s="104" t="s">
        <v>360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P2" s="105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0"/>
      <c r="L3" s="104" t="s">
        <v>361</v>
      </c>
      <c r="M3" s="104"/>
      <c r="N3" s="104"/>
      <c r="O3" s="104"/>
      <c r="P3" s="104"/>
      <c r="Q3" s="104"/>
      <c r="R3" s="104"/>
      <c r="S3" s="104"/>
      <c r="T3" s="104"/>
      <c r="U3" s="104" t="s">
        <v>370</v>
      </c>
      <c r="V3" s="104"/>
      <c r="W3" s="104"/>
      <c r="X3" s="104"/>
      <c r="Y3" s="104"/>
      <c r="Z3" s="104"/>
      <c r="AA3" s="104"/>
      <c r="AB3" s="104"/>
      <c r="AC3" s="104" t="s">
        <v>378</v>
      </c>
      <c r="AD3" s="104"/>
      <c r="AE3" s="104" t="s">
        <v>380</v>
      </c>
      <c r="AF3" s="104"/>
      <c r="AG3" s="104"/>
      <c r="AH3" s="104" t="s">
        <v>383</v>
      </c>
      <c r="AI3" s="104"/>
      <c r="AJ3" s="104"/>
      <c r="AK3" s="104"/>
      <c r="AL3" s="104"/>
      <c r="AM3" s="104" t="s">
        <v>369</v>
      </c>
      <c r="AP3" s="105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100"/>
      <c r="L4" s="10" t="s">
        <v>446</v>
      </c>
      <c r="M4" s="10" t="s">
        <v>362</v>
      </c>
      <c r="N4" s="10" t="s">
        <v>363</v>
      </c>
      <c r="O4" s="10" t="s">
        <v>364</v>
      </c>
      <c r="P4" s="10" t="s">
        <v>365</v>
      </c>
      <c r="Q4" s="10" t="s">
        <v>366</v>
      </c>
      <c r="R4" s="10" t="s">
        <v>367</v>
      </c>
      <c r="S4" s="10" t="s">
        <v>368</v>
      </c>
      <c r="T4" s="10" t="s">
        <v>369</v>
      </c>
      <c r="U4" s="10" t="s">
        <v>371</v>
      </c>
      <c r="V4" s="10" t="s">
        <v>372</v>
      </c>
      <c r="W4" s="10" t="s">
        <v>373</v>
      </c>
      <c r="X4" s="10" t="s">
        <v>374</v>
      </c>
      <c r="Y4" s="10" t="s">
        <v>375</v>
      </c>
      <c r="Z4" s="10" t="s">
        <v>376</v>
      </c>
      <c r="AA4" s="10" t="s">
        <v>377</v>
      </c>
      <c r="AB4" s="10" t="s">
        <v>369</v>
      </c>
      <c r="AC4" s="10" t="s">
        <v>379</v>
      </c>
      <c r="AD4" s="10" t="s">
        <v>369</v>
      </c>
      <c r="AE4" s="10" t="s">
        <v>381</v>
      </c>
      <c r="AF4" s="10" t="s">
        <v>382</v>
      </c>
      <c r="AG4" s="10" t="s">
        <v>369</v>
      </c>
      <c r="AH4" s="10" t="s">
        <v>384</v>
      </c>
      <c r="AI4" s="10" t="s">
        <v>385</v>
      </c>
      <c r="AJ4" s="10" t="s">
        <v>386</v>
      </c>
      <c r="AK4" s="10" t="s">
        <v>387</v>
      </c>
      <c r="AL4" s="10" t="s">
        <v>369</v>
      </c>
      <c r="AM4" s="106"/>
      <c r="AP4" s="105"/>
    </row>
    <row r="5" spans="1:42" ht="11.25" customHeight="1" x14ac:dyDescent="0.25">
      <c r="A5" s="102" t="s">
        <v>35</v>
      </c>
      <c r="B5" s="102" t="s">
        <v>52</v>
      </c>
      <c r="C5" s="102" t="s">
        <v>25</v>
      </c>
      <c r="D5" s="102" t="s">
        <v>25</v>
      </c>
      <c r="E5" s="102" t="s">
        <v>25</v>
      </c>
      <c r="F5" s="102" t="s">
        <v>25</v>
      </c>
      <c r="G5" s="17" t="s">
        <v>75</v>
      </c>
      <c r="H5" s="17" t="s">
        <v>74</v>
      </c>
      <c r="I5" s="17">
        <f>'MERCADO TUSD'!$U$2</f>
        <v>450</v>
      </c>
      <c r="J5" s="15"/>
      <c r="L5" s="12">
        <f>'TR TUSD'!$L$5*'TR TUSD'!$L$60</f>
        <v>0</v>
      </c>
      <c r="M5" s="12">
        <f>'TR TUSD'!$M$5*'TR TUSD'!$M$60</f>
        <v>0</v>
      </c>
      <c r="N5" s="12">
        <f ca="1">'TR TUSD'!$N$5*'TR TUSD'!$N$60</f>
        <v>0</v>
      </c>
      <c r="O5" s="12">
        <f>'TR TUSD'!$O$5*'TR TUSD'!$O$60</f>
        <v>0</v>
      </c>
      <c r="P5" s="12">
        <f>'TR TUSD'!$P$5*'TR TUSD'!$P$60</f>
        <v>0</v>
      </c>
      <c r="Q5" s="12">
        <f>'TR TUSD'!$Q$5*'TR TUSD'!$Q$60</f>
        <v>0</v>
      </c>
      <c r="R5" s="12">
        <f>'TR TUSD'!$R$5*'TR TUSD'!$R$60</f>
        <v>0</v>
      </c>
      <c r="S5" s="12">
        <f>'TR TUSD'!$S$5*'TR TUSD'!$S$60</f>
        <v>0</v>
      </c>
      <c r="T5" s="12">
        <f ca="1">SUM($L$5:$S$5)</f>
        <v>0</v>
      </c>
      <c r="U5" s="12">
        <f>'TR TUSD'!$U$5*'TR TUSD'!$U$60</f>
        <v>0</v>
      </c>
      <c r="V5" s="12">
        <f>'TR TUSD'!$V$5*'TR TUSD'!$V$60</f>
        <v>0</v>
      </c>
      <c r="W5" s="12">
        <f>'TR TUSD'!$W$5*'TR TUSD'!$W$60</f>
        <v>0</v>
      </c>
      <c r="X5" s="12">
        <f>'TR TUSD'!$X$5*'TR TUSD'!$X$60</f>
        <v>0</v>
      </c>
      <c r="Y5" s="12">
        <f>'TR TUSD'!$Y$5*'TR TUSD'!$Y$60</f>
        <v>30.808381700416895</v>
      </c>
      <c r="Z5" s="12">
        <f>'TR TUSD'!$Z$5</f>
        <v>0</v>
      </c>
      <c r="AA5" s="12">
        <f>'TR TUSD'!$AA$5</f>
        <v>0</v>
      </c>
      <c r="AB5" s="12">
        <f>SUM($U$5:$AA$5)</f>
        <v>30.808381700416895</v>
      </c>
      <c r="AC5" s="12">
        <f>'TR TUSD'!$AC$5*'TR TUSD'!$AC$60</f>
        <v>84.810689209234368</v>
      </c>
      <c r="AD5" s="12">
        <f>SUM($AC$5:$AC$5)</f>
        <v>84.810689209234368</v>
      </c>
      <c r="AE5" s="12">
        <v>0</v>
      </c>
      <c r="AF5" s="12">
        <v>0</v>
      </c>
      <c r="AG5" s="12">
        <f>SUM($AE$5:$AF$5)</f>
        <v>0</v>
      </c>
      <c r="AH5" s="12">
        <f>'TR TUSD'!$AH$5*'TR TUSD'!$AH$60</f>
        <v>0</v>
      </c>
      <c r="AI5" s="12">
        <f>'TR TUSD'!$AI$5*'TR TUSD'!$AI$60</f>
        <v>0</v>
      </c>
      <c r="AJ5" s="12">
        <f ca="1">'TR TUSD'!$AJ$5*'TR TUSD'!$AJ$60</f>
        <v>0</v>
      </c>
      <c r="AK5" s="12">
        <f ca="1">'TR TUSD'!$AK$5*'TR TUSD'!$AK$60</f>
        <v>0</v>
      </c>
      <c r="AL5" s="12">
        <f ca="1">SUM($AH$5:$AK$5)</f>
        <v>0</v>
      </c>
      <c r="AM5" s="12">
        <f ca="1">SUMIF($L$4:$AL$4,"SUBTOTAL",$L$5:$AL$5)</f>
        <v>115.61907090965127</v>
      </c>
      <c r="AP5" s="12">
        <v>1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17" t="s">
        <v>76</v>
      </c>
      <c r="H6" s="17" t="s">
        <v>74</v>
      </c>
      <c r="I6" s="17">
        <f>'MERCADO TUSD'!$U$3</f>
        <v>953</v>
      </c>
      <c r="J6" s="15"/>
      <c r="L6" s="12">
        <f>'TR TUSD'!$L$6*'TR TUSD'!$L$60</f>
        <v>0</v>
      </c>
      <c r="M6" s="12">
        <f>'TR TUSD'!$M$6*'TR TUSD'!$M$60</f>
        <v>0</v>
      </c>
      <c r="N6" s="12">
        <f ca="1">'TR TUSD'!$N$6*'TR TUSD'!$N$60</f>
        <v>0</v>
      </c>
      <c r="O6" s="12">
        <f>'TR TUSD'!$O$6*'TR TUSD'!$O$60</f>
        <v>0</v>
      </c>
      <c r="P6" s="12">
        <f>'TR TUSD'!$P$6*'TR TUSD'!$P$60</f>
        <v>0</v>
      </c>
      <c r="Q6" s="12">
        <f>'TR TUSD'!$Q$6*'TR TUSD'!$Q$60</f>
        <v>0</v>
      </c>
      <c r="R6" s="12">
        <f>'TR TUSD'!$R$6*'TR TUSD'!$R$60</f>
        <v>0</v>
      </c>
      <c r="S6" s="12">
        <f>'TR TUSD'!$S$6*'TR TUSD'!$S$60</f>
        <v>0</v>
      </c>
      <c r="T6" s="12">
        <f ca="1">SUM($L$6:$S$6)</f>
        <v>0</v>
      </c>
      <c r="U6" s="12">
        <f>'TR TUSD'!$U$6*'TR TUSD'!$U$60</f>
        <v>0</v>
      </c>
      <c r="V6" s="12">
        <f>'TR TUSD'!$V$6*'TR TUSD'!$V$60</f>
        <v>0</v>
      </c>
      <c r="W6" s="12">
        <f>'TR TUSD'!$W$6*'TR TUSD'!$W$60</f>
        <v>0</v>
      </c>
      <c r="X6" s="12">
        <f>'TR TUSD'!$X$6*'TR TUSD'!$X$60</f>
        <v>0</v>
      </c>
      <c r="Y6" s="12">
        <f>'TR TUSD'!$Y$6*'TR TUSD'!$Y$60</f>
        <v>31.245823225574949</v>
      </c>
      <c r="Z6" s="12">
        <f>'TR TUSD'!$Z$6</f>
        <v>0</v>
      </c>
      <c r="AA6" s="12">
        <f>'TR TUSD'!$AA$6</f>
        <v>0</v>
      </c>
      <c r="AB6" s="12">
        <f>SUM($U$6:$AA$6)</f>
        <v>31.245823225574949</v>
      </c>
      <c r="AC6" s="12">
        <f>'TR TUSD'!$AC$6*'TR TUSD'!$AC$60</f>
        <v>50.373132029875123</v>
      </c>
      <c r="AD6" s="12">
        <f>SUM($AC$6:$AC$6)</f>
        <v>50.373132029875123</v>
      </c>
      <c r="AE6" s="12">
        <v>0</v>
      </c>
      <c r="AF6" s="12">
        <v>0</v>
      </c>
      <c r="AG6" s="12">
        <f>SUM($AE$6:$AF$6)</f>
        <v>0</v>
      </c>
      <c r="AH6" s="12">
        <f>'TR TUSD'!$AH$6*'TR TUSD'!$AH$60</f>
        <v>0</v>
      </c>
      <c r="AI6" s="12">
        <f>'TR TUSD'!$AI$6*'TR TUSD'!$AI$60</f>
        <v>0</v>
      </c>
      <c r="AJ6" s="12">
        <f ca="1">'TR TUSD'!$AJ$6*'TR TUSD'!$AJ$60</f>
        <v>0</v>
      </c>
      <c r="AK6" s="12">
        <f ca="1">'TR TUSD'!$AK$6*'TR TUSD'!$AK$60</f>
        <v>0</v>
      </c>
      <c r="AL6" s="12">
        <f ca="1">SUM($AH$6:$AK$6)</f>
        <v>0</v>
      </c>
      <c r="AM6" s="12">
        <f ca="1">SUMIF($L$4:$AL$4,"SUBTOTAL",$L$6:$AL$6)</f>
        <v>81.618955255450075</v>
      </c>
      <c r="AP6" s="12">
        <v>1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17" t="s">
        <v>77</v>
      </c>
      <c r="H7" s="17" t="s">
        <v>71</v>
      </c>
      <c r="I7" s="17">
        <f>'MERCADO TUSD'!$U$4</f>
        <v>260.58600000000001</v>
      </c>
      <c r="J7" s="15"/>
      <c r="L7" s="12">
        <f>'TR TUSD'!$L$7*'TR TUSD'!$L$60</f>
        <v>0</v>
      </c>
      <c r="M7" s="12">
        <f>'TR TUSD'!$M$7*'TR TUSD'!$M$60</f>
        <v>2.2451590904910619</v>
      </c>
      <c r="N7" s="12">
        <f ca="1">'TR TUSD'!$N$7*'TR TUSD'!$N$60</f>
        <v>0</v>
      </c>
      <c r="O7" s="12">
        <f>'TR TUSD'!$O$7*'TR TUSD'!$O$60</f>
        <v>0</v>
      </c>
      <c r="P7" s="12">
        <f>'TR TUSD'!$P$7*'TR TUSD'!$P$60</f>
        <v>0</v>
      </c>
      <c r="Q7" s="12">
        <f>'TR TUSD'!$Q$7*'TR TUSD'!$Q$60</f>
        <v>76.934231363701016</v>
      </c>
      <c r="R7" s="12">
        <f>'TR TUSD'!$R$7*'TR TUSD'!$R$60</f>
        <v>14.473894675682843</v>
      </c>
      <c r="S7" s="12">
        <f>'TR TUSD'!$S$7*'TR TUSD'!$S$60</f>
        <v>0</v>
      </c>
      <c r="T7" s="12">
        <f ca="1">SUM($L$7:$S$7)</f>
        <v>93.653285129874916</v>
      </c>
      <c r="U7" s="12">
        <f>'TR TUSD'!$U$7*'TR TUSD'!$U$60</f>
        <v>0</v>
      </c>
      <c r="V7" s="12">
        <f>'TR TUSD'!$V$7*'TR TUSD'!$V$60</f>
        <v>0</v>
      </c>
      <c r="W7" s="12">
        <f>'TR TUSD'!$W$7*'TR TUSD'!$W$60</f>
        <v>0</v>
      </c>
      <c r="X7" s="12">
        <f>'TR TUSD'!$X$7*'TR TUSD'!$X$60</f>
        <v>0</v>
      </c>
      <c r="Y7" s="12">
        <f>'TR TUSD'!$Y$7*'TR TUSD'!$Y$60</f>
        <v>0</v>
      </c>
      <c r="Z7" s="12">
        <f>'TR TUSD'!$Z$7</f>
        <v>0</v>
      </c>
      <c r="AA7" s="12">
        <f>'TR TUSD'!$AA$7</f>
        <v>0</v>
      </c>
      <c r="AB7" s="12">
        <f>SUM($U$7:$AA$7)</f>
        <v>0</v>
      </c>
      <c r="AC7" s="12">
        <f>'TR TUSD'!$AC$7*'TR TUSD'!$AC$60</f>
        <v>0</v>
      </c>
      <c r="AD7" s="12">
        <f>SUM($AC$7:$AC$7)</f>
        <v>0</v>
      </c>
      <c r="AE7" s="12">
        <v>0</v>
      </c>
      <c r="AF7" s="12">
        <v>0</v>
      </c>
      <c r="AG7" s="12">
        <f>SUM($AE$7:$AF$7)</f>
        <v>0</v>
      </c>
      <c r="AH7" s="12">
        <f>'TR TUSD'!$AH$7*'TR TUSD'!$AH$60</f>
        <v>12.353527598228785</v>
      </c>
      <c r="AI7" s="12">
        <f>'TR TUSD'!$AI$7*'TR TUSD'!$AI$60</f>
        <v>0</v>
      </c>
      <c r="AJ7" s="12">
        <f ca="1">'TR TUSD'!$AJ$7*'TR TUSD'!$AJ$60</f>
        <v>0</v>
      </c>
      <c r="AK7" s="12">
        <f ca="1">'TR TUSD'!$AK$7*'TR TUSD'!$AK$60</f>
        <v>0</v>
      </c>
      <c r="AL7" s="12">
        <f ca="1">SUM($AH$7:$AK$7)</f>
        <v>12.353527598228785</v>
      </c>
      <c r="AM7" s="12">
        <f ca="1">SUMIF($L$4:$AL$4,"SUBTOTAL",$L$7:$AL$7)</f>
        <v>106.0068127281037</v>
      </c>
      <c r="AP7" s="12">
        <v>1</v>
      </c>
    </row>
    <row r="8" spans="1:42" ht="11.25" customHeight="1" x14ac:dyDescent="0.25">
      <c r="A8" s="102"/>
      <c r="B8" s="102"/>
      <c r="C8" s="102"/>
      <c r="D8" s="102"/>
      <c r="E8" s="18" t="s">
        <v>78</v>
      </c>
      <c r="F8" s="18" t="s">
        <v>25</v>
      </c>
      <c r="G8" s="17" t="s">
        <v>77</v>
      </c>
      <c r="H8" s="17" t="s">
        <v>71</v>
      </c>
      <c r="I8" s="17">
        <f>'MERCADO TUSD'!$U$5</f>
        <v>0</v>
      </c>
      <c r="J8" s="15"/>
      <c r="L8" s="12">
        <f>'TR TUSD'!$L$8*'TR TUSD'!$L$60</f>
        <v>0</v>
      </c>
      <c r="M8" s="12">
        <f>'TR TUSD'!$M$8*'TR TUSD'!$M$60</f>
        <v>2.2451590904910619</v>
      </c>
      <c r="N8" s="12">
        <f ca="1">'TR TUSD'!$N$8*'TR TUSD'!$N$60</f>
        <v>0</v>
      </c>
      <c r="O8" s="12">
        <f>'TR TUSD'!$O$8*'TR TUSD'!$O$60</f>
        <v>0</v>
      </c>
      <c r="P8" s="12">
        <f>'TR TUSD'!$P$8*'TR TUSD'!$P$60</f>
        <v>0</v>
      </c>
      <c r="Q8" s="12">
        <f>'TR TUSD'!$Q$8*'TR TUSD'!$Q$60</f>
        <v>0</v>
      </c>
      <c r="R8" s="12">
        <f>'TR TUSD'!$R$8*'TR TUSD'!$R$60</f>
        <v>0</v>
      </c>
      <c r="S8" s="12">
        <f>'TR TUSD'!$S$8*'TR TUSD'!$S$60</f>
        <v>0</v>
      </c>
      <c r="T8" s="12">
        <f ca="1">SUM($L$8:$S$8)</f>
        <v>2.2451590904910619</v>
      </c>
      <c r="U8" s="12">
        <f>'TR TUSD'!$U$8*'TR TUSD'!$U$60</f>
        <v>0</v>
      </c>
      <c r="V8" s="12">
        <f>'TR TUSD'!$V$8*'TR TUSD'!$V$60</f>
        <v>0</v>
      </c>
      <c r="W8" s="12">
        <f>'TR TUSD'!$W$8*'TR TUSD'!$W$60</f>
        <v>0</v>
      </c>
      <c r="X8" s="12">
        <f>'TR TUSD'!$X$8*'TR TUSD'!$X$60</f>
        <v>0</v>
      </c>
      <c r="Y8" s="12">
        <f>'TR TUSD'!$Y$8*'TR TUSD'!$Y$60</f>
        <v>0</v>
      </c>
      <c r="Z8" s="12">
        <f>'TR TUSD'!$Z$8</f>
        <v>0</v>
      </c>
      <c r="AA8" s="12">
        <f>'TR TUSD'!$AA$8</f>
        <v>0</v>
      </c>
      <c r="AB8" s="12">
        <f>SUM($U$8:$AA$8)</f>
        <v>0</v>
      </c>
      <c r="AC8" s="12">
        <f>'TR TUSD'!$AC$8*'TR TUSD'!$AC$60</f>
        <v>0</v>
      </c>
      <c r="AD8" s="12">
        <f>SUM($AC$8:$AC$8)</f>
        <v>0</v>
      </c>
      <c r="AE8" s="12">
        <v>0</v>
      </c>
      <c r="AF8" s="12">
        <v>0</v>
      </c>
      <c r="AG8" s="12">
        <f>SUM($AE$8:$AF$8)</f>
        <v>0</v>
      </c>
      <c r="AH8" s="12">
        <f>'TR TUSD'!$AH$8*'TR TUSD'!$AH$60</f>
        <v>12.353527598228785</v>
      </c>
      <c r="AI8" s="12">
        <f>'TR TUSD'!$AI$8*'TR TUSD'!$AI$60</f>
        <v>0</v>
      </c>
      <c r="AJ8" s="12">
        <f ca="1">'TR TUSD'!$AJ$8*'TR TUSD'!$AJ$60</f>
        <v>0</v>
      </c>
      <c r="AK8" s="12">
        <f ca="1">'TR TUSD'!$AK$8*'TR TUSD'!$AK$60</f>
        <v>0</v>
      </c>
      <c r="AL8" s="12">
        <f ca="1">SUM($AH$8:$AK$8)</f>
        <v>12.353527598228785</v>
      </c>
      <c r="AM8" s="12">
        <f ca="1">SUMIF($L$4:$AL$4,"SUBTOTAL",$L$8:$AL$8)</f>
        <v>14.598686688719848</v>
      </c>
      <c r="AP8" s="12">
        <v>1</v>
      </c>
    </row>
    <row r="9" spans="1:42" ht="11.25" customHeight="1" x14ac:dyDescent="0.25">
      <c r="A9" s="102"/>
      <c r="B9" s="18" t="s">
        <v>79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74</v>
      </c>
      <c r="I9" s="17">
        <f>'MERCADO TUSD'!$U$6</f>
        <v>0</v>
      </c>
      <c r="J9" s="15"/>
      <c r="L9" s="12">
        <f>'TR TUSD'!$L$9*'TR TUSD'!$L$60</f>
        <v>0</v>
      </c>
      <c r="M9" s="12">
        <f>'TR TUSD'!$M$9*'TR TUSD'!$M$60</f>
        <v>2.2030022400514694E-2</v>
      </c>
      <c r="N9" s="12">
        <f ca="1">'TR TUSD'!$N$9*'TR TUSD'!$N$60</f>
        <v>0</v>
      </c>
      <c r="O9" s="12">
        <f>'TR TUSD'!$O$9*'TR TUSD'!$O$60</f>
        <v>0</v>
      </c>
      <c r="P9" s="12">
        <f>'TR TUSD'!$P$9*'TR TUSD'!$P$60</f>
        <v>0</v>
      </c>
      <c r="Q9" s="12">
        <f>'TR TUSD'!$Q$9*'TR TUSD'!$Q$60</f>
        <v>0</v>
      </c>
      <c r="R9" s="12">
        <f>'TR TUSD'!$R$9*'TR TUSD'!$R$60</f>
        <v>0</v>
      </c>
      <c r="S9" s="12">
        <f>'TR TUSD'!$S$9*'TR TUSD'!$S$60</f>
        <v>0</v>
      </c>
      <c r="T9" s="12">
        <f ca="1">SUM($L$9:$S$9)</f>
        <v>2.2030022400514694E-2</v>
      </c>
      <c r="U9" s="12">
        <f>'TR TUSD'!$U$9*'TR TUSD'!$U$60</f>
        <v>0</v>
      </c>
      <c r="V9" s="12">
        <f>'TR TUSD'!$V$9*'TR TUSD'!$V$60</f>
        <v>0</v>
      </c>
      <c r="W9" s="12">
        <f>'TR TUSD'!$W$9*'TR TUSD'!$W$60</f>
        <v>0</v>
      </c>
      <c r="X9" s="12">
        <f>'TR TUSD'!$X$9*'TR TUSD'!$X$60</f>
        <v>0</v>
      </c>
      <c r="Y9" s="12">
        <f>'TR TUSD'!$Y$9*'TR TUSD'!$Y$60</f>
        <v>0</v>
      </c>
      <c r="Z9" s="12">
        <f>'TR TUSD'!$Z$9*'TR TUSD'!$Z$60</f>
        <v>0</v>
      </c>
      <c r="AA9" s="12">
        <f>'TR TUSD'!$AA$9*'TR TUSD'!$AA$60</f>
        <v>0</v>
      </c>
      <c r="AB9" s="12">
        <f>SUM($U$9:$AA$9)</f>
        <v>0</v>
      </c>
      <c r="AC9" s="12">
        <f>'TR TUSD'!$AC$9*'TR TUSD'!$AC$60</f>
        <v>19.75003866261585</v>
      </c>
      <c r="AD9" s="12">
        <f>SUM($AC$9:$AC$9)</f>
        <v>19.75003866261585</v>
      </c>
      <c r="AE9" s="12">
        <v>0</v>
      </c>
      <c r="AF9" s="12">
        <v>0</v>
      </c>
      <c r="AG9" s="12">
        <f>SUM($AE$9:$AF$9)</f>
        <v>0</v>
      </c>
      <c r="AH9" s="12">
        <f>'TR TUSD'!$AH$9*'TR TUSD'!$AH$60</f>
        <v>0</v>
      </c>
      <c r="AI9" s="12">
        <f>'TR TUSD'!$AI$9*'TR TUSD'!$AI$60</f>
        <v>0</v>
      </c>
      <c r="AJ9" s="12">
        <f ca="1">'TR TUSD'!$AJ$9*'TR TUSD'!$AJ$60</f>
        <v>0</v>
      </c>
      <c r="AK9" s="12">
        <f ca="1">'TR TUSD'!$AK$9*'TR TUSD'!$AK$60</f>
        <v>0</v>
      </c>
      <c r="AL9" s="12">
        <f ca="1">SUM($AH$9:$AK$9)</f>
        <v>0</v>
      </c>
      <c r="AM9" s="12">
        <f ca="1">SUMIF($L$4:$AL$4,"SUBTOTAL",$L$9:$AL$9)</f>
        <v>19.772068685016364</v>
      </c>
      <c r="AP9" s="12"/>
    </row>
    <row r="10" spans="1:42" ht="11.25" customHeight="1" x14ac:dyDescent="0.25">
      <c r="A10" s="102"/>
      <c r="B10" s="102" t="s">
        <v>36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17" t="s">
        <v>9</v>
      </c>
      <c r="H10" s="17" t="s">
        <v>74</v>
      </c>
      <c r="I10" s="17">
        <f>'MERCADO TUSD'!$U$7</f>
        <v>109365</v>
      </c>
      <c r="J10" s="15"/>
      <c r="L10" s="12">
        <f>'TR TUSD'!$L$10*'TR TUSD'!$L$60</f>
        <v>0</v>
      </c>
      <c r="M10" s="12">
        <f>'TR TUSD'!$M$10*'TR TUSD'!$M$60</f>
        <v>0</v>
      </c>
      <c r="N10" s="12">
        <f ca="1">'TR TUSD'!$N$10*'TR TUSD'!$N$60</f>
        <v>0</v>
      </c>
      <c r="O10" s="12">
        <f>'TR TUSD'!$O$10*'TR TUSD'!$O$60</f>
        <v>0</v>
      </c>
      <c r="P10" s="12">
        <f>'TR TUSD'!$P$10*'TR TUSD'!$P$60</f>
        <v>0</v>
      </c>
      <c r="Q10" s="12">
        <f>'TR TUSD'!$Q$10*'TR TUSD'!$Q$60</f>
        <v>0</v>
      </c>
      <c r="R10" s="12">
        <f>'TR TUSD'!$R$10*'TR TUSD'!$R$60</f>
        <v>0</v>
      </c>
      <c r="S10" s="12">
        <f>'TR TUSD'!$S$10*'TR TUSD'!$S$60</f>
        <v>0</v>
      </c>
      <c r="T10" s="12">
        <f ca="1">SUM($L$10:$S$10)</f>
        <v>0</v>
      </c>
      <c r="U10" s="12">
        <f>'TR TUSD'!$U$10*'TR TUSD'!$U$60</f>
        <v>0</v>
      </c>
      <c r="V10" s="12">
        <f>'TR TUSD'!$V$10*'TR TUSD'!$V$60</f>
        <v>0</v>
      </c>
      <c r="W10" s="12">
        <f>'TR TUSD'!$W$10*'TR TUSD'!$W$60</f>
        <v>0</v>
      </c>
      <c r="X10" s="12">
        <f>'TR TUSD'!$X$10*'TR TUSD'!$X$60</f>
        <v>0</v>
      </c>
      <c r="Y10" s="12">
        <f>'TR TUSD'!$Y$10*'TR TUSD'!$Y$60</f>
        <v>31.245823225574949</v>
      </c>
      <c r="Z10" s="12">
        <f>'TR TUSD'!$Z$10</f>
        <v>0</v>
      </c>
      <c r="AA10" s="12">
        <f>'TR TUSD'!$AA$10</f>
        <v>0</v>
      </c>
      <c r="AB10" s="12">
        <f>SUM($U$10:$AA$10)</f>
        <v>31.245823225574949</v>
      </c>
      <c r="AC10" s="12">
        <f>'TR TUSD'!$AC$10*'TR TUSD'!$AC$60</f>
        <v>50.373132029875123</v>
      </c>
      <c r="AD10" s="12">
        <f>SUM($AC$10:$AC$10)</f>
        <v>50.373132029875123</v>
      </c>
      <c r="AE10" s="12">
        <v>0</v>
      </c>
      <c r="AF10" s="12">
        <v>0</v>
      </c>
      <c r="AG10" s="12">
        <f>SUM($AE$10:$AF$10)</f>
        <v>0</v>
      </c>
      <c r="AH10" s="12">
        <f>'TR TUSD'!$AH$10*'TR TUSD'!$AH$60</f>
        <v>0</v>
      </c>
      <c r="AI10" s="12">
        <f>'TR TUSD'!$AI$10*'TR TUSD'!$AI$60</f>
        <v>0</v>
      </c>
      <c r="AJ10" s="12">
        <f ca="1">'TR TUSD'!$AJ$10*'TR TUSD'!$AJ$60</f>
        <v>0</v>
      </c>
      <c r="AK10" s="12">
        <f ca="1">'TR TUSD'!$AK$10*'TR TUSD'!$AK$60</f>
        <v>0</v>
      </c>
      <c r="AL10" s="12">
        <f ca="1">SUM($AH$10:$AK$10)</f>
        <v>0</v>
      </c>
      <c r="AM10" s="12">
        <f ca="1">SUMIF($L$4:$AL$4,"SUBTOTAL",$L$10:$AL$10)</f>
        <v>81.618955255450075</v>
      </c>
      <c r="AP10" s="12">
        <v>1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17" t="s">
        <v>72</v>
      </c>
      <c r="H11" s="17" t="s">
        <v>71</v>
      </c>
      <c r="I11" s="17">
        <f>'MERCADO TUSD'!$U$8</f>
        <v>931.37599999999986</v>
      </c>
      <c r="J11" s="15"/>
      <c r="L11" s="12">
        <f>'TR TUSD'!$L$11*'TR TUSD'!$L$60</f>
        <v>0</v>
      </c>
      <c r="M11" s="12">
        <f>'TR TUSD'!$M$11*'TR TUSD'!$M$60</f>
        <v>2.2451590904910619</v>
      </c>
      <c r="N11" s="12">
        <f ca="1">'TR TUSD'!$N$11*'TR TUSD'!$N$60</f>
        <v>0</v>
      </c>
      <c r="O11" s="12">
        <f>'TR TUSD'!$O$11*'TR TUSD'!$O$60</f>
        <v>0</v>
      </c>
      <c r="P11" s="12">
        <f>'TR TUSD'!$P$11*'TR TUSD'!$P$60</f>
        <v>0</v>
      </c>
      <c r="Q11" s="12">
        <f>'TR TUSD'!$Q$11*'TR TUSD'!$Q$60</f>
        <v>76.934231363701016</v>
      </c>
      <c r="R11" s="12">
        <f>'TR TUSD'!$R$11*'TR TUSD'!$R$60</f>
        <v>14.473894675682843</v>
      </c>
      <c r="S11" s="12">
        <f>'TR TUSD'!$S$11*'TR TUSD'!$S$60</f>
        <v>0</v>
      </c>
      <c r="T11" s="12">
        <f ca="1">SUM($L$11:$S$11)</f>
        <v>93.653285129874916</v>
      </c>
      <c r="U11" s="12">
        <f>'TR TUSD'!$U$11*'TR TUSD'!$U$60</f>
        <v>0</v>
      </c>
      <c r="V11" s="12">
        <f>'TR TUSD'!$V$11*'TR TUSD'!$V$60</f>
        <v>0</v>
      </c>
      <c r="W11" s="12">
        <f>'TR TUSD'!$W$11*'TR TUSD'!$W$60</f>
        <v>0</v>
      </c>
      <c r="X11" s="12">
        <f>'TR TUSD'!$X$11*'TR TUSD'!$X$60</f>
        <v>0</v>
      </c>
      <c r="Y11" s="12">
        <f>'TR TUSD'!$Y$11*'TR TUSD'!$Y$60</f>
        <v>741.65086008224694</v>
      </c>
      <c r="Z11" s="12">
        <f>'TR TUSD'!$Z$11</f>
        <v>0</v>
      </c>
      <c r="AA11" s="12">
        <f>'TR TUSD'!$AA$11</f>
        <v>0</v>
      </c>
      <c r="AB11" s="12">
        <f>SUM($U$11:$AA$11)</f>
        <v>741.65086008224694</v>
      </c>
      <c r="AC11" s="12">
        <f>'TR TUSD'!$AC$11*'TR TUSD'!$AC$60</f>
        <v>2039.6942830961982</v>
      </c>
      <c r="AD11" s="12">
        <f>SUM($AC$11:$AC$11)</f>
        <v>2039.6942830961982</v>
      </c>
      <c r="AE11" s="12">
        <v>0</v>
      </c>
      <c r="AF11" s="12">
        <v>0</v>
      </c>
      <c r="AG11" s="12">
        <f>SUM($AE$11:$AF$11)</f>
        <v>0</v>
      </c>
      <c r="AH11" s="12">
        <f>'TR TUSD'!$AH$11*'TR TUSD'!$AH$60</f>
        <v>12.353527598228785</v>
      </c>
      <c r="AI11" s="12">
        <f>'TR TUSD'!$AI$11*'TR TUSD'!$AI$60</f>
        <v>0</v>
      </c>
      <c r="AJ11" s="12">
        <f ca="1">'TR TUSD'!$AJ$11*'TR TUSD'!$AJ$60</f>
        <v>0</v>
      </c>
      <c r="AK11" s="12">
        <f ca="1">'TR TUSD'!$AK$11*'TR TUSD'!$AK$60</f>
        <v>0</v>
      </c>
      <c r="AL11" s="12">
        <f ca="1">SUM($AH$11:$AK$11)</f>
        <v>12.353527598228785</v>
      </c>
      <c r="AM11" s="12">
        <f ca="1">SUMIF($L$4:$AL$4,"SUBTOTAL",$L$11:$AL$11)</f>
        <v>2887.3519559065489</v>
      </c>
      <c r="AP11" s="12">
        <v>1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17" t="s">
        <v>73</v>
      </c>
      <c r="H12" s="17" t="s">
        <v>71</v>
      </c>
      <c r="I12" s="17">
        <f>'MERCADO TUSD'!$U$9</f>
        <v>14483.396000000004</v>
      </c>
      <c r="J12" s="15"/>
      <c r="L12" s="12">
        <f>'TR TUSD'!$L$12*'TR TUSD'!$L$60</f>
        <v>0</v>
      </c>
      <c r="M12" s="12">
        <f>'TR TUSD'!$M$12*'TR TUSD'!$M$60</f>
        <v>2.2451590904910619</v>
      </c>
      <c r="N12" s="12">
        <f ca="1">'TR TUSD'!$N$12*'TR TUSD'!$N$60</f>
        <v>0</v>
      </c>
      <c r="O12" s="12">
        <f>'TR TUSD'!$O$12*'TR TUSD'!$O$60</f>
        <v>0</v>
      </c>
      <c r="P12" s="12">
        <f>'TR TUSD'!$P$12*'TR TUSD'!$P$60</f>
        <v>0</v>
      </c>
      <c r="Q12" s="12">
        <f>'TR TUSD'!$Q$12*'TR TUSD'!$Q$60</f>
        <v>76.934231363701016</v>
      </c>
      <c r="R12" s="12">
        <f>'TR TUSD'!$R$12*'TR TUSD'!$R$60</f>
        <v>14.473894675682843</v>
      </c>
      <c r="S12" s="12">
        <f>'TR TUSD'!$S$12*'TR TUSD'!$S$60</f>
        <v>0</v>
      </c>
      <c r="T12" s="12">
        <f ca="1">SUM($L$12:$S$12)</f>
        <v>93.653285129874916</v>
      </c>
      <c r="U12" s="12">
        <f>'TR TUSD'!$U$12*'TR TUSD'!$U$60</f>
        <v>0</v>
      </c>
      <c r="V12" s="12">
        <f>'TR TUSD'!$V$12*'TR TUSD'!$V$60</f>
        <v>0</v>
      </c>
      <c r="W12" s="12">
        <f>'TR TUSD'!$W$12*'TR TUSD'!$W$60</f>
        <v>0</v>
      </c>
      <c r="X12" s="12">
        <f>'TR TUSD'!$X$12*'TR TUSD'!$X$60</f>
        <v>0</v>
      </c>
      <c r="Y12" s="12">
        <f>'TR TUSD'!$Y$12*'TR TUSD'!$Y$60</f>
        <v>0</v>
      </c>
      <c r="Z12" s="12">
        <f>'TR TUSD'!$Z$12</f>
        <v>0</v>
      </c>
      <c r="AA12" s="12">
        <f>'TR TUSD'!$AA$12</f>
        <v>0</v>
      </c>
      <c r="AB12" s="12">
        <f>SUM($U$12:$AA$12)</f>
        <v>0</v>
      </c>
      <c r="AC12" s="12">
        <f>'TR TUSD'!$AC$12*'TR TUSD'!$AC$60</f>
        <v>0</v>
      </c>
      <c r="AD12" s="12">
        <f>SUM($AC$12:$AC$12)</f>
        <v>0</v>
      </c>
      <c r="AE12" s="12">
        <v>0</v>
      </c>
      <c r="AF12" s="12">
        <v>0</v>
      </c>
      <c r="AG12" s="12">
        <f>SUM($AE$12:$AF$12)</f>
        <v>0</v>
      </c>
      <c r="AH12" s="12">
        <f>'TR TUSD'!$AH$12*'TR TUSD'!$AH$60</f>
        <v>12.353527598228785</v>
      </c>
      <c r="AI12" s="12">
        <f>'TR TUSD'!$AI$12*'TR TUSD'!$AI$60</f>
        <v>0</v>
      </c>
      <c r="AJ12" s="12">
        <f ca="1">'TR TUSD'!$AJ$12*'TR TUSD'!$AJ$60</f>
        <v>0</v>
      </c>
      <c r="AK12" s="12">
        <f ca="1">'TR TUSD'!$AK$12*'TR TUSD'!$AK$60</f>
        <v>0</v>
      </c>
      <c r="AL12" s="12">
        <f ca="1">SUM($AH$12:$AK$12)</f>
        <v>12.353527598228785</v>
      </c>
      <c r="AM12" s="12">
        <f ca="1">SUMIF($L$4:$AL$4,"SUBTOTAL",$L$12:$AL$12)</f>
        <v>106.0068127281037</v>
      </c>
      <c r="AP12" s="12">
        <v>1</v>
      </c>
    </row>
    <row r="13" spans="1:42" ht="11.25" customHeight="1" x14ac:dyDescent="0.25">
      <c r="A13" s="102"/>
      <c r="B13" s="102"/>
      <c r="C13" s="102"/>
      <c r="D13" s="102"/>
      <c r="E13" s="102" t="s">
        <v>78</v>
      </c>
      <c r="F13" s="102" t="s">
        <v>25</v>
      </c>
      <c r="G13" s="17" t="s">
        <v>72</v>
      </c>
      <c r="H13" s="17" t="s">
        <v>71</v>
      </c>
      <c r="I13" s="17">
        <f>'MERCADO TUSD'!$U$10</f>
        <v>0</v>
      </c>
      <c r="J13" s="15"/>
      <c r="L13" s="12">
        <f>'TR TUSD'!$L$13*'TR TUSD'!$L$60</f>
        <v>0</v>
      </c>
      <c r="M13" s="12">
        <f>'TR TUSD'!$M$13*'TR TUSD'!$M$60</f>
        <v>2.2451590904910619</v>
      </c>
      <c r="N13" s="12">
        <f ca="1">'TR TUSD'!$N$13*'TR TUSD'!$N$60</f>
        <v>0</v>
      </c>
      <c r="O13" s="12">
        <f>'TR TUSD'!$O$13*'TR TUSD'!$O$60</f>
        <v>0</v>
      </c>
      <c r="P13" s="12">
        <f>'TR TUSD'!$P$13*'TR TUSD'!$P$60</f>
        <v>0</v>
      </c>
      <c r="Q13" s="12">
        <f>'TR TUSD'!$Q$13*'TR TUSD'!$Q$60</f>
        <v>0</v>
      </c>
      <c r="R13" s="12">
        <f>'TR TUSD'!$R$13*'TR TUSD'!$R$60</f>
        <v>0</v>
      </c>
      <c r="S13" s="12">
        <f>'TR TUSD'!$S$13*'TR TUSD'!$S$60</f>
        <v>0</v>
      </c>
      <c r="T13" s="12">
        <f ca="1">SUM($L$13:$S$13)</f>
        <v>2.2451590904910619</v>
      </c>
      <c r="U13" s="12">
        <f>'TR TUSD'!$U$13*'TR TUSD'!$U$60</f>
        <v>0</v>
      </c>
      <c r="V13" s="12">
        <f>'TR TUSD'!$V$13*'TR TUSD'!$V$60</f>
        <v>0</v>
      </c>
      <c r="W13" s="12">
        <f>'TR TUSD'!$W$13*'TR TUSD'!$W$60</f>
        <v>0</v>
      </c>
      <c r="X13" s="12">
        <f>'TR TUSD'!$X$13*'TR TUSD'!$X$60</f>
        <v>0</v>
      </c>
      <c r="Y13" s="12">
        <f>'TR TUSD'!$Y$13*'TR TUSD'!$Y$60</f>
        <v>741.65086008224694</v>
      </c>
      <c r="Z13" s="12">
        <f>'TR TUSD'!$Z$13</f>
        <v>0</v>
      </c>
      <c r="AA13" s="12">
        <f>'TR TUSD'!$AA$13</f>
        <v>0</v>
      </c>
      <c r="AB13" s="12">
        <f>SUM($U$13:$AA$13)</f>
        <v>741.65086008224694</v>
      </c>
      <c r="AC13" s="12">
        <f>'TR TUSD'!$AC$13*'TR TUSD'!$AC$60</f>
        <v>2039.6942830961982</v>
      </c>
      <c r="AD13" s="12">
        <f>SUM($AC$13:$AC$13)</f>
        <v>2039.6942830961982</v>
      </c>
      <c r="AE13" s="12">
        <v>0</v>
      </c>
      <c r="AF13" s="12">
        <v>0</v>
      </c>
      <c r="AG13" s="12">
        <f>SUM($AE$13:$AF$13)</f>
        <v>0</v>
      </c>
      <c r="AH13" s="12">
        <f>'TR TUSD'!$AH$13*'TR TUSD'!$AH$60</f>
        <v>12.353527598228785</v>
      </c>
      <c r="AI13" s="12">
        <f>'TR TUSD'!$AI$13*'TR TUSD'!$AI$60</f>
        <v>0</v>
      </c>
      <c r="AJ13" s="12">
        <f ca="1">'TR TUSD'!$AJ$13*'TR TUSD'!$AJ$60</f>
        <v>0</v>
      </c>
      <c r="AK13" s="12">
        <f ca="1">'TR TUSD'!$AK$13*'TR TUSD'!$AK$60</f>
        <v>0</v>
      </c>
      <c r="AL13" s="12">
        <f ca="1">SUM($AH$13:$AK$13)</f>
        <v>12.353527598228785</v>
      </c>
      <c r="AM13" s="12">
        <f ca="1">SUMIF($L$4:$AL$4,"SUBTOTAL",$L$13:$AL$13)</f>
        <v>2795.9438298671653</v>
      </c>
      <c r="AP13" s="12">
        <v>1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17" t="s">
        <v>73</v>
      </c>
      <c r="H14" s="17" t="s">
        <v>71</v>
      </c>
      <c r="I14" s="17">
        <f>'MERCADO TUSD'!$U$11</f>
        <v>0</v>
      </c>
      <c r="J14" s="15"/>
      <c r="L14" s="12">
        <f>'TR TUSD'!$L$14*'TR TUSD'!$L$60</f>
        <v>0</v>
      </c>
      <c r="M14" s="12">
        <f>'TR TUSD'!$M$14*'TR TUSD'!$M$60</f>
        <v>2.2451590904910619</v>
      </c>
      <c r="N14" s="12">
        <f ca="1">'TR TUSD'!$N$14*'TR TUSD'!$N$60</f>
        <v>0</v>
      </c>
      <c r="O14" s="12">
        <f>'TR TUSD'!$O$14*'TR TUSD'!$O$60</f>
        <v>0</v>
      </c>
      <c r="P14" s="12">
        <f>'TR TUSD'!$P$14*'TR TUSD'!$P$60</f>
        <v>0</v>
      </c>
      <c r="Q14" s="12">
        <f>'TR TUSD'!$Q$14*'TR TUSD'!$Q$60</f>
        <v>0</v>
      </c>
      <c r="R14" s="12">
        <f>'TR TUSD'!$R$14*'TR TUSD'!$R$60</f>
        <v>0</v>
      </c>
      <c r="S14" s="12">
        <f>'TR TUSD'!$S$14*'TR TUSD'!$S$60</f>
        <v>0</v>
      </c>
      <c r="T14" s="12">
        <f ca="1">SUM($L$14:$S$14)</f>
        <v>2.2451590904910619</v>
      </c>
      <c r="U14" s="12">
        <f>'TR TUSD'!$U$14*'TR TUSD'!$U$60</f>
        <v>0</v>
      </c>
      <c r="V14" s="12">
        <f>'TR TUSD'!$V$14*'TR TUSD'!$V$60</f>
        <v>0</v>
      </c>
      <c r="W14" s="12">
        <f>'TR TUSD'!$W$14*'TR TUSD'!$W$60</f>
        <v>0</v>
      </c>
      <c r="X14" s="12">
        <f>'TR TUSD'!$X$14*'TR TUSD'!$X$60</f>
        <v>0</v>
      </c>
      <c r="Y14" s="12">
        <f>'TR TUSD'!$Y$14*'TR TUSD'!$Y$60</f>
        <v>0</v>
      </c>
      <c r="Z14" s="12">
        <f>'TR TUSD'!$Z$14</f>
        <v>0</v>
      </c>
      <c r="AA14" s="12">
        <f>'TR TUSD'!$AA$14</f>
        <v>0</v>
      </c>
      <c r="AB14" s="12">
        <f>SUM($U$14:$AA$14)</f>
        <v>0</v>
      </c>
      <c r="AC14" s="12">
        <f>'TR TUSD'!$AC$14*'TR TUSD'!$AC$60</f>
        <v>0</v>
      </c>
      <c r="AD14" s="12">
        <f>SUM($AC$14:$AC$14)</f>
        <v>0</v>
      </c>
      <c r="AE14" s="12">
        <v>0</v>
      </c>
      <c r="AF14" s="12">
        <v>0</v>
      </c>
      <c r="AG14" s="12">
        <f>SUM($AE$14:$AF$14)</f>
        <v>0</v>
      </c>
      <c r="AH14" s="12">
        <f>'TR TUSD'!$AH$14*'TR TUSD'!$AH$60</f>
        <v>12.353527598228785</v>
      </c>
      <c r="AI14" s="12">
        <f>'TR TUSD'!$AI$14*'TR TUSD'!$AI$60</f>
        <v>0</v>
      </c>
      <c r="AJ14" s="12">
        <f ca="1">'TR TUSD'!$AJ$14*'TR TUSD'!$AJ$60</f>
        <v>0</v>
      </c>
      <c r="AK14" s="12">
        <f ca="1">'TR TUSD'!$AK$14*'TR TUSD'!$AK$60</f>
        <v>0</v>
      </c>
      <c r="AL14" s="12">
        <f ca="1">SUM($AH$14:$AK$14)</f>
        <v>12.353527598228785</v>
      </c>
      <c r="AM14" s="12">
        <f ca="1">SUMIF($L$4:$AL$4,"SUBTOTAL",$L$14:$AL$14)</f>
        <v>14.598686688719848</v>
      </c>
      <c r="AP14" s="12">
        <v>1</v>
      </c>
    </row>
    <row r="15" spans="1:42" ht="11.25" customHeight="1" x14ac:dyDescent="0.25">
      <c r="A15" s="102" t="s">
        <v>80</v>
      </c>
      <c r="B15" s="102" t="s">
        <v>79</v>
      </c>
      <c r="C15" s="102" t="s">
        <v>25</v>
      </c>
      <c r="D15" s="102" t="s">
        <v>25</v>
      </c>
      <c r="E15" s="18" t="s">
        <v>81</v>
      </c>
      <c r="F15" s="18" t="s">
        <v>25</v>
      </c>
      <c r="G15" s="17" t="s">
        <v>9</v>
      </c>
      <c r="H15" s="17" t="s">
        <v>74</v>
      </c>
      <c r="I15" s="17">
        <f>'MERCADO TUSD'!$U$12+0.00000001</f>
        <v>1E-8</v>
      </c>
      <c r="J15" s="15"/>
      <c r="L15" s="12">
        <f>'TR TUSD'!$L$15*'TR TUSD'!$L$60</f>
        <v>0</v>
      </c>
      <c r="M15" s="12">
        <f>'TR TUSD'!$M$15*'TR TUSD'!$M$60</f>
        <v>1.3115548219841308E-2</v>
      </c>
      <c r="N15" s="12">
        <f ca="1">'TR TUSD'!$N$15*'TR TUSD'!$N$60</f>
        <v>0</v>
      </c>
      <c r="O15" s="12">
        <f>'TR TUSD'!$O$15*'TR TUSD'!$O$60</f>
        <v>0</v>
      </c>
      <c r="P15" s="12">
        <f>'TR TUSD'!$P$15*'TR TUSD'!$P$60</f>
        <v>0</v>
      </c>
      <c r="Q15" s="12">
        <f>'TR TUSD'!$Q$15*'TR TUSD'!$Q$60</f>
        <v>0</v>
      </c>
      <c r="R15" s="12">
        <f>'TR TUSD'!$R$15*'TR TUSD'!$R$60</f>
        <v>0</v>
      </c>
      <c r="S15" s="12">
        <f>'TR TUSD'!$S$15*'TR TUSD'!$S$60</f>
        <v>0</v>
      </c>
      <c r="T15" s="12">
        <f ca="1">SUM($L$15:$S$15)</f>
        <v>1.3115548219841308E-2</v>
      </c>
      <c r="U15" s="12">
        <f>'TR TUSD'!$U$15*'TR TUSD'!$U$60</f>
        <v>0</v>
      </c>
      <c r="V15" s="12">
        <f>'TR TUSD'!$V$15*'TR TUSD'!$V$60</f>
        <v>0</v>
      </c>
      <c r="W15" s="12">
        <f>'TR TUSD'!$W$15*'TR TUSD'!$W$60</f>
        <v>0</v>
      </c>
      <c r="X15" s="12">
        <f>'TR TUSD'!$X$15*'TR TUSD'!$X$60</f>
        <v>0</v>
      </c>
      <c r="Y15" s="12">
        <f>'TR TUSD'!$Y$15*'TR TUSD'!$Y$60</f>
        <v>0</v>
      </c>
      <c r="Z15" s="12">
        <f>'TR TUSD'!$Z$15*'TR TUSD'!$Z$60</f>
        <v>0</v>
      </c>
      <c r="AA15" s="12">
        <f>'TR TUSD'!$AA$15*'TR TUSD'!$AA$60</f>
        <v>0</v>
      </c>
      <c r="AB15" s="12">
        <f>SUM($U$15:$AA$15)</f>
        <v>0</v>
      </c>
      <c r="AC15" s="12">
        <f>'TR TUSD'!$AC$15*'TR TUSD'!$AC$60</f>
        <v>11.718748716574233</v>
      </c>
      <c r="AD15" s="12">
        <f>SUM($AC$15:$AC$15)</f>
        <v>11.718748716574233</v>
      </c>
      <c r="AE15" s="12">
        <v>0</v>
      </c>
      <c r="AF15" s="12">
        <v>0</v>
      </c>
      <c r="AG15" s="12">
        <f>SUM($AE$15:$AF$15)</f>
        <v>0</v>
      </c>
      <c r="AH15" s="12">
        <f>'TR TUSD'!$AH$15*'TR TUSD'!$AH$60</f>
        <v>0</v>
      </c>
      <c r="AI15" s="12">
        <f>'TR TUSD'!$AI$15*'TR TUSD'!$AI$60</f>
        <v>0</v>
      </c>
      <c r="AJ15" s="12">
        <f ca="1">'TR TUSD'!$AJ$15*'TR TUSD'!$AJ$60</f>
        <v>0</v>
      </c>
      <c r="AK15" s="12">
        <f ca="1">'TR TUSD'!$AK$15*'TR TUSD'!$AK$60</f>
        <v>0</v>
      </c>
      <c r="AL15" s="12">
        <f ca="1">SUM($AH$15:$AK$15)</f>
        <v>0</v>
      </c>
      <c r="AM15" s="12">
        <f ca="1">SUMIF($L$4:$AL$4,"SUBTOTAL",$L$15:$AL$15)</f>
        <v>11.731864264794075</v>
      </c>
      <c r="AP15" s="12"/>
    </row>
    <row r="16" spans="1:42" ht="11.25" customHeight="1" x14ac:dyDescent="0.25">
      <c r="A16" s="102"/>
      <c r="B16" s="102"/>
      <c r="C16" s="102"/>
      <c r="D16" s="102"/>
      <c r="E16" s="18" t="s">
        <v>82</v>
      </c>
      <c r="F16" s="18" t="s">
        <v>25</v>
      </c>
      <c r="G16" s="17" t="s">
        <v>9</v>
      </c>
      <c r="H16" s="17" t="s">
        <v>74</v>
      </c>
      <c r="I16" s="17">
        <f>'MERCADO TUSD'!$U$13+0.00000001</f>
        <v>1E-8</v>
      </c>
      <c r="J16" s="15"/>
      <c r="L16" s="12">
        <f>'TR TUSD'!$L$16*'TR TUSD'!$L$60</f>
        <v>0</v>
      </c>
      <c r="M16" s="12">
        <f>'TR TUSD'!$M$16*'TR TUSD'!$M$60</f>
        <v>1.3115548219841308E-2</v>
      </c>
      <c r="N16" s="12">
        <f ca="1">'TR TUSD'!$N$16*'TR TUSD'!$N$60</f>
        <v>0</v>
      </c>
      <c r="O16" s="12">
        <f>'TR TUSD'!$O$16*'TR TUSD'!$O$60</f>
        <v>0</v>
      </c>
      <c r="P16" s="12">
        <f>'TR TUSD'!$P$16*'TR TUSD'!$P$60</f>
        <v>0</v>
      </c>
      <c r="Q16" s="12">
        <f>'TR TUSD'!$Q$16*'TR TUSD'!$Q$60</f>
        <v>0</v>
      </c>
      <c r="R16" s="12">
        <f>'TR TUSD'!$R$16*'TR TUSD'!$R$60</f>
        <v>0</v>
      </c>
      <c r="S16" s="12">
        <f>'TR TUSD'!$S$16*'TR TUSD'!$S$60</f>
        <v>0</v>
      </c>
      <c r="T16" s="12">
        <f ca="1">SUM($L$16:$S$16)</f>
        <v>1.3115548219841308E-2</v>
      </c>
      <c r="U16" s="12">
        <f>'TR TUSD'!$U$16*'TR TUSD'!$U$60</f>
        <v>0</v>
      </c>
      <c r="V16" s="12">
        <f>'TR TUSD'!$V$16*'TR TUSD'!$V$60</f>
        <v>0</v>
      </c>
      <c r="W16" s="12">
        <f>'TR TUSD'!$W$16*'TR TUSD'!$W$60</f>
        <v>0</v>
      </c>
      <c r="X16" s="12">
        <f>'TR TUSD'!$X$16*'TR TUSD'!$X$60</f>
        <v>0</v>
      </c>
      <c r="Y16" s="12">
        <f>'TR TUSD'!$Y$16*'TR TUSD'!$Y$60</f>
        <v>0</v>
      </c>
      <c r="Z16" s="12">
        <f>'TR TUSD'!$Z$16*'TR TUSD'!$Z$60</f>
        <v>0</v>
      </c>
      <c r="AA16" s="12">
        <f>'TR TUSD'!$AA$16*'TR TUSD'!$AA$60</f>
        <v>0</v>
      </c>
      <c r="AB16" s="12">
        <f>SUM($U$16:$AA$16)</f>
        <v>0</v>
      </c>
      <c r="AC16" s="12">
        <f>'TR TUSD'!$AC$16*'TR TUSD'!$AC$60</f>
        <v>30.477759924107463</v>
      </c>
      <c r="AD16" s="12">
        <f>SUM($AC$16:$AC$16)</f>
        <v>30.477759924107463</v>
      </c>
      <c r="AE16" s="12">
        <v>0</v>
      </c>
      <c r="AF16" s="12">
        <v>0</v>
      </c>
      <c r="AG16" s="12">
        <f>SUM($AE$16:$AF$16)</f>
        <v>0</v>
      </c>
      <c r="AH16" s="12">
        <f>'TR TUSD'!$AH$16*'TR TUSD'!$AH$60</f>
        <v>0</v>
      </c>
      <c r="AI16" s="12">
        <f>'TR TUSD'!$AI$16*'TR TUSD'!$AI$60</f>
        <v>0</v>
      </c>
      <c r="AJ16" s="12">
        <f ca="1">'TR TUSD'!$AJ$16*'TR TUSD'!$AJ$60</f>
        <v>0</v>
      </c>
      <c r="AK16" s="12">
        <f ca="1">'TR TUSD'!$AK$16*'TR TUSD'!$AK$60</f>
        <v>0</v>
      </c>
      <c r="AL16" s="12">
        <f ca="1">SUM($AH$16:$AK$16)</f>
        <v>0</v>
      </c>
      <c r="AM16" s="12">
        <f ca="1">SUMIF($L$4:$AL$4,"SUBTOTAL",$L$16:$AL$16)</f>
        <v>30.490875472327303</v>
      </c>
      <c r="AP16" s="12"/>
    </row>
    <row r="17" spans="1:42" ht="11.25" customHeight="1" x14ac:dyDescent="0.25">
      <c r="A17" s="102" t="s">
        <v>22</v>
      </c>
      <c r="B17" s="102" t="s">
        <v>85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17" t="s">
        <v>72</v>
      </c>
      <c r="H17" s="17" t="s">
        <v>71</v>
      </c>
      <c r="I17" s="17">
        <f>'MERCADO TUSD'!$U$14</f>
        <v>0</v>
      </c>
      <c r="J17" s="15"/>
      <c r="L17" s="12">
        <f>'TR TUSD'!$L$17*'TR TUSD'!$L$60</f>
        <v>0</v>
      </c>
      <c r="M17" s="12">
        <f>'TR TUSD'!$M$17*'TR TUSD'!$M$60</f>
        <v>2.5395093085379745</v>
      </c>
      <c r="N17" s="12">
        <f ca="1">'TR TUSD'!$N$17*'TR TUSD'!$N$60</f>
        <v>0</v>
      </c>
      <c r="O17" s="12">
        <f>'TR TUSD'!$O$17*'TR TUSD'!$O$60</f>
        <v>0</v>
      </c>
      <c r="P17" s="12">
        <f>'TR TUSD'!$P$17*'TR TUSD'!$P$60</f>
        <v>0</v>
      </c>
      <c r="Q17" s="12">
        <f>'TR TUSD'!$Q$17*'TR TUSD'!$Q$60</f>
        <v>91.588370671072639</v>
      </c>
      <c r="R17" s="12">
        <f>'TR TUSD'!$R$17*'TR TUSD'!$R$60</f>
        <v>14.473894675682843</v>
      </c>
      <c r="S17" s="12">
        <f>'TR TUSD'!$S$17*'TR TUSD'!$S$60</f>
        <v>0</v>
      </c>
      <c r="T17" s="12">
        <f ca="1">SUM($L$17:$S$17)</f>
        <v>108.60177465529345</v>
      </c>
      <c r="U17" s="12">
        <f>'TR TUSD'!$U$17*'TR TUSD'!$U$60</f>
        <v>0</v>
      </c>
      <c r="V17" s="12">
        <f>'TR TUSD'!$V$17*'TR TUSD'!$V$60</f>
        <v>0</v>
      </c>
      <c r="W17" s="12">
        <f>'TR TUSD'!$W$17*'TR TUSD'!$W$60</f>
        <v>0</v>
      </c>
      <c r="X17" s="12">
        <f>'TR TUSD'!$X$17*'TR TUSD'!$X$60</f>
        <v>0</v>
      </c>
      <c r="Y17" s="12">
        <f>'TR TUSD'!$Y$17*'TR TUSD'!$Y$60</f>
        <v>353.32776903480152</v>
      </c>
      <c r="Z17" s="12">
        <f>'TR TUSD'!$Z$17</f>
        <v>0</v>
      </c>
      <c r="AA17" s="12">
        <f>'TR TUSD'!$AA$17</f>
        <v>0</v>
      </c>
      <c r="AB17" s="12">
        <f>SUM($U$17:$AA$17)</f>
        <v>353.32776903480152</v>
      </c>
      <c r="AC17" s="12">
        <f>'TR TUSD'!$AC$17*'TR TUSD'!$AC$60</f>
        <v>1352.0544875297912</v>
      </c>
      <c r="AD17" s="12">
        <f>SUM($AC$17:$AC$17)</f>
        <v>1352.0544875297912</v>
      </c>
      <c r="AE17" s="12">
        <v>0</v>
      </c>
      <c r="AF17" s="12">
        <v>0</v>
      </c>
      <c r="AG17" s="12">
        <f>SUM($AE$17:$AF$17)</f>
        <v>0</v>
      </c>
      <c r="AH17" s="12">
        <f>'TR TUSD'!$AH$17*'TR TUSD'!$AH$60</f>
        <v>27.869752303901077</v>
      </c>
      <c r="AI17" s="12">
        <f>'TR TUSD'!$AI$17*'TR TUSD'!$AI$60</f>
        <v>0</v>
      </c>
      <c r="AJ17" s="12">
        <f ca="1">'TR TUSD'!$AJ$17*'TR TUSD'!$AJ$60</f>
        <v>0</v>
      </c>
      <c r="AK17" s="12">
        <f ca="1">'TR TUSD'!$AK$17*'TR TUSD'!$AK$60</f>
        <v>0</v>
      </c>
      <c r="AL17" s="12">
        <f ca="1">SUM($AH$17:$AK$17)</f>
        <v>27.869752303901077</v>
      </c>
      <c r="AM17" s="12">
        <f ca="1">SUMIF($L$4:$AL$4,"SUBTOTAL",$L$17:$AL$17)</f>
        <v>1841.8537835237873</v>
      </c>
      <c r="AP17" s="12">
        <v>1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17" t="s">
        <v>83</v>
      </c>
      <c r="H18" s="17" t="s">
        <v>71</v>
      </c>
      <c r="I18" s="17">
        <f>'MERCADO TUSD'!$U$15</f>
        <v>0</v>
      </c>
      <c r="J18" s="15"/>
      <c r="L18" s="12">
        <f>'TR TUSD'!$L$18*'TR TUSD'!$L$60</f>
        <v>0</v>
      </c>
      <c r="M18" s="12">
        <f>'TR TUSD'!$M$18*'TR TUSD'!$M$60</f>
        <v>2.5395093085379745</v>
      </c>
      <c r="N18" s="12">
        <f ca="1">'TR TUSD'!$N$18*'TR TUSD'!$N$60</f>
        <v>0</v>
      </c>
      <c r="O18" s="12">
        <f>'TR TUSD'!$O$18*'TR TUSD'!$O$60</f>
        <v>0</v>
      </c>
      <c r="P18" s="12">
        <f>'TR TUSD'!$P$18*'TR TUSD'!$P$60</f>
        <v>0</v>
      </c>
      <c r="Q18" s="12">
        <f>'TR TUSD'!$Q$18*'TR TUSD'!$Q$60</f>
        <v>91.588370671072639</v>
      </c>
      <c r="R18" s="12">
        <f>'TR TUSD'!$R$18*'TR TUSD'!$R$60</f>
        <v>14.473894675682843</v>
      </c>
      <c r="S18" s="12">
        <f>'TR TUSD'!$S$18*'TR TUSD'!$S$60</f>
        <v>0</v>
      </c>
      <c r="T18" s="12">
        <f ca="1">SUM($L$18:$S$18)</f>
        <v>108.60177465529345</v>
      </c>
      <c r="U18" s="12">
        <f>'TR TUSD'!$U$18*'TR TUSD'!$U$60</f>
        <v>0</v>
      </c>
      <c r="V18" s="12">
        <f>'TR TUSD'!$V$18*'TR TUSD'!$V$60</f>
        <v>0</v>
      </c>
      <c r="W18" s="12">
        <f>'TR TUSD'!$W$18*'TR TUSD'!$W$60</f>
        <v>0</v>
      </c>
      <c r="X18" s="12">
        <f>'TR TUSD'!$X$18*'TR TUSD'!$X$60</f>
        <v>0</v>
      </c>
      <c r="Y18" s="12">
        <f>'TR TUSD'!$Y$18*'TR TUSD'!$Y$60</f>
        <v>212.03415640875158</v>
      </c>
      <c r="Z18" s="12">
        <f>'TR TUSD'!$Z$18</f>
        <v>0</v>
      </c>
      <c r="AA18" s="12">
        <f>'TR TUSD'!$AA$18</f>
        <v>0</v>
      </c>
      <c r="AB18" s="12">
        <f>SUM($U$18:$AA$18)</f>
        <v>212.03415640875158</v>
      </c>
      <c r="AC18" s="12">
        <f>'TR TUSD'!$AC$18*'TR TUSD'!$AC$60</f>
        <v>811.23273564352553</v>
      </c>
      <c r="AD18" s="12">
        <f>SUM($AC$18:$AC$18)</f>
        <v>811.23273564352553</v>
      </c>
      <c r="AE18" s="12">
        <v>0</v>
      </c>
      <c r="AF18" s="12">
        <v>0</v>
      </c>
      <c r="AG18" s="12">
        <f>SUM($AE$18:$AF$18)</f>
        <v>0</v>
      </c>
      <c r="AH18" s="12">
        <f>'TR TUSD'!$AH$18*'TR TUSD'!$AH$60</f>
        <v>27.869752303901077</v>
      </c>
      <c r="AI18" s="12">
        <f>'TR TUSD'!$AI$18*'TR TUSD'!$AI$60</f>
        <v>0</v>
      </c>
      <c r="AJ18" s="12">
        <f ca="1">'TR TUSD'!$AJ$18*'TR TUSD'!$AJ$60</f>
        <v>0</v>
      </c>
      <c r="AK18" s="12">
        <f ca="1">'TR TUSD'!$AK$18*'TR TUSD'!$AK$60</f>
        <v>0</v>
      </c>
      <c r="AL18" s="12">
        <f ca="1">SUM($AH$18:$AK$18)</f>
        <v>27.869752303901077</v>
      </c>
      <c r="AM18" s="12">
        <f ca="1">SUMIF($L$4:$AL$4,"SUBTOTAL",$L$18:$AL$18)</f>
        <v>1159.7384190114717</v>
      </c>
      <c r="AP18" s="12">
        <v>1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17" t="s">
        <v>73</v>
      </c>
      <c r="H19" s="17" t="s">
        <v>71</v>
      </c>
      <c r="I19" s="17">
        <f>'MERCADO TUSD'!$U$16</f>
        <v>0</v>
      </c>
      <c r="J19" s="15"/>
      <c r="L19" s="12">
        <f>'TR TUSD'!$L$19*'TR TUSD'!$L$60</f>
        <v>0</v>
      </c>
      <c r="M19" s="12">
        <f>'TR TUSD'!$M$19*'TR TUSD'!$M$60</f>
        <v>2.5395093085379745</v>
      </c>
      <c r="N19" s="12">
        <f ca="1">'TR TUSD'!$N$19*'TR TUSD'!$N$60</f>
        <v>0</v>
      </c>
      <c r="O19" s="12">
        <f>'TR TUSD'!$O$19*'TR TUSD'!$O$60</f>
        <v>0</v>
      </c>
      <c r="P19" s="12">
        <f>'TR TUSD'!$P$19*'TR TUSD'!$P$60</f>
        <v>0</v>
      </c>
      <c r="Q19" s="12">
        <f>'TR TUSD'!$Q$19*'TR TUSD'!$Q$60</f>
        <v>91.588370671072639</v>
      </c>
      <c r="R19" s="12">
        <f>'TR TUSD'!$R$19*'TR TUSD'!$R$60</f>
        <v>14.473894675682843</v>
      </c>
      <c r="S19" s="12">
        <f>'TR TUSD'!$S$19*'TR TUSD'!$S$60</f>
        <v>0</v>
      </c>
      <c r="T19" s="12">
        <f ca="1">SUM($L$19:$S$19)</f>
        <v>108.60177465529345</v>
      </c>
      <c r="U19" s="12">
        <f>'TR TUSD'!$U$19*'TR TUSD'!$U$60</f>
        <v>0</v>
      </c>
      <c r="V19" s="12">
        <f>'TR TUSD'!$V$19*'TR TUSD'!$V$60</f>
        <v>0</v>
      </c>
      <c r="W19" s="12">
        <f>'TR TUSD'!$W$19*'TR TUSD'!$W$60</f>
        <v>0</v>
      </c>
      <c r="X19" s="12">
        <f>'TR TUSD'!$X$19*'TR TUSD'!$X$60</f>
        <v>0</v>
      </c>
      <c r="Y19" s="12">
        <f>'TR TUSD'!$Y$19*'TR TUSD'!$Y$60</f>
        <v>70.678052136250528</v>
      </c>
      <c r="Z19" s="12">
        <f>'TR TUSD'!$Z$19</f>
        <v>0</v>
      </c>
      <c r="AA19" s="12">
        <f>'TR TUSD'!$AA$19</f>
        <v>0</v>
      </c>
      <c r="AB19" s="12">
        <f>SUM($U$19:$AA$19)</f>
        <v>70.678052136250528</v>
      </c>
      <c r="AC19" s="12">
        <f>'TR TUSD'!$AC$19*'TR TUSD'!$AC$60</f>
        <v>270.41076812900587</v>
      </c>
      <c r="AD19" s="12">
        <f>SUM($AC$19:$AC$19)</f>
        <v>270.41076812900587</v>
      </c>
      <c r="AE19" s="12">
        <v>0</v>
      </c>
      <c r="AF19" s="12">
        <v>0</v>
      </c>
      <c r="AG19" s="12">
        <f>SUM($AE$19:$AF$19)</f>
        <v>0</v>
      </c>
      <c r="AH19" s="12">
        <f>'TR TUSD'!$AH$19*'TR TUSD'!$AH$60</f>
        <v>27.869752303901077</v>
      </c>
      <c r="AI19" s="12">
        <f>'TR TUSD'!$AI$19*'TR TUSD'!$AI$60</f>
        <v>0</v>
      </c>
      <c r="AJ19" s="12">
        <f ca="1">'TR TUSD'!$AJ$19*'TR TUSD'!$AJ$60</f>
        <v>0</v>
      </c>
      <c r="AK19" s="12">
        <f ca="1">'TR TUSD'!$AK$19*'TR TUSD'!$AK$60</f>
        <v>0</v>
      </c>
      <c r="AL19" s="12">
        <f ca="1">SUM($AH$19:$AK$19)</f>
        <v>27.869752303901077</v>
      </c>
      <c r="AM19" s="12">
        <f ca="1">SUMIF($L$4:$AL$4,"SUBTOTAL",$L$19:$AL$19)</f>
        <v>477.56034722445094</v>
      </c>
      <c r="AP19" s="12">
        <v>1</v>
      </c>
    </row>
    <row r="20" spans="1:42" ht="11.25" customHeight="1" x14ac:dyDescent="0.25">
      <c r="A20" s="102"/>
      <c r="B20" s="102" t="s">
        <v>23</v>
      </c>
      <c r="C20" s="102" t="s">
        <v>24</v>
      </c>
      <c r="D20" s="18" t="s">
        <v>24</v>
      </c>
      <c r="E20" s="18" t="s">
        <v>25</v>
      </c>
      <c r="F20" s="18" t="s">
        <v>25</v>
      </c>
      <c r="G20" s="17" t="s">
        <v>77</v>
      </c>
      <c r="H20" s="17" t="s">
        <v>71</v>
      </c>
      <c r="I20" s="17">
        <f>'MERCADO TUSD'!$U$17</f>
        <v>13817.398000000001</v>
      </c>
      <c r="J20" s="15"/>
      <c r="L20" s="12">
        <f>'TR TUSD'!$L$20*'TR TUSD'!$L$60</f>
        <v>0</v>
      </c>
      <c r="M20" s="12">
        <f>'TR TUSD'!$M$20*'TR TUSD'!$M$60</f>
        <v>2.5395093085379745</v>
      </c>
      <c r="N20" s="12">
        <f ca="1">'TR TUSD'!$N$20*'TR TUSD'!$N$60</f>
        <v>0</v>
      </c>
      <c r="O20" s="12">
        <f>'TR TUSD'!$O$20*'TR TUSD'!$O$60</f>
        <v>0</v>
      </c>
      <c r="P20" s="12">
        <f>'TR TUSD'!$P$20*'TR TUSD'!$P$60</f>
        <v>0</v>
      </c>
      <c r="Q20" s="12">
        <f>'TR TUSD'!$Q$20*'TR TUSD'!$Q$60</f>
        <v>91.588370671072639</v>
      </c>
      <c r="R20" s="12">
        <f>'TR TUSD'!$R$20*'TR TUSD'!$R$60</f>
        <v>14.473894675682843</v>
      </c>
      <c r="S20" s="12">
        <f>'TR TUSD'!$S$20*'TR TUSD'!$S$60</f>
        <v>0</v>
      </c>
      <c r="T20" s="12">
        <f ca="1">SUM($L$20:$S$20)</f>
        <v>108.60177465529345</v>
      </c>
      <c r="U20" s="12">
        <f>'TR TUSD'!$U$20*'TR TUSD'!$U$60</f>
        <v>0</v>
      </c>
      <c r="V20" s="12">
        <f>'TR TUSD'!$V$20*'TR TUSD'!$V$60</f>
        <v>0</v>
      </c>
      <c r="W20" s="12">
        <f>'TR TUSD'!$W$20*'TR TUSD'!$W$60</f>
        <v>0</v>
      </c>
      <c r="X20" s="12">
        <f>'TR TUSD'!$X$20*'TR TUSD'!$X$60</f>
        <v>0</v>
      </c>
      <c r="Y20" s="12">
        <f>'TR TUSD'!$Y$20*'TR TUSD'!$Y$60</f>
        <v>141.35610427250106</v>
      </c>
      <c r="Z20" s="12">
        <f>'TR TUSD'!$Z$20</f>
        <v>0</v>
      </c>
      <c r="AA20" s="12">
        <f>'TR TUSD'!$AA$20</f>
        <v>0</v>
      </c>
      <c r="AB20" s="12">
        <f>SUM($U$20:$AA$20)</f>
        <v>141.35610427250106</v>
      </c>
      <c r="AC20" s="12">
        <f>'TR TUSD'!$AC$20*'TR TUSD'!$AC$60</f>
        <v>540.82153625801175</v>
      </c>
      <c r="AD20" s="12">
        <f>SUM($AC$20:$AC$20)</f>
        <v>540.82153625801175</v>
      </c>
      <c r="AE20" s="12">
        <v>0</v>
      </c>
      <c r="AF20" s="12">
        <v>0</v>
      </c>
      <c r="AG20" s="12">
        <f>SUM($AE$20:$AF$20)</f>
        <v>0</v>
      </c>
      <c r="AH20" s="12">
        <f>'TR TUSD'!$AH$20*'TR TUSD'!$AH$60</f>
        <v>27.869752303901077</v>
      </c>
      <c r="AI20" s="12">
        <f>'TR TUSD'!$AI$20*'TR TUSD'!$AI$60</f>
        <v>0</v>
      </c>
      <c r="AJ20" s="12">
        <f ca="1">'TR TUSD'!$AJ$20*'TR TUSD'!$AJ$60</f>
        <v>0</v>
      </c>
      <c r="AK20" s="12">
        <f ca="1">'TR TUSD'!$AK$20*'TR TUSD'!$AK$60</f>
        <v>0</v>
      </c>
      <c r="AL20" s="12">
        <f ca="1">SUM($AH$20:$AK$20)</f>
        <v>27.869752303901077</v>
      </c>
      <c r="AM20" s="12">
        <f ca="1">SUMIF($L$4:$AL$4,"SUBTOTAL",$L$20:$AL$20)</f>
        <v>818.64916748970745</v>
      </c>
      <c r="AP20" s="12">
        <v>1</v>
      </c>
    </row>
    <row r="21" spans="1:42" ht="11.25" customHeight="1" x14ac:dyDescent="0.25">
      <c r="A21" s="102"/>
      <c r="B21" s="102"/>
      <c r="C21" s="102"/>
      <c r="D21" s="18" t="s">
        <v>29</v>
      </c>
      <c r="E21" s="18" t="s">
        <v>25</v>
      </c>
      <c r="F21" s="18" t="s">
        <v>25</v>
      </c>
      <c r="G21" s="17" t="s">
        <v>77</v>
      </c>
      <c r="H21" s="17" t="s">
        <v>71</v>
      </c>
      <c r="I21" s="17">
        <f>'MERCADO TUSD'!$U$18</f>
        <v>152.22200000000001</v>
      </c>
      <c r="J21" s="15"/>
      <c r="L21" s="12">
        <f>'TR TUSD'!$L$21*'TR TUSD'!$L$60</f>
        <v>0</v>
      </c>
      <c r="M21" s="12">
        <f>'TR TUSD'!$M$21*'TR TUSD'!$M$60</f>
        <v>2.5395093085379745</v>
      </c>
      <c r="N21" s="12">
        <f ca="1">'TR TUSD'!$N$21*'TR TUSD'!$N$60</f>
        <v>0</v>
      </c>
      <c r="O21" s="12">
        <f>'TR TUSD'!$O$21*'TR TUSD'!$O$60</f>
        <v>0</v>
      </c>
      <c r="P21" s="12">
        <f>'TR TUSD'!$P$21*'TR TUSD'!$P$60</f>
        <v>0</v>
      </c>
      <c r="Q21" s="12">
        <f>'TR TUSD'!$Q$21*'TR TUSD'!$Q$60</f>
        <v>0</v>
      </c>
      <c r="R21" s="12">
        <f>'TR TUSD'!$R$21*'TR TUSD'!$R$60</f>
        <v>0</v>
      </c>
      <c r="S21" s="12">
        <f>'TR TUSD'!$S$21*'TR TUSD'!$S$60</f>
        <v>0</v>
      </c>
      <c r="T21" s="12">
        <f ca="1">SUM($L$21:$S$21)</f>
        <v>2.5395093085379745</v>
      </c>
      <c r="U21" s="12">
        <f>'TR TUSD'!$U$21*'TR TUSD'!$U$60</f>
        <v>0</v>
      </c>
      <c r="V21" s="12">
        <f>'TR TUSD'!$V$21*'TR TUSD'!$V$60</f>
        <v>0</v>
      </c>
      <c r="W21" s="12">
        <f>'TR TUSD'!$W$21*'TR TUSD'!$W$60</f>
        <v>0</v>
      </c>
      <c r="X21" s="12">
        <f>'TR TUSD'!$X$21*'TR TUSD'!$X$60</f>
        <v>0</v>
      </c>
      <c r="Y21" s="12">
        <f>'TR TUSD'!$Y$21*'TR TUSD'!$Y$60</f>
        <v>141.35610427250106</v>
      </c>
      <c r="Z21" s="12">
        <f>'TR TUSD'!$Z$21</f>
        <v>0</v>
      </c>
      <c r="AA21" s="12">
        <f>'TR TUSD'!$AA$21</f>
        <v>0</v>
      </c>
      <c r="AB21" s="12">
        <f>SUM($U$21:$AA$21)</f>
        <v>141.35610427250106</v>
      </c>
      <c r="AC21" s="12">
        <f>'TR TUSD'!$AC$21*'TR TUSD'!$AC$60</f>
        <v>540.82153625801175</v>
      </c>
      <c r="AD21" s="12">
        <f>SUM($AC$21:$AC$21)</f>
        <v>540.82153625801175</v>
      </c>
      <c r="AE21" s="12">
        <v>0</v>
      </c>
      <c r="AF21" s="12">
        <v>0</v>
      </c>
      <c r="AG21" s="12">
        <f>SUM($AE$21:$AF$21)</f>
        <v>0</v>
      </c>
      <c r="AH21" s="12">
        <f>'TR TUSD'!$AH$21*'TR TUSD'!$AH$60</f>
        <v>27.869752303901077</v>
      </c>
      <c r="AI21" s="12">
        <f>'TR TUSD'!$AI$21*'TR TUSD'!$AI$60</f>
        <v>0</v>
      </c>
      <c r="AJ21" s="12">
        <f ca="1">'TR TUSD'!$AJ$21*'TR TUSD'!$AJ$60</f>
        <v>0</v>
      </c>
      <c r="AK21" s="12">
        <f ca="1">'TR TUSD'!$AK$21*'TR TUSD'!$AK$60</f>
        <v>0</v>
      </c>
      <c r="AL21" s="12">
        <f ca="1">SUM($AH$21:$AK$21)</f>
        <v>27.869752303901077</v>
      </c>
      <c r="AM21" s="12">
        <f ca="1">SUMIF($L$4:$AL$4,"SUBTOTAL",$L$21:$AL$21)</f>
        <v>712.58690214295189</v>
      </c>
      <c r="AP21" s="12">
        <f>IF((1 - CUSTOS!$M$24)&lt;&gt;0,1/(1 - CUSTOS!$M$24),1)</f>
        <v>1</v>
      </c>
    </row>
    <row r="22" spans="1:42" ht="11.25" customHeight="1" x14ac:dyDescent="0.25">
      <c r="A22" s="102"/>
      <c r="B22" s="102"/>
      <c r="C22" s="102"/>
      <c r="D22" s="18" t="s">
        <v>30</v>
      </c>
      <c r="E22" s="18" t="s">
        <v>25</v>
      </c>
      <c r="F22" s="18" t="s">
        <v>25</v>
      </c>
      <c r="G22" s="17" t="s">
        <v>77</v>
      </c>
      <c r="H22" s="17" t="s">
        <v>71</v>
      </c>
      <c r="I22" s="17">
        <f>'MERCADO TUSD'!$U$19</f>
        <v>271.62199999999996</v>
      </c>
      <c r="J22" s="15"/>
      <c r="L22" s="12">
        <f>'TR TUSD'!$L$22*'TR TUSD'!$L$60</f>
        <v>0</v>
      </c>
      <c r="M22" s="12">
        <f>'TR TUSD'!$M$22*'TR TUSD'!$M$60</f>
        <v>2.5395093085379745</v>
      </c>
      <c r="N22" s="12">
        <f ca="1">'TR TUSD'!$N$22*'TR TUSD'!$N$60</f>
        <v>0</v>
      </c>
      <c r="O22" s="12">
        <f>'TR TUSD'!$O$22*'TR TUSD'!$O$60</f>
        <v>0</v>
      </c>
      <c r="P22" s="12">
        <f>'TR TUSD'!$P$22*'TR TUSD'!$P$60</f>
        <v>0</v>
      </c>
      <c r="Q22" s="12">
        <f>'TR TUSD'!$Q$22*'TR TUSD'!$Q$60</f>
        <v>0</v>
      </c>
      <c r="R22" s="12">
        <f>'TR TUSD'!$R$22*'TR TUSD'!$R$60</f>
        <v>0</v>
      </c>
      <c r="S22" s="12">
        <f>'TR TUSD'!$S$22*'TR TUSD'!$S$60</f>
        <v>0</v>
      </c>
      <c r="T22" s="12">
        <f ca="1">SUM($L$22:$S$22)</f>
        <v>2.5395093085379745</v>
      </c>
      <c r="U22" s="12">
        <f>'TR TUSD'!$U$22*'TR TUSD'!$U$60</f>
        <v>0</v>
      </c>
      <c r="V22" s="12">
        <f>'TR TUSD'!$V$22*'TR TUSD'!$V$60</f>
        <v>0</v>
      </c>
      <c r="W22" s="12">
        <f>'TR TUSD'!$W$22*'TR TUSD'!$W$60</f>
        <v>0</v>
      </c>
      <c r="X22" s="12">
        <f>'TR TUSD'!$X$22*'TR TUSD'!$X$60</f>
        <v>0</v>
      </c>
      <c r="Y22" s="12">
        <f>'TR TUSD'!$Y$22*'TR TUSD'!$Y$60</f>
        <v>141.35610427250106</v>
      </c>
      <c r="Z22" s="12">
        <f>'TR TUSD'!$Z$22</f>
        <v>0</v>
      </c>
      <c r="AA22" s="12">
        <f>'TR TUSD'!$AA$22</f>
        <v>0</v>
      </c>
      <c r="AB22" s="12">
        <f>SUM($U$22:$AA$22)</f>
        <v>141.35610427250106</v>
      </c>
      <c r="AC22" s="12">
        <f>'TR TUSD'!$AC$22*'TR TUSD'!$AC$60</f>
        <v>540.82153625801175</v>
      </c>
      <c r="AD22" s="12">
        <f>SUM($AC$22:$AC$22)</f>
        <v>540.82153625801175</v>
      </c>
      <c r="AE22" s="12">
        <v>0</v>
      </c>
      <c r="AF22" s="12">
        <v>0</v>
      </c>
      <c r="AG22" s="12">
        <f>SUM($AE$22:$AF$22)</f>
        <v>0</v>
      </c>
      <c r="AH22" s="12">
        <f>'TR TUSD'!$AH$22*'TR TUSD'!$AH$60</f>
        <v>27.869752303901077</v>
      </c>
      <c r="AI22" s="12">
        <f>'TR TUSD'!$AI$22*'TR TUSD'!$AI$60</f>
        <v>0</v>
      </c>
      <c r="AJ22" s="12">
        <f ca="1">'TR TUSD'!$AJ$22*'TR TUSD'!$AJ$60</f>
        <v>0</v>
      </c>
      <c r="AK22" s="12">
        <f ca="1">'TR TUSD'!$AK$22*'TR TUSD'!$AK$60</f>
        <v>0</v>
      </c>
      <c r="AL22" s="12">
        <f ca="1">SUM($AH$22:$AK$22)</f>
        <v>27.869752303901077</v>
      </c>
      <c r="AM22" s="12">
        <f ca="1">SUMIF($L$4:$AL$4,"SUBTOTAL",$L$22:$AL$22)</f>
        <v>712.58690214295189</v>
      </c>
      <c r="AP22" s="12">
        <f>IF((1 - CUSTOS!$M$25)&lt;&gt;0,1/(1 - CUSTOS!$M$25),1)</f>
        <v>1</v>
      </c>
    </row>
    <row r="23" spans="1:42" ht="11.25" customHeight="1" x14ac:dyDescent="0.25">
      <c r="A23" s="102"/>
      <c r="B23" s="102"/>
      <c r="C23" s="102"/>
      <c r="D23" s="18" t="s">
        <v>31</v>
      </c>
      <c r="E23" s="18" t="s">
        <v>25</v>
      </c>
      <c r="F23" s="18" t="s">
        <v>25</v>
      </c>
      <c r="G23" s="17" t="s">
        <v>77</v>
      </c>
      <c r="H23" s="17" t="s">
        <v>71</v>
      </c>
      <c r="I23" s="17">
        <f>'MERCADO TUSD'!$U$20</f>
        <v>195.72200000000001</v>
      </c>
      <c r="J23" s="15"/>
      <c r="L23" s="12">
        <f>'TR TUSD'!$L$23*'TR TUSD'!$L$60</f>
        <v>0</v>
      </c>
      <c r="M23" s="12">
        <f>'TR TUSD'!$M$23*'TR TUSD'!$M$60</f>
        <v>2.5395093085379745</v>
      </c>
      <c r="N23" s="12">
        <f ca="1">'TR TUSD'!$N$23*'TR TUSD'!$N$60</f>
        <v>0</v>
      </c>
      <c r="O23" s="12">
        <f>'TR TUSD'!$O$23*'TR TUSD'!$O$60</f>
        <v>0</v>
      </c>
      <c r="P23" s="12">
        <f>'TR TUSD'!$P$23*'TR TUSD'!$P$60</f>
        <v>0</v>
      </c>
      <c r="Q23" s="12">
        <f>'TR TUSD'!$Q$23*'TR TUSD'!$Q$60</f>
        <v>0</v>
      </c>
      <c r="R23" s="12">
        <f>'TR TUSD'!$R$23*'TR TUSD'!$R$60</f>
        <v>0</v>
      </c>
      <c r="S23" s="12">
        <f>'TR TUSD'!$S$23*'TR TUSD'!$S$60</f>
        <v>0</v>
      </c>
      <c r="T23" s="12">
        <f ca="1">SUM($L$23:$S$23)</f>
        <v>2.5395093085379745</v>
      </c>
      <c r="U23" s="12">
        <f>'TR TUSD'!$U$23*'TR TUSD'!$U$60</f>
        <v>0</v>
      </c>
      <c r="V23" s="12">
        <f>'TR TUSD'!$V$23*'TR TUSD'!$V$60</f>
        <v>0</v>
      </c>
      <c r="W23" s="12">
        <f>'TR TUSD'!$W$23*'TR TUSD'!$W$60</f>
        <v>0</v>
      </c>
      <c r="X23" s="12">
        <f>'TR TUSD'!$X$23*'TR TUSD'!$X$60</f>
        <v>0</v>
      </c>
      <c r="Y23" s="12">
        <f>'TR TUSD'!$Y$23*'TR TUSD'!$Y$60</f>
        <v>141.35610427250106</v>
      </c>
      <c r="Z23" s="12">
        <f>'TR TUSD'!$Z$23</f>
        <v>0</v>
      </c>
      <c r="AA23" s="12">
        <f>'TR TUSD'!$AA$23</f>
        <v>0</v>
      </c>
      <c r="AB23" s="12">
        <f>SUM($U$23:$AA$23)</f>
        <v>141.35610427250106</v>
      </c>
      <c r="AC23" s="12">
        <f>'TR TUSD'!$AC$23*'TR TUSD'!$AC$60</f>
        <v>540.82153625801175</v>
      </c>
      <c r="AD23" s="12">
        <f>SUM($AC$23:$AC$23)</f>
        <v>540.82153625801175</v>
      </c>
      <c r="AE23" s="12">
        <v>0</v>
      </c>
      <c r="AF23" s="12">
        <v>0</v>
      </c>
      <c r="AG23" s="12">
        <f>SUM($AE$23:$AF$23)</f>
        <v>0</v>
      </c>
      <c r="AH23" s="12">
        <f>'TR TUSD'!$AH$23*'TR TUSD'!$AH$60</f>
        <v>27.869752303901077</v>
      </c>
      <c r="AI23" s="12">
        <f>'TR TUSD'!$AI$23*'TR TUSD'!$AI$60</f>
        <v>0</v>
      </c>
      <c r="AJ23" s="12">
        <f ca="1">'TR TUSD'!$AJ$23*'TR TUSD'!$AJ$60</f>
        <v>0</v>
      </c>
      <c r="AK23" s="12">
        <f ca="1">'TR TUSD'!$AK$23*'TR TUSD'!$AK$60</f>
        <v>0</v>
      </c>
      <c r="AL23" s="12">
        <f ca="1">SUM($AH$23:$AK$23)</f>
        <v>27.869752303901077</v>
      </c>
      <c r="AM23" s="12">
        <f ca="1">SUMIF($L$4:$AL$4,"SUBTOTAL",$L$23:$AL$23)</f>
        <v>712.58690214295189</v>
      </c>
      <c r="AP23" s="12">
        <f>IF((1 - CUSTOS!$M$26)&lt;&gt;0,1/(1 - CUSTOS!$M$26),1)</f>
        <v>1</v>
      </c>
    </row>
    <row r="24" spans="1:42" ht="11.25" customHeight="1" x14ac:dyDescent="0.25">
      <c r="A24" s="102"/>
      <c r="B24" s="102"/>
      <c r="C24" s="102"/>
      <c r="D24" s="18" t="s">
        <v>32</v>
      </c>
      <c r="E24" s="18" t="s">
        <v>25</v>
      </c>
      <c r="F24" s="18" t="s">
        <v>25</v>
      </c>
      <c r="G24" s="17" t="s">
        <v>77</v>
      </c>
      <c r="H24" s="17" t="s">
        <v>71</v>
      </c>
      <c r="I24" s="17">
        <f>'MERCADO TUSD'!$U$21</f>
        <v>56.320999999999998</v>
      </c>
      <c r="J24" s="15"/>
      <c r="L24" s="12">
        <f>'TR TUSD'!$L$24*'TR TUSD'!$L$60</f>
        <v>0</v>
      </c>
      <c r="M24" s="12">
        <f>'TR TUSD'!$M$24*'TR TUSD'!$M$60</f>
        <v>2.5395093085379745</v>
      </c>
      <c r="N24" s="12">
        <f ca="1">'TR TUSD'!$N$24*'TR TUSD'!$N$60</f>
        <v>0</v>
      </c>
      <c r="O24" s="12">
        <f>'TR TUSD'!$O$24*'TR TUSD'!$O$60</f>
        <v>0</v>
      </c>
      <c r="P24" s="12">
        <f>'TR TUSD'!$P$24*'TR TUSD'!$P$60</f>
        <v>0</v>
      </c>
      <c r="Q24" s="12">
        <f>'TR TUSD'!$Q$24*'TR TUSD'!$Q$60</f>
        <v>0</v>
      </c>
      <c r="R24" s="12">
        <f>'TR TUSD'!$R$24*'TR TUSD'!$R$60</f>
        <v>0</v>
      </c>
      <c r="S24" s="12">
        <f>'TR TUSD'!$S$24*'TR TUSD'!$S$60</f>
        <v>0</v>
      </c>
      <c r="T24" s="12">
        <f ca="1">SUM($L$24:$S$24)</f>
        <v>2.5395093085379745</v>
      </c>
      <c r="U24" s="12">
        <f>'TR TUSD'!$U$24*'TR TUSD'!$U$60</f>
        <v>0</v>
      </c>
      <c r="V24" s="12">
        <f>'TR TUSD'!$V$24*'TR TUSD'!$V$60</f>
        <v>0</v>
      </c>
      <c r="W24" s="12">
        <f>'TR TUSD'!$W$24*'TR TUSD'!$W$60</f>
        <v>0</v>
      </c>
      <c r="X24" s="12">
        <f>'TR TUSD'!$X$24*'TR TUSD'!$X$60</f>
        <v>0</v>
      </c>
      <c r="Y24" s="12">
        <f>'TR TUSD'!$Y$24*'TR TUSD'!$Y$60</f>
        <v>141.35610427250106</v>
      </c>
      <c r="Z24" s="12">
        <f>'TR TUSD'!$Z$24</f>
        <v>0</v>
      </c>
      <c r="AA24" s="12">
        <f>'TR TUSD'!$AA$24</f>
        <v>0</v>
      </c>
      <c r="AB24" s="12">
        <f>SUM($U$24:$AA$24)</f>
        <v>141.35610427250106</v>
      </c>
      <c r="AC24" s="12">
        <f>'TR TUSD'!$AC$24*'TR TUSD'!$AC$60</f>
        <v>540.82153625801175</v>
      </c>
      <c r="AD24" s="12">
        <f>SUM($AC$24:$AC$24)</f>
        <v>540.82153625801175</v>
      </c>
      <c r="AE24" s="12">
        <v>0</v>
      </c>
      <c r="AF24" s="12">
        <v>0</v>
      </c>
      <c r="AG24" s="12">
        <f>SUM($AE$24:$AF$24)</f>
        <v>0</v>
      </c>
      <c r="AH24" s="12">
        <f>'TR TUSD'!$AH$24*'TR TUSD'!$AH$60</f>
        <v>27.869752303901077</v>
      </c>
      <c r="AI24" s="12">
        <f>'TR TUSD'!$AI$24*'TR TUSD'!$AI$60</f>
        <v>0</v>
      </c>
      <c r="AJ24" s="12">
        <f ca="1">'TR TUSD'!$AJ$24*'TR TUSD'!$AJ$60</f>
        <v>0</v>
      </c>
      <c r="AK24" s="12">
        <f ca="1">'TR TUSD'!$AK$24*'TR TUSD'!$AK$60</f>
        <v>0</v>
      </c>
      <c r="AL24" s="12">
        <f ca="1">SUM($AH$24:$AK$24)</f>
        <v>27.869752303901077</v>
      </c>
      <c r="AM24" s="12">
        <f ca="1">SUMIF($L$4:$AL$4,"SUBTOTAL",$L$24:$AL$24)</f>
        <v>712.58690214295189</v>
      </c>
      <c r="AP24" s="12">
        <f>IF((1 - CUSTOS!$M$27)&lt;&gt;0,1/(1 - CUSTOS!$M$27),1)</f>
        <v>1</v>
      </c>
    </row>
    <row r="25" spans="1:42" ht="11.25" customHeight="1" x14ac:dyDescent="0.25">
      <c r="A25" s="102"/>
      <c r="B25" s="102" t="s">
        <v>87</v>
      </c>
      <c r="C25" s="102" t="s">
        <v>24</v>
      </c>
      <c r="D25" s="18" t="s">
        <v>24</v>
      </c>
      <c r="E25" s="18" t="s">
        <v>25</v>
      </c>
      <c r="F25" s="18" t="s">
        <v>25</v>
      </c>
      <c r="G25" s="17" t="s">
        <v>77</v>
      </c>
      <c r="H25" s="17" t="s">
        <v>71</v>
      </c>
      <c r="I25" s="17">
        <f>'MERCADO TUSD'!$U$22</f>
        <v>0</v>
      </c>
      <c r="J25" s="15"/>
      <c r="L25" s="12">
        <f>'TR TUSD'!$L$25*'TR TUSD'!$L$60</f>
        <v>0</v>
      </c>
      <c r="M25" s="12">
        <f>'TR TUSD'!$M$25*'TR TUSD'!$M$60</f>
        <v>2.5395093085379745</v>
      </c>
      <c r="N25" s="12">
        <f ca="1">'TR TUSD'!$N$25*'TR TUSD'!$N$60</f>
        <v>0</v>
      </c>
      <c r="O25" s="12">
        <f>'TR TUSD'!$O$25*'TR TUSD'!$O$60</f>
        <v>0</v>
      </c>
      <c r="P25" s="12">
        <f>'TR TUSD'!$P$25*'TR TUSD'!$P$60</f>
        <v>0</v>
      </c>
      <c r="Q25" s="12">
        <f>'TR TUSD'!$Q$25*'TR TUSD'!$Q$60</f>
        <v>91.588370671072639</v>
      </c>
      <c r="R25" s="12">
        <f>'TR TUSD'!$R$25*'TR TUSD'!$R$60</f>
        <v>14.473894675682843</v>
      </c>
      <c r="S25" s="12">
        <f>'TR TUSD'!$S$25*'TR TUSD'!$S$60</f>
        <v>0</v>
      </c>
      <c r="T25" s="12">
        <f ca="1">SUM($L$25:$S$25)</f>
        <v>108.60177465529345</v>
      </c>
      <c r="U25" s="12">
        <f>'TR TUSD'!$U$25*'TR TUSD'!$U$60</f>
        <v>0</v>
      </c>
      <c r="V25" s="12">
        <f>'TR TUSD'!$V$25*'TR TUSD'!$V$60</f>
        <v>0</v>
      </c>
      <c r="W25" s="12">
        <f>'TR TUSD'!$W$25*'TR TUSD'!$W$60</f>
        <v>0</v>
      </c>
      <c r="X25" s="12">
        <f>'TR TUSD'!$X$25*'TR TUSD'!$X$60</f>
        <v>0</v>
      </c>
      <c r="Y25" s="12">
        <f>'TR TUSD'!$Y$25*'TR TUSD'!$Y$60</f>
        <v>141.35610427250106</v>
      </c>
      <c r="Z25" s="12">
        <f>'TR TUSD'!$Z$25</f>
        <v>0</v>
      </c>
      <c r="AA25" s="12">
        <f>'TR TUSD'!$AA$25</f>
        <v>0</v>
      </c>
      <c r="AB25" s="12">
        <f>SUM($U$25:$AA$25)</f>
        <v>141.35610427250106</v>
      </c>
      <c r="AC25" s="12">
        <f>'TR TUSD'!$AC$25*'TR TUSD'!$AC$60</f>
        <v>540.82153625801175</v>
      </c>
      <c r="AD25" s="12">
        <f>SUM($AC$25:$AC$25)</f>
        <v>540.82153625801175</v>
      </c>
      <c r="AE25" s="12">
        <v>0</v>
      </c>
      <c r="AF25" s="12">
        <v>0</v>
      </c>
      <c r="AG25" s="12">
        <f>SUM($AE$25:$AF$25)</f>
        <v>0</v>
      </c>
      <c r="AH25" s="12">
        <f>'TR TUSD'!$AH$25*'TR TUSD'!$AH$60</f>
        <v>27.869752303901077</v>
      </c>
      <c r="AI25" s="12">
        <f>'TR TUSD'!$AI$25*'TR TUSD'!$AI$60</f>
        <v>0</v>
      </c>
      <c r="AJ25" s="12">
        <f ca="1">'TR TUSD'!$AJ$25*'TR TUSD'!$AJ$60</f>
        <v>0</v>
      </c>
      <c r="AK25" s="12">
        <f ca="1">'TR TUSD'!$AK$25*'TR TUSD'!$AK$60</f>
        <v>0</v>
      </c>
      <c r="AL25" s="12">
        <f ca="1">SUM($AH$25:$AK$25)</f>
        <v>27.869752303901077</v>
      </c>
      <c r="AM25" s="12">
        <f ca="1">SUMIF($L$4:$AL$4,"SUBTOTAL",$L$25:$AL$25)</f>
        <v>818.64916748970745</v>
      </c>
      <c r="AP25" s="12">
        <v>1</v>
      </c>
    </row>
    <row r="26" spans="1:42" ht="11.25" customHeight="1" x14ac:dyDescent="0.25">
      <c r="A26" s="102"/>
      <c r="B26" s="102"/>
      <c r="C26" s="102"/>
      <c r="D26" s="18" t="s">
        <v>29</v>
      </c>
      <c r="E26" s="18" t="s">
        <v>25</v>
      </c>
      <c r="F26" s="18" t="s">
        <v>25</v>
      </c>
      <c r="G26" s="17" t="s">
        <v>77</v>
      </c>
      <c r="H26" s="17" t="s">
        <v>71</v>
      </c>
      <c r="I26" s="17">
        <f>'MERCADO TUSD'!$U$23</f>
        <v>0</v>
      </c>
      <c r="J26" s="15"/>
      <c r="L26" s="12">
        <f>'TR TUSD'!$L$26*'TR TUSD'!$L$60</f>
        <v>0</v>
      </c>
      <c r="M26" s="12">
        <f>'TR TUSD'!$M$26*'TR TUSD'!$M$60</f>
        <v>2.5395093085379745</v>
      </c>
      <c r="N26" s="12">
        <f ca="1">'TR TUSD'!$N$26*'TR TUSD'!$N$60</f>
        <v>0</v>
      </c>
      <c r="O26" s="12">
        <f>'TR TUSD'!$O$26*'TR TUSD'!$O$60</f>
        <v>0</v>
      </c>
      <c r="P26" s="12">
        <f>'TR TUSD'!$P$26*'TR TUSD'!$P$60</f>
        <v>0</v>
      </c>
      <c r="Q26" s="12">
        <f>'TR TUSD'!$Q$26*'TR TUSD'!$Q$60</f>
        <v>0</v>
      </c>
      <c r="R26" s="12">
        <f>'TR TUSD'!$R$26*'TR TUSD'!$R$60</f>
        <v>0</v>
      </c>
      <c r="S26" s="12">
        <f>'TR TUSD'!$S$26*'TR TUSD'!$S$60</f>
        <v>0</v>
      </c>
      <c r="T26" s="12">
        <f ca="1">SUM($L$26:$S$26)</f>
        <v>2.5395093085379745</v>
      </c>
      <c r="U26" s="12">
        <f>'TR TUSD'!$U$26*'TR TUSD'!$U$60</f>
        <v>0</v>
      </c>
      <c r="V26" s="12">
        <f>'TR TUSD'!$V$26*'TR TUSD'!$V$60</f>
        <v>0</v>
      </c>
      <c r="W26" s="12">
        <f>'TR TUSD'!$W$26*'TR TUSD'!$W$60</f>
        <v>0</v>
      </c>
      <c r="X26" s="12">
        <f>'TR TUSD'!$X$26*'TR TUSD'!$X$60</f>
        <v>0</v>
      </c>
      <c r="Y26" s="12">
        <f>'TR TUSD'!$Y$26*'TR TUSD'!$Y$60</f>
        <v>141.35610427250106</v>
      </c>
      <c r="Z26" s="12">
        <f>'TR TUSD'!$Z$26</f>
        <v>0</v>
      </c>
      <c r="AA26" s="12">
        <f>'TR TUSD'!$AA$26</f>
        <v>0</v>
      </c>
      <c r="AB26" s="12">
        <f>SUM($U$26:$AA$26)</f>
        <v>141.35610427250106</v>
      </c>
      <c r="AC26" s="12">
        <f>'TR TUSD'!$AC$26*'TR TUSD'!$AC$60</f>
        <v>540.82153625801175</v>
      </c>
      <c r="AD26" s="12">
        <f>SUM($AC$26:$AC$26)</f>
        <v>540.82153625801175</v>
      </c>
      <c r="AE26" s="12">
        <v>0</v>
      </c>
      <c r="AF26" s="12">
        <v>0</v>
      </c>
      <c r="AG26" s="12">
        <f>SUM($AE$26:$AF$26)</f>
        <v>0</v>
      </c>
      <c r="AH26" s="12">
        <f>'TR TUSD'!$AH$26*'TR TUSD'!$AH$60</f>
        <v>27.869752303901077</v>
      </c>
      <c r="AI26" s="12">
        <f>'TR TUSD'!$AI$26*'TR TUSD'!$AI$60</f>
        <v>0</v>
      </c>
      <c r="AJ26" s="12">
        <f ca="1">'TR TUSD'!$AJ$26*'TR TUSD'!$AJ$60</f>
        <v>0</v>
      </c>
      <c r="AK26" s="12">
        <f ca="1">'TR TUSD'!$AK$26*'TR TUSD'!$AK$60</f>
        <v>0</v>
      </c>
      <c r="AL26" s="12">
        <f ca="1">SUM($AH$26:$AK$26)</f>
        <v>27.869752303901077</v>
      </c>
      <c r="AM26" s="12">
        <f ca="1">SUMIF($L$4:$AL$4,"SUBTOTAL",$L$26:$AL$26)</f>
        <v>712.58690214295189</v>
      </c>
      <c r="AP26" s="12">
        <f>IF((1 - CUSTOS!$M$24)&lt;&gt;0,1/(1 - CUSTOS!$M$24),1)</f>
        <v>1</v>
      </c>
    </row>
    <row r="27" spans="1:42" ht="11.25" customHeight="1" x14ac:dyDescent="0.25">
      <c r="A27" s="102"/>
      <c r="B27" s="102"/>
      <c r="C27" s="102"/>
      <c r="D27" s="18" t="s">
        <v>30</v>
      </c>
      <c r="E27" s="18" t="s">
        <v>25</v>
      </c>
      <c r="F27" s="18" t="s">
        <v>25</v>
      </c>
      <c r="G27" s="17" t="s">
        <v>77</v>
      </c>
      <c r="H27" s="17" t="s">
        <v>71</v>
      </c>
      <c r="I27" s="17">
        <f>'MERCADO TUSD'!$U$24</f>
        <v>0</v>
      </c>
      <c r="J27" s="15"/>
      <c r="L27" s="12">
        <f>'TR TUSD'!$L$27*'TR TUSD'!$L$60</f>
        <v>0</v>
      </c>
      <c r="M27" s="12">
        <f>'TR TUSD'!$M$27*'TR TUSD'!$M$60</f>
        <v>2.5395093085379745</v>
      </c>
      <c r="N27" s="12">
        <f ca="1">'TR TUSD'!$N$27*'TR TUSD'!$N$60</f>
        <v>0</v>
      </c>
      <c r="O27" s="12">
        <f>'TR TUSD'!$O$27*'TR TUSD'!$O$60</f>
        <v>0</v>
      </c>
      <c r="P27" s="12">
        <f>'TR TUSD'!$P$27*'TR TUSD'!$P$60</f>
        <v>0</v>
      </c>
      <c r="Q27" s="12">
        <f>'TR TUSD'!$Q$27*'TR TUSD'!$Q$60</f>
        <v>0</v>
      </c>
      <c r="R27" s="12">
        <f>'TR TUSD'!$R$27*'TR TUSD'!$R$60</f>
        <v>0</v>
      </c>
      <c r="S27" s="12">
        <f>'TR TUSD'!$S$27*'TR TUSD'!$S$60</f>
        <v>0</v>
      </c>
      <c r="T27" s="12">
        <f ca="1">SUM($L$27:$S$27)</f>
        <v>2.5395093085379745</v>
      </c>
      <c r="U27" s="12">
        <f>'TR TUSD'!$U$27*'TR TUSD'!$U$60</f>
        <v>0</v>
      </c>
      <c r="V27" s="12">
        <f>'TR TUSD'!$V$27*'TR TUSD'!$V$60</f>
        <v>0</v>
      </c>
      <c r="W27" s="12">
        <f>'TR TUSD'!$W$27*'TR TUSD'!$W$60</f>
        <v>0</v>
      </c>
      <c r="X27" s="12">
        <f>'TR TUSD'!$X$27*'TR TUSD'!$X$60</f>
        <v>0</v>
      </c>
      <c r="Y27" s="12">
        <f>'TR TUSD'!$Y$27*'TR TUSD'!$Y$60</f>
        <v>141.35610427250106</v>
      </c>
      <c r="Z27" s="12">
        <f>'TR TUSD'!$Z$27</f>
        <v>0</v>
      </c>
      <c r="AA27" s="12">
        <f>'TR TUSD'!$AA$27</f>
        <v>0</v>
      </c>
      <c r="AB27" s="12">
        <f>SUM($U$27:$AA$27)</f>
        <v>141.35610427250106</v>
      </c>
      <c r="AC27" s="12">
        <f>'TR TUSD'!$AC$27*'TR TUSD'!$AC$60</f>
        <v>540.82153625801175</v>
      </c>
      <c r="AD27" s="12">
        <f>SUM($AC$27:$AC$27)</f>
        <v>540.82153625801175</v>
      </c>
      <c r="AE27" s="12">
        <v>0</v>
      </c>
      <c r="AF27" s="12">
        <v>0</v>
      </c>
      <c r="AG27" s="12">
        <f>SUM($AE$27:$AF$27)</f>
        <v>0</v>
      </c>
      <c r="AH27" s="12">
        <f>'TR TUSD'!$AH$27*'TR TUSD'!$AH$60</f>
        <v>27.869752303901077</v>
      </c>
      <c r="AI27" s="12">
        <f>'TR TUSD'!$AI$27*'TR TUSD'!$AI$60</f>
        <v>0</v>
      </c>
      <c r="AJ27" s="12">
        <f ca="1">'TR TUSD'!$AJ$27*'TR TUSD'!$AJ$60</f>
        <v>0</v>
      </c>
      <c r="AK27" s="12">
        <f ca="1">'TR TUSD'!$AK$27*'TR TUSD'!$AK$60</f>
        <v>0</v>
      </c>
      <c r="AL27" s="12">
        <f ca="1">SUM($AH$27:$AK$27)</f>
        <v>27.869752303901077</v>
      </c>
      <c r="AM27" s="12">
        <f ca="1">SUMIF($L$4:$AL$4,"SUBTOTAL",$L$27:$AL$27)</f>
        <v>712.58690214295189</v>
      </c>
      <c r="AP27" s="12">
        <f>IF((1 - CUSTOS!$M$25)&lt;&gt;0,1/(1 - CUSTOS!$M$25),1)</f>
        <v>1</v>
      </c>
    </row>
    <row r="28" spans="1:42" ht="11.25" customHeight="1" x14ac:dyDescent="0.25">
      <c r="A28" s="102"/>
      <c r="B28" s="102"/>
      <c r="C28" s="102"/>
      <c r="D28" s="18" t="s">
        <v>31</v>
      </c>
      <c r="E28" s="18" t="s">
        <v>25</v>
      </c>
      <c r="F28" s="18" t="s">
        <v>25</v>
      </c>
      <c r="G28" s="17" t="s">
        <v>77</v>
      </c>
      <c r="H28" s="17" t="s">
        <v>71</v>
      </c>
      <c r="I28" s="17">
        <f>'MERCADO TUSD'!$U$25</f>
        <v>0</v>
      </c>
      <c r="J28" s="15"/>
      <c r="L28" s="12">
        <f>'TR TUSD'!$L$28*'TR TUSD'!$L$60</f>
        <v>0</v>
      </c>
      <c r="M28" s="12">
        <f>'TR TUSD'!$M$28*'TR TUSD'!$M$60</f>
        <v>2.5395093085379745</v>
      </c>
      <c r="N28" s="12">
        <f ca="1">'TR TUSD'!$N$28*'TR TUSD'!$N$60</f>
        <v>0</v>
      </c>
      <c r="O28" s="12">
        <f>'TR TUSD'!$O$28*'TR TUSD'!$O$60</f>
        <v>0</v>
      </c>
      <c r="P28" s="12">
        <f>'TR TUSD'!$P$28*'TR TUSD'!$P$60</f>
        <v>0</v>
      </c>
      <c r="Q28" s="12">
        <f>'TR TUSD'!$Q$28*'TR TUSD'!$Q$60</f>
        <v>0</v>
      </c>
      <c r="R28" s="12">
        <f>'TR TUSD'!$R$28*'TR TUSD'!$R$60</f>
        <v>0</v>
      </c>
      <c r="S28" s="12">
        <f>'TR TUSD'!$S$28*'TR TUSD'!$S$60</f>
        <v>0</v>
      </c>
      <c r="T28" s="12">
        <f ca="1">SUM($L$28:$S$28)</f>
        <v>2.5395093085379745</v>
      </c>
      <c r="U28" s="12">
        <f>'TR TUSD'!$U$28*'TR TUSD'!$U$60</f>
        <v>0</v>
      </c>
      <c r="V28" s="12">
        <f>'TR TUSD'!$V$28*'TR TUSD'!$V$60</f>
        <v>0</v>
      </c>
      <c r="W28" s="12">
        <f>'TR TUSD'!$W$28*'TR TUSD'!$W$60</f>
        <v>0</v>
      </c>
      <c r="X28" s="12">
        <f>'TR TUSD'!$X$28*'TR TUSD'!$X$60</f>
        <v>0</v>
      </c>
      <c r="Y28" s="12">
        <f>'TR TUSD'!$Y$28*'TR TUSD'!$Y$60</f>
        <v>141.35610427250106</v>
      </c>
      <c r="Z28" s="12">
        <f>'TR TUSD'!$Z$28</f>
        <v>0</v>
      </c>
      <c r="AA28" s="12">
        <f>'TR TUSD'!$AA$28</f>
        <v>0</v>
      </c>
      <c r="AB28" s="12">
        <f>SUM($U$28:$AA$28)</f>
        <v>141.35610427250106</v>
      </c>
      <c r="AC28" s="12">
        <f>'TR TUSD'!$AC$28*'TR TUSD'!$AC$60</f>
        <v>540.82153625801175</v>
      </c>
      <c r="AD28" s="12">
        <f>SUM($AC$28:$AC$28)</f>
        <v>540.82153625801175</v>
      </c>
      <c r="AE28" s="12">
        <v>0</v>
      </c>
      <c r="AF28" s="12">
        <v>0</v>
      </c>
      <c r="AG28" s="12">
        <f>SUM($AE$28:$AF$28)</f>
        <v>0</v>
      </c>
      <c r="AH28" s="12">
        <f>'TR TUSD'!$AH$28*'TR TUSD'!$AH$60</f>
        <v>27.869752303901077</v>
      </c>
      <c r="AI28" s="12">
        <f>'TR TUSD'!$AI$28*'TR TUSD'!$AI$60</f>
        <v>0</v>
      </c>
      <c r="AJ28" s="12">
        <f ca="1">'TR TUSD'!$AJ$28*'TR TUSD'!$AJ$60</f>
        <v>0</v>
      </c>
      <c r="AK28" s="12">
        <f ca="1">'TR TUSD'!$AK$28*'TR TUSD'!$AK$60</f>
        <v>0</v>
      </c>
      <c r="AL28" s="12">
        <f ca="1">SUM($AH$28:$AK$28)</f>
        <v>27.869752303901077</v>
      </c>
      <c r="AM28" s="12">
        <f ca="1">SUMIF($L$4:$AL$4,"SUBTOTAL",$L$28:$AL$28)</f>
        <v>712.58690214295189</v>
      </c>
      <c r="AP28" s="12">
        <f>IF((1 - CUSTOS!$M$26)&lt;&gt;0,1/(1 - CUSTOS!$M$26),1)</f>
        <v>1</v>
      </c>
    </row>
    <row r="29" spans="1:42" ht="11.25" customHeight="1" x14ac:dyDescent="0.25">
      <c r="A29" s="102"/>
      <c r="B29" s="102"/>
      <c r="C29" s="102"/>
      <c r="D29" s="18" t="s">
        <v>32</v>
      </c>
      <c r="E29" s="18" t="s">
        <v>25</v>
      </c>
      <c r="F29" s="18" t="s">
        <v>25</v>
      </c>
      <c r="G29" s="17" t="s">
        <v>77</v>
      </c>
      <c r="H29" s="17" t="s">
        <v>71</v>
      </c>
      <c r="I29" s="17">
        <f>'MERCADO TUSD'!$U$26</f>
        <v>0</v>
      </c>
      <c r="J29" s="15"/>
      <c r="L29" s="12">
        <f>'TR TUSD'!$L$29*'TR TUSD'!$L$60</f>
        <v>0</v>
      </c>
      <c r="M29" s="12">
        <f>'TR TUSD'!$M$29*'TR TUSD'!$M$60</f>
        <v>2.5395093085379745</v>
      </c>
      <c r="N29" s="12">
        <f ca="1">'TR TUSD'!$N$29*'TR TUSD'!$N$60</f>
        <v>0</v>
      </c>
      <c r="O29" s="12">
        <f>'TR TUSD'!$O$29*'TR TUSD'!$O$60</f>
        <v>0</v>
      </c>
      <c r="P29" s="12">
        <f>'TR TUSD'!$P$29*'TR TUSD'!$P$60</f>
        <v>0</v>
      </c>
      <c r="Q29" s="12">
        <f>'TR TUSD'!$Q$29*'TR TUSD'!$Q$60</f>
        <v>0</v>
      </c>
      <c r="R29" s="12">
        <f>'TR TUSD'!$R$29*'TR TUSD'!$R$60</f>
        <v>0</v>
      </c>
      <c r="S29" s="12">
        <f>'TR TUSD'!$S$29*'TR TUSD'!$S$60</f>
        <v>0</v>
      </c>
      <c r="T29" s="12">
        <f ca="1">SUM($L$29:$S$29)</f>
        <v>2.5395093085379745</v>
      </c>
      <c r="U29" s="12">
        <f>'TR TUSD'!$U$29*'TR TUSD'!$U$60</f>
        <v>0</v>
      </c>
      <c r="V29" s="12">
        <f>'TR TUSD'!$V$29*'TR TUSD'!$V$60</f>
        <v>0</v>
      </c>
      <c r="W29" s="12">
        <f>'TR TUSD'!$W$29*'TR TUSD'!$W$60</f>
        <v>0</v>
      </c>
      <c r="X29" s="12">
        <f>'TR TUSD'!$X$29*'TR TUSD'!$X$60</f>
        <v>0</v>
      </c>
      <c r="Y29" s="12">
        <f>'TR TUSD'!$Y$29*'TR TUSD'!$Y$60</f>
        <v>141.35610427250106</v>
      </c>
      <c r="Z29" s="12">
        <f>'TR TUSD'!$Z$29</f>
        <v>0</v>
      </c>
      <c r="AA29" s="12">
        <f>'TR TUSD'!$AA$29</f>
        <v>0</v>
      </c>
      <c r="AB29" s="12">
        <f>SUM($U$29:$AA$29)</f>
        <v>141.35610427250106</v>
      </c>
      <c r="AC29" s="12">
        <f>'TR TUSD'!$AC$29*'TR TUSD'!$AC$60</f>
        <v>540.82153625801175</v>
      </c>
      <c r="AD29" s="12">
        <f>SUM($AC$29:$AC$29)</f>
        <v>540.82153625801175</v>
      </c>
      <c r="AE29" s="12">
        <v>0</v>
      </c>
      <c r="AF29" s="12">
        <v>0</v>
      </c>
      <c r="AG29" s="12">
        <f>SUM($AE$29:$AF$29)</f>
        <v>0</v>
      </c>
      <c r="AH29" s="12">
        <f>'TR TUSD'!$AH$29*'TR TUSD'!$AH$60</f>
        <v>27.869752303901077</v>
      </c>
      <c r="AI29" s="12">
        <f>'TR TUSD'!$AI$29*'TR TUSD'!$AI$60</f>
        <v>0</v>
      </c>
      <c r="AJ29" s="12">
        <f ca="1">'TR TUSD'!$AJ$29*'TR TUSD'!$AJ$60</f>
        <v>0</v>
      </c>
      <c r="AK29" s="12">
        <f ca="1">'TR TUSD'!$AK$29*'TR TUSD'!$AK$60</f>
        <v>0</v>
      </c>
      <c r="AL29" s="12">
        <f ca="1">SUM($AH$29:$AK$29)</f>
        <v>27.869752303901077</v>
      </c>
      <c r="AM29" s="12">
        <f ca="1">SUMIF($L$4:$AL$4,"SUBTOTAL",$L$29:$AL$29)</f>
        <v>712.58690214295189</v>
      </c>
      <c r="AP29" s="12">
        <f>IF((1 - CUSTOS!$M$27)&lt;&gt;0,1/(1 - CUSTOS!$M$27),1)</f>
        <v>1</v>
      </c>
    </row>
    <row r="30" spans="1:42" ht="11.25" customHeight="1" x14ac:dyDescent="0.25">
      <c r="A30" s="102" t="s">
        <v>40</v>
      </c>
      <c r="B30" s="102" t="s">
        <v>85</v>
      </c>
      <c r="C30" s="102" t="s">
        <v>41</v>
      </c>
      <c r="D30" s="102" t="s">
        <v>25</v>
      </c>
      <c r="E30" s="102" t="s">
        <v>25</v>
      </c>
      <c r="F30" s="102" t="s">
        <v>25</v>
      </c>
      <c r="G30" s="17" t="s">
        <v>72</v>
      </c>
      <c r="H30" s="17" t="s">
        <v>71</v>
      </c>
      <c r="I30" s="17">
        <f>'MERCADO TUSD'!$U$27</f>
        <v>0</v>
      </c>
      <c r="J30" s="15"/>
      <c r="L30" s="12">
        <f>'TR TUSD'!$L$30*'TR TUSD'!$L$60</f>
        <v>0</v>
      </c>
      <c r="M30" s="12">
        <f>'TR TUSD'!$M$30*'TR TUSD'!$M$60</f>
        <v>2.5395093085379745</v>
      </c>
      <c r="N30" s="12">
        <f ca="1">'TR TUSD'!$N$30*'TR TUSD'!$N$60</f>
        <v>0</v>
      </c>
      <c r="O30" s="12">
        <f>'TR TUSD'!$O$30*'TR TUSD'!$O$60</f>
        <v>0</v>
      </c>
      <c r="P30" s="12">
        <f>'TR TUSD'!$P$30*'TR TUSD'!$P$60</f>
        <v>0</v>
      </c>
      <c r="Q30" s="12">
        <f>'TR TUSD'!$Q$30*'TR TUSD'!$Q$60</f>
        <v>91.588370671072639</v>
      </c>
      <c r="R30" s="12">
        <f>'TR TUSD'!$R$30*'TR TUSD'!$R$60</f>
        <v>14.473894675682843</v>
      </c>
      <c r="S30" s="12">
        <f>'TR TUSD'!$S$30*'TR TUSD'!$S$60</f>
        <v>0</v>
      </c>
      <c r="T30" s="12">
        <f ca="1">SUM($L$30:$S$30)</f>
        <v>108.60177465529345</v>
      </c>
      <c r="U30" s="12">
        <f>'TR TUSD'!$U$30*'TR TUSD'!$U$60</f>
        <v>0</v>
      </c>
      <c r="V30" s="12">
        <f>'TR TUSD'!$V$30*'TR TUSD'!$V$60</f>
        <v>0</v>
      </c>
      <c r="W30" s="12">
        <f>'TR TUSD'!$W$30*'TR TUSD'!$W$60</f>
        <v>0</v>
      </c>
      <c r="X30" s="12">
        <f>'TR TUSD'!$X$30*'TR TUSD'!$X$60</f>
        <v>0</v>
      </c>
      <c r="Y30" s="12">
        <f>'TR TUSD'!$Y$30*'TR TUSD'!$Y$60</f>
        <v>367.45088113276137</v>
      </c>
      <c r="Z30" s="12">
        <f>'TR TUSD'!$Z$30</f>
        <v>0</v>
      </c>
      <c r="AA30" s="12">
        <f>'TR TUSD'!$AA$30</f>
        <v>0</v>
      </c>
      <c r="AB30" s="12">
        <f>SUM($U$30:$AA$30)</f>
        <v>367.45088113276137</v>
      </c>
      <c r="AC30" s="12">
        <f>'TR TUSD'!$AC$30*'TR TUSD'!$AC$60</f>
        <v>1406.1364255273384</v>
      </c>
      <c r="AD30" s="12">
        <f>SUM($AC$30:$AC$30)</f>
        <v>1406.1364255273384</v>
      </c>
      <c r="AE30" s="12">
        <v>0</v>
      </c>
      <c r="AF30" s="12">
        <v>0</v>
      </c>
      <c r="AG30" s="12">
        <f>SUM($AE$30:$AF$30)</f>
        <v>0</v>
      </c>
      <c r="AH30" s="12">
        <f>'TR TUSD'!$AH$30*'TR TUSD'!$AH$60</f>
        <v>27.869752303901077</v>
      </c>
      <c r="AI30" s="12">
        <f>'TR TUSD'!$AI$30*'TR TUSD'!$AI$60</f>
        <v>0</v>
      </c>
      <c r="AJ30" s="12">
        <f ca="1">'TR TUSD'!$AJ$30*'TR TUSD'!$AJ$60</f>
        <v>0</v>
      </c>
      <c r="AK30" s="12">
        <f ca="1">'TR TUSD'!$AK$30*'TR TUSD'!$AK$60</f>
        <v>0</v>
      </c>
      <c r="AL30" s="12">
        <f ca="1">SUM($AH$30:$AK$30)</f>
        <v>27.869752303901077</v>
      </c>
      <c r="AM30" s="12">
        <f ca="1">SUMIF($L$4:$AL$4,"SUBTOTAL",$L$30:$AL$30)</f>
        <v>1910.0588336192943</v>
      </c>
      <c r="AP30" s="12">
        <f>IF((1 - CUSTOS!$M$28)&lt;&gt;0,1/(1 - CUSTOS!$M$28),1)</f>
        <v>1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17" t="s">
        <v>83</v>
      </c>
      <c r="H31" s="17" t="s">
        <v>71</v>
      </c>
      <c r="I31" s="17">
        <f>'MERCADO TUSD'!$U$28</f>
        <v>0</v>
      </c>
      <c r="J31" s="15"/>
      <c r="L31" s="12">
        <f>'TR TUSD'!$L$31*'TR TUSD'!$L$60</f>
        <v>0</v>
      </c>
      <c r="M31" s="12">
        <f>'TR TUSD'!$M$31*'TR TUSD'!$M$60</f>
        <v>2.5395093085379745</v>
      </c>
      <c r="N31" s="12">
        <f ca="1">'TR TUSD'!$N$31*'TR TUSD'!$N$60</f>
        <v>0</v>
      </c>
      <c r="O31" s="12">
        <f>'TR TUSD'!$O$31*'TR TUSD'!$O$60</f>
        <v>0</v>
      </c>
      <c r="P31" s="12">
        <f>'TR TUSD'!$P$31*'TR TUSD'!$P$60</f>
        <v>0</v>
      </c>
      <c r="Q31" s="12">
        <f>'TR TUSD'!$Q$31*'TR TUSD'!$Q$60</f>
        <v>91.588370671072639</v>
      </c>
      <c r="R31" s="12">
        <f>'TR TUSD'!$R$31*'TR TUSD'!$R$60</f>
        <v>14.473894675682843</v>
      </c>
      <c r="S31" s="12">
        <f>'TR TUSD'!$S$31*'TR TUSD'!$S$60</f>
        <v>0</v>
      </c>
      <c r="T31" s="12">
        <f ca="1">SUM($L$31:$S$31)</f>
        <v>108.60177465529345</v>
      </c>
      <c r="U31" s="12">
        <f>'TR TUSD'!$U$31*'TR TUSD'!$U$60</f>
        <v>0</v>
      </c>
      <c r="V31" s="12">
        <f>'TR TUSD'!$V$31*'TR TUSD'!$V$60</f>
        <v>0</v>
      </c>
      <c r="W31" s="12">
        <f>'TR TUSD'!$W$31*'TR TUSD'!$W$60</f>
        <v>0</v>
      </c>
      <c r="X31" s="12">
        <f>'TR TUSD'!$X$31*'TR TUSD'!$X$60</f>
        <v>0</v>
      </c>
      <c r="Y31" s="12">
        <f>'TR TUSD'!$Y$31*'TR TUSD'!$Y$60</f>
        <v>220.47052867965684</v>
      </c>
      <c r="Z31" s="12">
        <f>'TR TUSD'!$Z$31</f>
        <v>0</v>
      </c>
      <c r="AA31" s="12">
        <f>'TR TUSD'!$AA$31</f>
        <v>0</v>
      </c>
      <c r="AB31" s="12">
        <f>SUM($U$31:$AA$31)</f>
        <v>220.47052867965684</v>
      </c>
      <c r="AC31" s="12">
        <f>'TR TUSD'!$AC$31*'TR TUSD'!$AC$60</f>
        <v>843.6819846933555</v>
      </c>
      <c r="AD31" s="12">
        <f>SUM($AC$31:$AC$31)</f>
        <v>843.6819846933555</v>
      </c>
      <c r="AE31" s="12">
        <v>0</v>
      </c>
      <c r="AF31" s="12">
        <v>0</v>
      </c>
      <c r="AG31" s="12">
        <f>SUM($AE$31:$AF$31)</f>
        <v>0</v>
      </c>
      <c r="AH31" s="12">
        <f>'TR TUSD'!$AH$31*'TR TUSD'!$AH$60</f>
        <v>27.869752303901077</v>
      </c>
      <c r="AI31" s="12">
        <f>'TR TUSD'!$AI$31*'TR TUSD'!$AI$60</f>
        <v>0</v>
      </c>
      <c r="AJ31" s="12">
        <f ca="1">'TR TUSD'!$AJ$31*'TR TUSD'!$AJ$60</f>
        <v>0</v>
      </c>
      <c r="AK31" s="12">
        <f ca="1">'TR TUSD'!$AK$31*'TR TUSD'!$AK$60</f>
        <v>0</v>
      </c>
      <c r="AL31" s="12">
        <f ca="1">SUM($AH$31:$AK$31)</f>
        <v>27.869752303901077</v>
      </c>
      <c r="AM31" s="12">
        <f ca="1">SUMIF($L$4:$AL$4,"SUBTOTAL",$L$31:$AL$31)</f>
        <v>1200.624040332207</v>
      </c>
      <c r="AP31" s="12">
        <f>IF((1 - CUSTOS!$M$28)&lt;&gt;0,1/(1 - CUSTOS!$M$28),1)</f>
        <v>1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17" t="s">
        <v>73</v>
      </c>
      <c r="H32" s="17" t="s">
        <v>71</v>
      </c>
      <c r="I32" s="17">
        <f>'MERCADO TUSD'!$U$29</f>
        <v>0</v>
      </c>
      <c r="J32" s="15"/>
      <c r="L32" s="12">
        <f>'TR TUSD'!$L$32*'TR TUSD'!$L$60</f>
        <v>0</v>
      </c>
      <c r="M32" s="12">
        <f>'TR TUSD'!$M$32*'TR TUSD'!$M$60</f>
        <v>2.5395093085379745</v>
      </c>
      <c r="N32" s="12">
        <f ca="1">'TR TUSD'!$N$32*'TR TUSD'!$N$60</f>
        <v>0</v>
      </c>
      <c r="O32" s="12">
        <f>'TR TUSD'!$O$32*'TR TUSD'!$O$60</f>
        <v>0</v>
      </c>
      <c r="P32" s="12">
        <f>'TR TUSD'!$P$32*'TR TUSD'!$P$60</f>
        <v>0</v>
      </c>
      <c r="Q32" s="12">
        <f>'TR TUSD'!$Q$32*'TR TUSD'!$Q$60</f>
        <v>91.588370671072639</v>
      </c>
      <c r="R32" s="12">
        <f>'TR TUSD'!$R$32*'TR TUSD'!$R$60</f>
        <v>14.473894675682843</v>
      </c>
      <c r="S32" s="12">
        <f>'TR TUSD'!$S$32*'TR TUSD'!$S$60</f>
        <v>0</v>
      </c>
      <c r="T32" s="12">
        <f ca="1">SUM($L$32:$S$32)</f>
        <v>108.60177465529345</v>
      </c>
      <c r="U32" s="12">
        <f>'TR TUSD'!$U$32*'TR TUSD'!$U$60</f>
        <v>0</v>
      </c>
      <c r="V32" s="12">
        <f>'TR TUSD'!$V$32*'TR TUSD'!$V$60</f>
        <v>0</v>
      </c>
      <c r="W32" s="12">
        <f>'TR TUSD'!$W$32*'TR TUSD'!$W$60</f>
        <v>0</v>
      </c>
      <c r="X32" s="12">
        <f>'TR TUSD'!$X$32*'TR TUSD'!$X$60</f>
        <v>0</v>
      </c>
      <c r="Y32" s="12">
        <f>'TR TUSD'!$Y$32*'TR TUSD'!$Y$60</f>
        <v>73.490176226552265</v>
      </c>
      <c r="Z32" s="12">
        <f>'TR TUSD'!$Z$32</f>
        <v>0</v>
      </c>
      <c r="AA32" s="12">
        <f>'TR TUSD'!$AA$32</f>
        <v>0</v>
      </c>
      <c r="AB32" s="12">
        <f>SUM($U$32:$AA$32)</f>
        <v>73.490176226552265</v>
      </c>
      <c r="AC32" s="12">
        <f>'TR TUSD'!$AC$32*'TR TUSD'!$AC$60</f>
        <v>281.22711260286457</v>
      </c>
      <c r="AD32" s="12">
        <f>SUM($AC$32:$AC$32)</f>
        <v>281.22711260286457</v>
      </c>
      <c r="AE32" s="12">
        <v>0</v>
      </c>
      <c r="AF32" s="12">
        <v>0</v>
      </c>
      <c r="AG32" s="12">
        <f>SUM($AE$32:$AF$32)</f>
        <v>0</v>
      </c>
      <c r="AH32" s="12">
        <f>'TR TUSD'!$AH$32*'TR TUSD'!$AH$60</f>
        <v>27.869752303901077</v>
      </c>
      <c r="AI32" s="12">
        <f>'TR TUSD'!$AI$32*'TR TUSD'!$AI$60</f>
        <v>0</v>
      </c>
      <c r="AJ32" s="12">
        <f ca="1">'TR TUSD'!$AJ$32*'TR TUSD'!$AJ$60</f>
        <v>0</v>
      </c>
      <c r="AK32" s="12">
        <f ca="1">'TR TUSD'!$AK$32*'TR TUSD'!$AK$60</f>
        <v>0</v>
      </c>
      <c r="AL32" s="12">
        <f ca="1">SUM($AH$32:$AK$32)</f>
        <v>27.869752303901077</v>
      </c>
      <c r="AM32" s="12">
        <f ca="1">SUMIF($L$4:$AL$4,"SUBTOTAL",$L$32:$AL$32)</f>
        <v>491.18881578861135</v>
      </c>
      <c r="AP32" s="12">
        <f>IF((1 - CUSTOS!$M$28)&lt;&gt;0,1/(1 - CUSTOS!$M$28),1)</f>
        <v>1</v>
      </c>
    </row>
    <row r="33" spans="1:42" ht="11.25" customHeight="1" x14ac:dyDescent="0.25">
      <c r="A33" s="102"/>
      <c r="B33" s="18" t="s">
        <v>23</v>
      </c>
      <c r="C33" s="18" t="s">
        <v>41</v>
      </c>
      <c r="D33" s="18" t="s">
        <v>25</v>
      </c>
      <c r="E33" s="18" t="s">
        <v>25</v>
      </c>
      <c r="F33" s="18" t="s">
        <v>25</v>
      </c>
      <c r="G33" s="17" t="s">
        <v>77</v>
      </c>
      <c r="H33" s="17" t="s">
        <v>71</v>
      </c>
      <c r="I33" s="17">
        <f>'MERCADO TUSD'!$U$30</f>
        <v>47790.548000000003</v>
      </c>
      <c r="J33" s="15"/>
      <c r="L33" s="12">
        <f>'TR TUSD'!$L$33*'TR TUSD'!$L$60</f>
        <v>0</v>
      </c>
      <c r="M33" s="12">
        <f>'TR TUSD'!$M$33*'TR TUSD'!$M$60</f>
        <v>2.5395093085379745</v>
      </c>
      <c r="N33" s="12">
        <f ca="1">'TR TUSD'!$N$33*'TR TUSD'!$N$60</f>
        <v>0</v>
      </c>
      <c r="O33" s="12">
        <f>'TR TUSD'!$O$33*'TR TUSD'!$O$60</f>
        <v>0</v>
      </c>
      <c r="P33" s="12">
        <f>'TR TUSD'!$P$33*'TR TUSD'!$P$60</f>
        <v>0</v>
      </c>
      <c r="Q33" s="12">
        <f>'TR TUSD'!$Q$33*'TR TUSD'!$Q$60</f>
        <v>91.588370671072639</v>
      </c>
      <c r="R33" s="12">
        <f>'TR TUSD'!$R$33*'TR TUSD'!$R$60</f>
        <v>14.473894675682843</v>
      </c>
      <c r="S33" s="12">
        <f>'TR TUSD'!$S$33*'TR TUSD'!$S$60</f>
        <v>0</v>
      </c>
      <c r="T33" s="12">
        <f ca="1">SUM($L$33:$S$33)</f>
        <v>108.60177465529345</v>
      </c>
      <c r="U33" s="12">
        <f>'TR TUSD'!$U$33*'TR TUSD'!$U$60</f>
        <v>0</v>
      </c>
      <c r="V33" s="12">
        <f>'TR TUSD'!$V$33*'TR TUSD'!$V$60</f>
        <v>0</v>
      </c>
      <c r="W33" s="12">
        <f>'TR TUSD'!$W$33*'TR TUSD'!$W$60</f>
        <v>0</v>
      </c>
      <c r="X33" s="12">
        <f>'TR TUSD'!$X$33*'TR TUSD'!$X$60</f>
        <v>0</v>
      </c>
      <c r="Y33" s="12">
        <f>'TR TUSD'!$Y$33*'TR TUSD'!$Y$60</f>
        <v>141.35610427250106</v>
      </c>
      <c r="Z33" s="12">
        <f>'TR TUSD'!$Z$33</f>
        <v>0</v>
      </c>
      <c r="AA33" s="12">
        <f>'TR TUSD'!$AA$33</f>
        <v>0</v>
      </c>
      <c r="AB33" s="12">
        <f>SUM($U$33:$AA$33)</f>
        <v>141.35610427250106</v>
      </c>
      <c r="AC33" s="12">
        <f>'TR TUSD'!$AC$33*'TR TUSD'!$AC$60</f>
        <v>540.82153625801175</v>
      </c>
      <c r="AD33" s="12">
        <f>SUM($AC$33:$AC$33)</f>
        <v>540.82153625801175</v>
      </c>
      <c r="AE33" s="12">
        <v>0</v>
      </c>
      <c r="AF33" s="12">
        <v>0</v>
      </c>
      <c r="AG33" s="12">
        <f>SUM($AE$33:$AF$33)</f>
        <v>0</v>
      </c>
      <c r="AH33" s="12">
        <f>'TR TUSD'!$AH$33*'TR TUSD'!$AH$60</f>
        <v>27.869752303901077</v>
      </c>
      <c r="AI33" s="12">
        <f>'TR TUSD'!$AI$33*'TR TUSD'!$AI$60</f>
        <v>0</v>
      </c>
      <c r="AJ33" s="12">
        <f ca="1">'TR TUSD'!$AJ$33*'TR TUSD'!$AJ$60</f>
        <v>0</v>
      </c>
      <c r="AK33" s="12">
        <f ca="1">'TR TUSD'!$AK$33*'TR TUSD'!$AK$60</f>
        <v>0</v>
      </c>
      <c r="AL33" s="12">
        <f ca="1">SUM($AH$33:$AK$33)</f>
        <v>27.869752303901077</v>
      </c>
      <c r="AM33" s="12">
        <f ca="1">SUMIF($L$4:$AL$4,"SUBTOTAL",$L$33:$AL$33)</f>
        <v>818.64916748970745</v>
      </c>
      <c r="AP33" s="12">
        <f>IF((1 - CUSTOS!$M$28)&lt;&gt;0,1/(1 - CUSTOS!$M$28),1)</f>
        <v>1</v>
      </c>
    </row>
    <row r="34" spans="1:42" ht="11.25" customHeight="1" x14ac:dyDescent="0.25">
      <c r="A34" s="102"/>
      <c r="B34" s="102" t="s">
        <v>85</v>
      </c>
      <c r="C34" s="102" t="s">
        <v>41</v>
      </c>
      <c r="D34" s="102" t="s">
        <v>88</v>
      </c>
      <c r="E34" s="102" t="s">
        <v>25</v>
      </c>
      <c r="F34" s="102" t="s">
        <v>25</v>
      </c>
      <c r="G34" s="17" t="s">
        <v>72</v>
      </c>
      <c r="H34" s="17" t="s">
        <v>71</v>
      </c>
      <c r="I34" s="17">
        <f>'MERCADO TUSD'!$U$31</f>
        <v>0</v>
      </c>
      <c r="J34" s="15"/>
      <c r="L34" s="12">
        <f>'TR TUSD'!$L$34*'TR TUSD'!$L$60</f>
        <v>0</v>
      </c>
      <c r="M34" s="12">
        <f>'TR TUSD'!$M$34*'TR TUSD'!$M$60</f>
        <v>2.5395093085379745</v>
      </c>
      <c r="N34" s="12">
        <f ca="1">'TR TUSD'!$N$34*'TR TUSD'!$N$60</f>
        <v>0</v>
      </c>
      <c r="O34" s="12">
        <f>'TR TUSD'!$O$34*'TR TUSD'!$O$60</f>
        <v>0</v>
      </c>
      <c r="P34" s="12">
        <f>'TR TUSD'!$P$34*'TR TUSD'!$P$60</f>
        <v>0</v>
      </c>
      <c r="Q34" s="12">
        <f>'TR TUSD'!$Q$34*'TR TUSD'!$Q$60</f>
        <v>91.588370671072639</v>
      </c>
      <c r="R34" s="12">
        <f>'TR TUSD'!$R$34*'TR TUSD'!$R$60</f>
        <v>14.473894675682843</v>
      </c>
      <c r="S34" s="12">
        <f>'TR TUSD'!$S$34*'TR TUSD'!$S$60</f>
        <v>0</v>
      </c>
      <c r="T34" s="12">
        <f ca="1">SUM($L$34:$S$34)</f>
        <v>108.60177465529345</v>
      </c>
      <c r="U34" s="12">
        <f>'TR TUSD'!$U$34*'TR TUSD'!$U$60</f>
        <v>0</v>
      </c>
      <c r="V34" s="12">
        <f>'TR TUSD'!$V$34*'TR TUSD'!$V$60</f>
        <v>0</v>
      </c>
      <c r="W34" s="12">
        <f>'TR TUSD'!$W$34*'TR TUSD'!$W$60</f>
        <v>0</v>
      </c>
      <c r="X34" s="12">
        <f>'TR TUSD'!$X$34*'TR TUSD'!$X$60</f>
        <v>0</v>
      </c>
      <c r="Y34" s="12">
        <f>'TR TUSD'!$Y$34*'TR TUSD'!$Y$60</f>
        <v>367.45088113276137</v>
      </c>
      <c r="Z34" s="12">
        <f>'TR TUSD'!$Z$34</f>
        <v>0</v>
      </c>
      <c r="AA34" s="12">
        <f>'TR TUSD'!$AA$34</f>
        <v>0</v>
      </c>
      <c r="AB34" s="12">
        <f>SUM($U$34:$AA$34)</f>
        <v>367.45088113276137</v>
      </c>
      <c r="AC34" s="12">
        <f>'TR TUSD'!$AC$34*'TR TUSD'!$AC$60</f>
        <v>1406.1364255273384</v>
      </c>
      <c r="AD34" s="12">
        <f>SUM($AC$34:$AC$34)</f>
        <v>1406.1364255273384</v>
      </c>
      <c r="AE34" s="12">
        <v>0</v>
      </c>
      <c r="AF34" s="12">
        <v>0</v>
      </c>
      <c r="AG34" s="12">
        <f>SUM($AE$34:$AF$34)</f>
        <v>0</v>
      </c>
      <c r="AH34" s="12">
        <f>'TR TUSD'!$AH$34*'TR TUSD'!$AH$60</f>
        <v>27.869752303901077</v>
      </c>
      <c r="AI34" s="12">
        <f>'TR TUSD'!$AI$34*'TR TUSD'!$AI$60</f>
        <v>0</v>
      </c>
      <c r="AJ34" s="12">
        <f ca="1">'TR TUSD'!$AJ$34*'TR TUSD'!$AJ$60</f>
        <v>0</v>
      </c>
      <c r="AK34" s="12">
        <f ca="1">'TR TUSD'!$AK$34*'TR TUSD'!$AK$60</f>
        <v>0</v>
      </c>
      <c r="AL34" s="12">
        <f ca="1">SUM($AH$34:$AK$34)</f>
        <v>27.869752303901077</v>
      </c>
      <c r="AM34" s="12">
        <f ca="1">SUMIF($L$4:$AL$4,"SUBTOTAL",$L$34:$AL$34)</f>
        <v>1910.0588336192943</v>
      </c>
      <c r="AP34" s="12">
        <f>IF((1 - CUSTOS!$M$29)&lt;&gt;0,1/(1 - CUSTOS!$M$29),1)</f>
        <v>1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17" t="s">
        <v>83</v>
      </c>
      <c r="H35" s="17" t="s">
        <v>71</v>
      </c>
      <c r="I35" s="17">
        <f>'MERCADO TUSD'!$U$32</f>
        <v>0</v>
      </c>
      <c r="J35" s="15"/>
      <c r="L35" s="12">
        <f>'TR TUSD'!$L$35*'TR TUSD'!$L$60</f>
        <v>0</v>
      </c>
      <c r="M35" s="12">
        <f>'TR TUSD'!$M$35*'TR TUSD'!$M$60</f>
        <v>2.5395093085379745</v>
      </c>
      <c r="N35" s="12">
        <f ca="1">'TR TUSD'!$N$35*'TR TUSD'!$N$60</f>
        <v>0</v>
      </c>
      <c r="O35" s="12">
        <f>'TR TUSD'!$O$35*'TR TUSD'!$O$60</f>
        <v>0</v>
      </c>
      <c r="P35" s="12">
        <f>'TR TUSD'!$P$35*'TR TUSD'!$P$60</f>
        <v>0</v>
      </c>
      <c r="Q35" s="12">
        <f>'TR TUSD'!$Q$35*'TR TUSD'!$Q$60</f>
        <v>91.588370671072639</v>
      </c>
      <c r="R35" s="12">
        <f>'TR TUSD'!$R$35*'TR TUSD'!$R$60</f>
        <v>14.473894675682843</v>
      </c>
      <c r="S35" s="12">
        <f>'TR TUSD'!$S$35*'TR TUSD'!$S$60</f>
        <v>0</v>
      </c>
      <c r="T35" s="12">
        <f ca="1">SUM($L$35:$S$35)</f>
        <v>108.60177465529345</v>
      </c>
      <c r="U35" s="12">
        <f>'TR TUSD'!$U$35*'TR TUSD'!$U$60</f>
        <v>0</v>
      </c>
      <c r="V35" s="12">
        <f>'TR TUSD'!$V$35*'TR TUSD'!$V$60</f>
        <v>0</v>
      </c>
      <c r="W35" s="12">
        <f>'TR TUSD'!$W$35*'TR TUSD'!$W$60</f>
        <v>0</v>
      </c>
      <c r="X35" s="12">
        <f>'TR TUSD'!$X$35*'TR TUSD'!$X$60</f>
        <v>0</v>
      </c>
      <c r="Y35" s="12">
        <f>'TR TUSD'!$Y$35*'TR TUSD'!$Y$60</f>
        <v>220.47052867965684</v>
      </c>
      <c r="Z35" s="12">
        <f>'TR TUSD'!$Z$35</f>
        <v>0</v>
      </c>
      <c r="AA35" s="12">
        <f>'TR TUSD'!$AA$35</f>
        <v>0</v>
      </c>
      <c r="AB35" s="12">
        <f>SUM($U$35:$AA$35)</f>
        <v>220.47052867965684</v>
      </c>
      <c r="AC35" s="12">
        <f>'TR TUSD'!$AC$35*'TR TUSD'!$AC$60</f>
        <v>843.6819846933555</v>
      </c>
      <c r="AD35" s="12">
        <f>SUM($AC$35:$AC$35)</f>
        <v>843.6819846933555</v>
      </c>
      <c r="AE35" s="12">
        <v>0</v>
      </c>
      <c r="AF35" s="12">
        <v>0</v>
      </c>
      <c r="AG35" s="12">
        <f>SUM($AE$35:$AF$35)</f>
        <v>0</v>
      </c>
      <c r="AH35" s="12">
        <f>'TR TUSD'!$AH$35*'TR TUSD'!$AH$60</f>
        <v>27.869752303901077</v>
      </c>
      <c r="AI35" s="12">
        <f>'TR TUSD'!$AI$35*'TR TUSD'!$AI$60</f>
        <v>0</v>
      </c>
      <c r="AJ35" s="12">
        <f ca="1">'TR TUSD'!$AJ$35*'TR TUSD'!$AJ$60</f>
        <v>0</v>
      </c>
      <c r="AK35" s="12">
        <f ca="1">'TR TUSD'!$AK$35*'TR TUSD'!$AK$60</f>
        <v>0</v>
      </c>
      <c r="AL35" s="12">
        <f ca="1">SUM($AH$35:$AK$35)</f>
        <v>27.869752303901077</v>
      </c>
      <c r="AM35" s="12">
        <f ca="1">SUMIF($L$4:$AL$4,"SUBTOTAL",$L$35:$AL$35)</f>
        <v>1200.624040332207</v>
      </c>
      <c r="AP35" s="12">
        <f>IF((1 - CUSTOS!$M$29)&lt;&gt;0,1/(1 - CUSTOS!$M$29),1)</f>
        <v>1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17" t="s">
        <v>73</v>
      </c>
      <c r="H36" s="17" t="s">
        <v>71</v>
      </c>
      <c r="I36" s="17">
        <f>'MERCADO TUSD'!$U$33</f>
        <v>0</v>
      </c>
      <c r="J36" s="15"/>
      <c r="L36" s="12">
        <f>'TR TUSD'!$L$36*'TR TUSD'!$L$60</f>
        <v>0</v>
      </c>
      <c r="M36" s="12">
        <f>'TR TUSD'!$M$36*'TR TUSD'!$M$60</f>
        <v>2.5395093085379745</v>
      </c>
      <c r="N36" s="12">
        <f ca="1">'TR TUSD'!$N$36*'TR TUSD'!$N$60</f>
        <v>0</v>
      </c>
      <c r="O36" s="12">
        <f>'TR TUSD'!$O$36*'TR TUSD'!$O$60</f>
        <v>0</v>
      </c>
      <c r="P36" s="12">
        <f>'TR TUSD'!$P$36*'TR TUSD'!$P$60</f>
        <v>0</v>
      </c>
      <c r="Q36" s="12">
        <f>'TR TUSD'!$Q$36*'TR TUSD'!$Q$60</f>
        <v>91.588370671072639</v>
      </c>
      <c r="R36" s="12">
        <f>'TR TUSD'!$R$36*'TR TUSD'!$R$60</f>
        <v>14.473894675682843</v>
      </c>
      <c r="S36" s="12">
        <f>'TR TUSD'!$S$36*'TR TUSD'!$S$60</f>
        <v>0</v>
      </c>
      <c r="T36" s="12">
        <f ca="1">SUM($L$36:$S$36)</f>
        <v>108.60177465529345</v>
      </c>
      <c r="U36" s="12">
        <f>'TR TUSD'!$U$36*'TR TUSD'!$U$60</f>
        <v>0</v>
      </c>
      <c r="V36" s="12">
        <f>'TR TUSD'!$V$36*'TR TUSD'!$V$60</f>
        <v>0</v>
      </c>
      <c r="W36" s="12">
        <f>'TR TUSD'!$W$36*'TR TUSD'!$W$60</f>
        <v>0</v>
      </c>
      <c r="X36" s="12">
        <f>'TR TUSD'!$X$36*'TR TUSD'!$X$60</f>
        <v>0</v>
      </c>
      <c r="Y36" s="12">
        <f>'TR TUSD'!$Y$36*'TR TUSD'!$Y$60</f>
        <v>73.490176226552265</v>
      </c>
      <c r="Z36" s="12">
        <f>'TR TUSD'!$Z$36</f>
        <v>0</v>
      </c>
      <c r="AA36" s="12">
        <f>'TR TUSD'!$AA$36</f>
        <v>0</v>
      </c>
      <c r="AB36" s="12">
        <f>SUM($U$36:$AA$36)</f>
        <v>73.490176226552265</v>
      </c>
      <c r="AC36" s="12">
        <f>'TR TUSD'!$AC$36*'TR TUSD'!$AC$60</f>
        <v>281.22711260286457</v>
      </c>
      <c r="AD36" s="12">
        <f>SUM($AC$36:$AC$36)</f>
        <v>281.22711260286457</v>
      </c>
      <c r="AE36" s="12">
        <v>0</v>
      </c>
      <c r="AF36" s="12">
        <v>0</v>
      </c>
      <c r="AG36" s="12">
        <f>SUM($AE$36:$AF$36)</f>
        <v>0</v>
      </c>
      <c r="AH36" s="12">
        <f>'TR TUSD'!$AH$36*'TR TUSD'!$AH$60</f>
        <v>27.869752303901077</v>
      </c>
      <c r="AI36" s="12">
        <f>'TR TUSD'!$AI$36*'TR TUSD'!$AI$60</f>
        <v>0</v>
      </c>
      <c r="AJ36" s="12">
        <f ca="1">'TR TUSD'!$AJ$36*'TR TUSD'!$AJ$60</f>
        <v>0</v>
      </c>
      <c r="AK36" s="12">
        <f ca="1">'TR TUSD'!$AK$36*'TR TUSD'!$AK$60</f>
        <v>0</v>
      </c>
      <c r="AL36" s="12">
        <f ca="1">SUM($AH$36:$AK$36)</f>
        <v>27.869752303901077</v>
      </c>
      <c r="AM36" s="12">
        <f ca="1">SUMIF($L$4:$AL$4,"SUBTOTAL",$L$36:$AL$36)</f>
        <v>491.18881578861135</v>
      </c>
      <c r="AP36" s="12">
        <f>IF((1 - CUSTOS!$M$29)&lt;&gt;0,1/(1 - CUSTOS!$M$29),1)</f>
        <v>1</v>
      </c>
    </row>
    <row r="37" spans="1:42" ht="11.25" customHeight="1" x14ac:dyDescent="0.25">
      <c r="A37" s="102"/>
      <c r="B37" s="18" t="s">
        <v>23</v>
      </c>
      <c r="C37" s="18" t="s">
        <v>41</v>
      </c>
      <c r="D37" s="18" t="s">
        <v>88</v>
      </c>
      <c r="E37" s="18" t="s">
        <v>25</v>
      </c>
      <c r="F37" s="18" t="s">
        <v>25</v>
      </c>
      <c r="G37" s="17" t="s">
        <v>77</v>
      </c>
      <c r="H37" s="17" t="s">
        <v>71</v>
      </c>
      <c r="I37" s="17">
        <f>'MERCADO TUSD'!$U$34</f>
        <v>0</v>
      </c>
      <c r="J37" s="15"/>
      <c r="L37" s="12">
        <f>'TR TUSD'!$L$37*'TR TUSD'!$L$60</f>
        <v>0</v>
      </c>
      <c r="M37" s="12">
        <f>'TR TUSD'!$M$37*'TR TUSD'!$M$60</f>
        <v>2.5395093085379745</v>
      </c>
      <c r="N37" s="12">
        <f ca="1">'TR TUSD'!$N$37*'TR TUSD'!$N$60</f>
        <v>0</v>
      </c>
      <c r="O37" s="12">
        <f>'TR TUSD'!$O$37*'TR TUSD'!$O$60</f>
        <v>0</v>
      </c>
      <c r="P37" s="12">
        <f>'TR TUSD'!$P$37*'TR TUSD'!$P$60</f>
        <v>0</v>
      </c>
      <c r="Q37" s="12">
        <f>'TR TUSD'!$Q$37*'TR TUSD'!$Q$60</f>
        <v>91.588370671072639</v>
      </c>
      <c r="R37" s="12">
        <f>'TR TUSD'!$R$37*'TR TUSD'!$R$60</f>
        <v>14.473894675682843</v>
      </c>
      <c r="S37" s="12">
        <f>'TR TUSD'!$S$37*'TR TUSD'!$S$60</f>
        <v>0</v>
      </c>
      <c r="T37" s="12">
        <f ca="1">SUM($L$37:$S$37)</f>
        <v>108.60177465529345</v>
      </c>
      <c r="U37" s="12">
        <f>'TR TUSD'!$U$37*'TR TUSD'!$U$60</f>
        <v>0</v>
      </c>
      <c r="V37" s="12">
        <f>'TR TUSD'!$V$37*'TR TUSD'!$V$60</f>
        <v>0</v>
      </c>
      <c r="W37" s="12">
        <f>'TR TUSD'!$W$37*'TR TUSD'!$W$60</f>
        <v>0</v>
      </c>
      <c r="X37" s="12">
        <f>'TR TUSD'!$X$37*'TR TUSD'!$X$60</f>
        <v>0</v>
      </c>
      <c r="Y37" s="12">
        <f>'TR TUSD'!$Y$37*'TR TUSD'!$Y$60</f>
        <v>141.35610427250106</v>
      </c>
      <c r="Z37" s="12">
        <f>'TR TUSD'!$Z$37</f>
        <v>0</v>
      </c>
      <c r="AA37" s="12">
        <f>'TR TUSD'!$AA$37</f>
        <v>0</v>
      </c>
      <c r="AB37" s="12">
        <f>SUM($U$37:$AA$37)</f>
        <v>141.35610427250106</v>
      </c>
      <c r="AC37" s="12">
        <f>'TR TUSD'!$AC$37*'TR TUSD'!$AC$60</f>
        <v>540.82153625801175</v>
      </c>
      <c r="AD37" s="12">
        <f>SUM($AC$37:$AC$37)</f>
        <v>540.82153625801175</v>
      </c>
      <c r="AE37" s="12">
        <v>0</v>
      </c>
      <c r="AF37" s="12">
        <v>0</v>
      </c>
      <c r="AG37" s="12">
        <f>SUM($AE$37:$AF$37)</f>
        <v>0</v>
      </c>
      <c r="AH37" s="12">
        <f>'TR TUSD'!$AH$37*'TR TUSD'!$AH$60</f>
        <v>27.869752303901077</v>
      </c>
      <c r="AI37" s="12">
        <f>'TR TUSD'!$AI$37*'TR TUSD'!$AI$60</f>
        <v>0</v>
      </c>
      <c r="AJ37" s="12">
        <f ca="1">'TR TUSD'!$AJ$37*'TR TUSD'!$AJ$60</f>
        <v>0</v>
      </c>
      <c r="AK37" s="12">
        <f ca="1">'TR TUSD'!$AK$37*'TR TUSD'!$AK$60</f>
        <v>0</v>
      </c>
      <c r="AL37" s="12">
        <f ca="1">SUM($AH$37:$AK$37)</f>
        <v>27.869752303901077</v>
      </c>
      <c r="AM37" s="12">
        <f ca="1">SUMIF($L$4:$AL$4,"SUBTOTAL",$L$37:$AL$37)</f>
        <v>818.64916748970745</v>
      </c>
      <c r="AP37" s="12">
        <f>IF((1 - CUSTOS!$M$29)&lt;&gt;0,1/(1 - CUSTOS!$M$29),1)</f>
        <v>1</v>
      </c>
    </row>
    <row r="38" spans="1:42" ht="11.25" customHeight="1" x14ac:dyDescent="0.25">
      <c r="A38" s="102"/>
      <c r="B38" s="102" t="s">
        <v>85</v>
      </c>
      <c r="C38" s="102" t="s">
        <v>41</v>
      </c>
      <c r="D38" s="102" t="s">
        <v>89</v>
      </c>
      <c r="E38" s="102" t="s">
        <v>25</v>
      </c>
      <c r="F38" s="102" t="s">
        <v>25</v>
      </c>
      <c r="G38" s="17" t="s">
        <v>72</v>
      </c>
      <c r="H38" s="17" t="s">
        <v>71</v>
      </c>
      <c r="I38" s="17">
        <f>'MERCADO TUSD'!$U$35</f>
        <v>0</v>
      </c>
      <c r="J38" s="15"/>
      <c r="L38" s="12">
        <f>'TR TUSD'!$L$38*'TR TUSD'!$L$60</f>
        <v>0</v>
      </c>
      <c r="M38" s="12">
        <f>'TR TUSD'!$M$38*'TR TUSD'!$M$60</f>
        <v>2.5395093085379745</v>
      </c>
      <c r="N38" s="12">
        <f ca="1">'TR TUSD'!$N$38*'TR TUSD'!$N$60</f>
        <v>0</v>
      </c>
      <c r="O38" s="12">
        <f>'TR TUSD'!$O$38*'TR TUSD'!$O$60</f>
        <v>0</v>
      </c>
      <c r="P38" s="12">
        <f>'TR TUSD'!$P$38*'TR TUSD'!$P$60</f>
        <v>0</v>
      </c>
      <c r="Q38" s="12">
        <f>'TR TUSD'!$Q$38*'TR TUSD'!$Q$60</f>
        <v>91.588370671072639</v>
      </c>
      <c r="R38" s="12">
        <f>'TR TUSD'!$R$38*'TR TUSD'!$R$60</f>
        <v>14.473894675682843</v>
      </c>
      <c r="S38" s="12">
        <f>'TR TUSD'!$S$38*'TR TUSD'!$S$60</f>
        <v>0</v>
      </c>
      <c r="T38" s="12">
        <f ca="1">SUM($L$38:$S$38)</f>
        <v>108.60177465529345</v>
      </c>
      <c r="U38" s="12">
        <f>'TR TUSD'!$U$38*'TR TUSD'!$U$60</f>
        <v>0</v>
      </c>
      <c r="V38" s="12">
        <f>'TR TUSD'!$V$38*'TR TUSD'!$V$60</f>
        <v>0</v>
      </c>
      <c r="W38" s="12">
        <f>'TR TUSD'!$W$38*'TR TUSD'!$W$60</f>
        <v>0</v>
      </c>
      <c r="X38" s="12">
        <f>'TR TUSD'!$X$38*'TR TUSD'!$X$60</f>
        <v>0</v>
      </c>
      <c r="Y38" s="12">
        <f>'TR TUSD'!$Y$38*'TR TUSD'!$Y$60</f>
        <v>367.45088113276137</v>
      </c>
      <c r="Z38" s="12">
        <f>'TR TUSD'!$Z$38</f>
        <v>0</v>
      </c>
      <c r="AA38" s="12">
        <f>'TR TUSD'!$AA$38</f>
        <v>0</v>
      </c>
      <c r="AB38" s="12">
        <f>SUM($U$38:$AA$38)</f>
        <v>367.45088113276137</v>
      </c>
      <c r="AC38" s="12">
        <f>'TR TUSD'!$AC$38*'TR TUSD'!$AC$60</f>
        <v>1406.1364255273384</v>
      </c>
      <c r="AD38" s="12">
        <f>SUM($AC$38:$AC$38)</f>
        <v>1406.1364255273384</v>
      </c>
      <c r="AE38" s="12">
        <v>0</v>
      </c>
      <c r="AF38" s="12">
        <v>0</v>
      </c>
      <c r="AG38" s="12">
        <f>SUM($AE$38:$AF$38)</f>
        <v>0</v>
      </c>
      <c r="AH38" s="12">
        <f>'TR TUSD'!$AH$38*'TR TUSD'!$AH$60</f>
        <v>27.869752303901077</v>
      </c>
      <c r="AI38" s="12">
        <f>'TR TUSD'!$AI$38*'TR TUSD'!$AI$60</f>
        <v>0</v>
      </c>
      <c r="AJ38" s="12">
        <f ca="1">'TR TUSD'!$AJ$38*'TR TUSD'!$AJ$60</f>
        <v>0</v>
      </c>
      <c r="AK38" s="12">
        <f ca="1">'TR TUSD'!$AK$38*'TR TUSD'!$AK$60</f>
        <v>0</v>
      </c>
      <c r="AL38" s="12">
        <f ca="1">SUM($AH$38:$AK$38)</f>
        <v>27.869752303901077</v>
      </c>
      <c r="AM38" s="12">
        <f ca="1">SUMIF($L$4:$AL$4,"SUBTOTAL",$L$38:$AL$38)</f>
        <v>1910.0588336192943</v>
      </c>
      <c r="AP38" s="12">
        <f>IF((1 - CUSTOS!$M$30)&lt;&gt;0,1/(1 - CUSTOS!$M$30),1)</f>
        <v>1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17" t="s">
        <v>83</v>
      </c>
      <c r="H39" s="17" t="s">
        <v>71</v>
      </c>
      <c r="I39" s="17">
        <f>'MERCADO TUSD'!$U$36</f>
        <v>0</v>
      </c>
      <c r="J39" s="15"/>
      <c r="L39" s="12">
        <f>'TR TUSD'!$L$39*'TR TUSD'!$L$60</f>
        <v>0</v>
      </c>
      <c r="M39" s="12">
        <f>'TR TUSD'!$M$39*'TR TUSD'!$M$60</f>
        <v>2.5395093085379745</v>
      </c>
      <c r="N39" s="12">
        <f ca="1">'TR TUSD'!$N$39*'TR TUSD'!$N$60</f>
        <v>0</v>
      </c>
      <c r="O39" s="12">
        <f>'TR TUSD'!$O$39*'TR TUSD'!$O$60</f>
        <v>0</v>
      </c>
      <c r="P39" s="12">
        <f>'TR TUSD'!$P$39*'TR TUSD'!$P$60</f>
        <v>0</v>
      </c>
      <c r="Q39" s="12">
        <f>'TR TUSD'!$Q$39*'TR TUSD'!$Q$60</f>
        <v>91.588370671072639</v>
      </c>
      <c r="R39" s="12">
        <f>'TR TUSD'!$R$39*'TR TUSD'!$R$60</f>
        <v>14.473894675682843</v>
      </c>
      <c r="S39" s="12">
        <f>'TR TUSD'!$S$39*'TR TUSD'!$S$60</f>
        <v>0</v>
      </c>
      <c r="T39" s="12">
        <f ca="1">SUM($L$39:$S$39)</f>
        <v>108.60177465529345</v>
      </c>
      <c r="U39" s="12">
        <f>'TR TUSD'!$U$39*'TR TUSD'!$U$60</f>
        <v>0</v>
      </c>
      <c r="V39" s="12">
        <f>'TR TUSD'!$V$39*'TR TUSD'!$V$60</f>
        <v>0</v>
      </c>
      <c r="W39" s="12">
        <f>'TR TUSD'!$W$39*'TR TUSD'!$W$60</f>
        <v>0</v>
      </c>
      <c r="X39" s="12">
        <f>'TR TUSD'!$X$39*'TR TUSD'!$X$60</f>
        <v>0</v>
      </c>
      <c r="Y39" s="12">
        <f>'TR TUSD'!$Y$39*'TR TUSD'!$Y$60</f>
        <v>220.47052867965684</v>
      </c>
      <c r="Z39" s="12">
        <f>'TR TUSD'!$Z$39</f>
        <v>0</v>
      </c>
      <c r="AA39" s="12">
        <f>'TR TUSD'!$AA$39</f>
        <v>0</v>
      </c>
      <c r="AB39" s="12">
        <f>SUM($U$39:$AA$39)</f>
        <v>220.47052867965684</v>
      </c>
      <c r="AC39" s="12">
        <f>'TR TUSD'!$AC$39*'TR TUSD'!$AC$60</f>
        <v>843.6819846933555</v>
      </c>
      <c r="AD39" s="12">
        <f>SUM($AC$39:$AC$39)</f>
        <v>843.6819846933555</v>
      </c>
      <c r="AE39" s="12">
        <v>0</v>
      </c>
      <c r="AF39" s="12">
        <v>0</v>
      </c>
      <c r="AG39" s="12">
        <f>SUM($AE$39:$AF$39)</f>
        <v>0</v>
      </c>
      <c r="AH39" s="12">
        <f>'TR TUSD'!$AH$39*'TR TUSD'!$AH$60</f>
        <v>27.869752303901077</v>
      </c>
      <c r="AI39" s="12">
        <f>'TR TUSD'!$AI$39*'TR TUSD'!$AI$60</f>
        <v>0</v>
      </c>
      <c r="AJ39" s="12">
        <f ca="1">'TR TUSD'!$AJ$39*'TR TUSD'!$AJ$60</f>
        <v>0</v>
      </c>
      <c r="AK39" s="12">
        <f ca="1">'TR TUSD'!$AK$39*'TR TUSD'!$AK$60</f>
        <v>0</v>
      </c>
      <c r="AL39" s="12">
        <f ca="1">SUM($AH$39:$AK$39)</f>
        <v>27.869752303901077</v>
      </c>
      <c r="AM39" s="12">
        <f ca="1">SUMIF($L$4:$AL$4,"SUBTOTAL",$L$39:$AL$39)</f>
        <v>1200.624040332207</v>
      </c>
      <c r="AP39" s="12">
        <f>IF((1 - CUSTOS!$M$30)&lt;&gt;0,1/(1 - CUSTOS!$M$30),1)</f>
        <v>1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17" t="s">
        <v>73</v>
      </c>
      <c r="H40" s="17" t="s">
        <v>71</v>
      </c>
      <c r="I40" s="17">
        <f>'MERCADO TUSD'!$U$37</f>
        <v>0</v>
      </c>
      <c r="J40" s="15"/>
      <c r="L40" s="12">
        <f>'TR TUSD'!$L$40*'TR TUSD'!$L$60</f>
        <v>0</v>
      </c>
      <c r="M40" s="12">
        <f>'TR TUSD'!$M$40*'TR TUSD'!$M$60</f>
        <v>2.5395093085379745</v>
      </c>
      <c r="N40" s="12">
        <f ca="1">'TR TUSD'!$N$40*'TR TUSD'!$N$60</f>
        <v>0</v>
      </c>
      <c r="O40" s="12">
        <f>'TR TUSD'!$O$40*'TR TUSD'!$O$60</f>
        <v>0</v>
      </c>
      <c r="P40" s="12">
        <f>'TR TUSD'!$P$40*'TR TUSD'!$P$60</f>
        <v>0</v>
      </c>
      <c r="Q40" s="12">
        <f>'TR TUSD'!$Q$40*'TR TUSD'!$Q$60</f>
        <v>91.588370671072639</v>
      </c>
      <c r="R40" s="12">
        <f>'TR TUSD'!$R$40*'TR TUSD'!$R$60</f>
        <v>14.473894675682843</v>
      </c>
      <c r="S40" s="12">
        <f>'TR TUSD'!$S$40*'TR TUSD'!$S$60</f>
        <v>0</v>
      </c>
      <c r="T40" s="12">
        <f ca="1">SUM($L$40:$S$40)</f>
        <v>108.60177465529345</v>
      </c>
      <c r="U40" s="12">
        <f>'TR TUSD'!$U$40*'TR TUSD'!$U$60</f>
        <v>0</v>
      </c>
      <c r="V40" s="12">
        <f>'TR TUSD'!$V$40*'TR TUSD'!$V$60</f>
        <v>0</v>
      </c>
      <c r="W40" s="12">
        <f>'TR TUSD'!$W$40*'TR TUSD'!$W$60</f>
        <v>0</v>
      </c>
      <c r="X40" s="12">
        <f>'TR TUSD'!$X$40*'TR TUSD'!$X$60</f>
        <v>0</v>
      </c>
      <c r="Y40" s="12">
        <f>'TR TUSD'!$Y$40*'TR TUSD'!$Y$60</f>
        <v>73.490176226552265</v>
      </c>
      <c r="Z40" s="12">
        <f>'TR TUSD'!$Z$40</f>
        <v>0</v>
      </c>
      <c r="AA40" s="12">
        <f>'TR TUSD'!$AA$40</f>
        <v>0</v>
      </c>
      <c r="AB40" s="12">
        <f>SUM($U$40:$AA$40)</f>
        <v>73.490176226552265</v>
      </c>
      <c r="AC40" s="12">
        <f>'TR TUSD'!$AC$40*'TR TUSD'!$AC$60</f>
        <v>281.22711260286457</v>
      </c>
      <c r="AD40" s="12">
        <f>SUM($AC$40:$AC$40)</f>
        <v>281.22711260286457</v>
      </c>
      <c r="AE40" s="12">
        <v>0</v>
      </c>
      <c r="AF40" s="12">
        <v>0</v>
      </c>
      <c r="AG40" s="12">
        <f>SUM($AE$40:$AF$40)</f>
        <v>0</v>
      </c>
      <c r="AH40" s="12">
        <f>'TR TUSD'!$AH$40*'TR TUSD'!$AH$60</f>
        <v>27.869752303901077</v>
      </c>
      <c r="AI40" s="12">
        <f>'TR TUSD'!$AI$40*'TR TUSD'!$AI$60</f>
        <v>0</v>
      </c>
      <c r="AJ40" s="12">
        <f ca="1">'TR TUSD'!$AJ$40*'TR TUSD'!$AJ$60</f>
        <v>0</v>
      </c>
      <c r="AK40" s="12">
        <f ca="1">'TR TUSD'!$AK$40*'TR TUSD'!$AK$60</f>
        <v>0</v>
      </c>
      <c r="AL40" s="12">
        <f ca="1">SUM($AH$40:$AK$40)</f>
        <v>27.869752303901077</v>
      </c>
      <c r="AM40" s="12">
        <f ca="1">SUMIF($L$4:$AL$4,"SUBTOTAL",$L$40:$AL$40)</f>
        <v>491.18881578861135</v>
      </c>
      <c r="AP40" s="12">
        <f>IF((1 - CUSTOS!$M$30)&lt;&gt;0,1/(1 - CUSTOS!$M$30),1)</f>
        <v>1</v>
      </c>
    </row>
    <row r="41" spans="1:42" ht="11.25" customHeight="1" x14ac:dyDescent="0.25">
      <c r="A41" s="102"/>
      <c r="B41" s="18" t="s">
        <v>23</v>
      </c>
      <c r="C41" s="18" t="s">
        <v>41</v>
      </c>
      <c r="D41" s="18" t="s">
        <v>89</v>
      </c>
      <c r="E41" s="18" t="s">
        <v>25</v>
      </c>
      <c r="F41" s="18" t="s">
        <v>25</v>
      </c>
      <c r="G41" s="17" t="s">
        <v>77</v>
      </c>
      <c r="H41" s="17" t="s">
        <v>71</v>
      </c>
      <c r="I41" s="17">
        <f>'MERCADO TUSD'!$U$38</f>
        <v>0</v>
      </c>
      <c r="J41" s="15"/>
      <c r="L41" s="12">
        <f>'TR TUSD'!$L$41*'TR TUSD'!$L$60</f>
        <v>0</v>
      </c>
      <c r="M41" s="12">
        <f>'TR TUSD'!$M$41*'TR TUSD'!$M$60</f>
        <v>2.5395093085379745</v>
      </c>
      <c r="N41" s="12">
        <f ca="1">'TR TUSD'!$N$41*'TR TUSD'!$N$60</f>
        <v>0</v>
      </c>
      <c r="O41" s="12">
        <f>'TR TUSD'!$O$41*'TR TUSD'!$O$60</f>
        <v>0</v>
      </c>
      <c r="P41" s="12">
        <f>'TR TUSD'!$P$41*'TR TUSD'!$P$60</f>
        <v>0</v>
      </c>
      <c r="Q41" s="12">
        <f>'TR TUSD'!$Q$41*'TR TUSD'!$Q$60</f>
        <v>91.588370671072639</v>
      </c>
      <c r="R41" s="12">
        <f>'TR TUSD'!$R$41*'TR TUSD'!$R$60</f>
        <v>14.473894675682843</v>
      </c>
      <c r="S41" s="12">
        <f>'TR TUSD'!$S$41*'TR TUSD'!$S$60</f>
        <v>0</v>
      </c>
      <c r="T41" s="12">
        <f ca="1">SUM($L$41:$S$41)</f>
        <v>108.60177465529345</v>
      </c>
      <c r="U41" s="12">
        <f>'TR TUSD'!$U$41*'TR TUSD'!$U$60</f>
        <v>0</v>
      </c>
      <c r="V41" s="12">
        <f>'TR TUSD'!$V$41*'TR TUSD'!$V$60</f>
        <v>0</v>
      </c>
      <c r="W41" s="12">
        <f>'TR TUSD'!$W$41*'TR TUSD'!$W$60</f>
        <v>0</v>
      </c>
      <c r="X41" s="12">
        <f>'TR TUSD'!$X$41*'TR TUSD'!$X$60</f>
        <v>0</v>
      </c>
      <c r="Y41" s="12">
        <f>'TR TUSD'!$Y$41*'TR TUSD'!$Y$60</f>
        <v>141.35610427250106</v>
      </c>
      <c r="Z41" s="12">
        <f>'TR TUSD'!$Z$41</f>
        <v>0</v>
      </c>
      <c r="AA41" s="12">
        <f>'TR TUSD'!$AA$41</f>
        <v>0</v>
      </c>
      <c r="AB41" s="12">
        <f>SUM($U$41:$AA$41)</f>
        <v>141.35610427250106</v>
      </c>
      <c r="AC41" s="12">
        <f>'TR TUSD'!$AC$41*'TR TUSD'!$AC$60</f>
        <v>540.82153625801175</v>
      </c>
      <c r="AD41" s="12">
        <f>SUM($AC$41:$AC$41)</f>
        <v>540.82153625801175</v>
      </c>
      <c r="AE41" s="12">
        <v>0</v>
      </c>
      <c r="AF41" s="12">
        <v>0</v>
      </c>
      <c r="AG41" s="12">
        <f>SUM($AE$41:$AF$41)</f>
        <v>0</v>
      </c>
      <c r="AH41" s="12">
        <f>'TR TUSD'!$AH$41*'TR TUSD'!$AH$60</f>
        <v>27.869752303901077</v>
      </c>
      <c r="AI41" s="12">
        <f>'TR TUSD'!$AI$41*'TR TUSD'!$AI$60</f>
        <v>0</v>
      </c>
      <c r="AJ41" s="12">
        <f ca="1">'TR TUSD'!$AJ$41*'TR TUSD'!$AJ$60</f>
        <v>0</v>
      </c>
      <c r="AK41" s="12">
        <f ca="1">'TR TUSD'!$AK$41*'TR TUSD'!$AK$60</f>
        <v>0</v>
      </c>
      <c r="AL41" s="12">
        <f ca="1">SUM($AH$41:$AK$41)</f>
        <v>27.869752303901077</v>
      </c>
      <c r="AM41" s="12">
        <f ca="1">SUMIF($L$4:$AL$4,"SUBTOTAL",$L$41:$AL$41)</f>
        <v>818.64916748970745</v>
      </c>
      <c r="AP41" s="12">
        <f>IF((1 - CUSTOS!$M$30)&lt;&gt;0,1/(1 - CUSTOS!$M$30),1)</f>
        <v>1</v>
      </c>
    </row>
    <row r="42" spans="1:42" ht="11.25" customHeight="1" x14ac:dyDescent="0.25">
      <c r="A42" s="102"/>
      <c r="B42" s="102" t="s">
        <v>87</v>
      </c>
      <c r="C42" s="102" t="s">
        <v>41</v>
      </c>
      <c r="D42" s="18" t="s">
        <v>25</v>
      </c>
      <c r="E42" s="18" t="s">
        <v>25</v>
      </c>
      <c r="F42" s="18" t="s">
        <v>25</v>
      </c>
      <c r="G42" s="17" t="s">
        <v>77</v>
      </c>
      <c r="H42" s="17" t="s">
        <v>71</v>
      </c>
      <c r="I42" s="17">
        <f>'MERCADO TUSD'!$U$39</f>
        <v>0</v>
      </c>
      <c r="J42" s="15"/>
      <c r="L42" s="12">
        <f>'TR TUSD'!$L$42*'TR TUSD'!$L$60</f>
        <v>0</v>
      </c>
      <c r="M42" s="12">
        <f>'TR TUSD'!$M$42*'TR TUSD'!$M$60</f>
        <v>2.5395093085379745</v>
      </c>
      <c r="N42" s="12">
        <f ca="1">'TR TUSD'!$N$42*'TR TUSD'!$N$60</f>
        <v>0</v>
      </c>
      <c r="O42" s="12">
        <f>'TR TUSD'!$O$42*'TR TUSD'!$O$60</f>
        <v>0</v>
      </c>
      <c r="P42" s="12">
        <f>'TR TUSD'!$P$42*'TR TUSD'!$P$60</f>
        <v>0</v>
      </c>
      <c r="Q42" s="12">
        <f>'TR TUSD'!$Q$42*'TR TUSD'!$Q$60</f>
        <v>91.588370671072639</v>
      </c>
      <c r="R42" s="12">
        <f>'TR TUSD'!$R$42*'TR TUSD'!$R$60</f>
        <v>14.473894675682843</v>
      </c>
      <c r="S42" s="12">
        <f>'TR TUSD'!$S$42*'TR TUSD'!$S$60</f>
        <v>0</v>
      </c>
      <c r="T42" s="12">
        <f ca="1">SUM($L$42:$S$42)</f>
        <v>108.60177465529345</v>
      </c>
      <c r="U42" s="12">
        <f>'TR TUSD'!$U$42*'TR TUSD'!$U$60</f>
        <v>0</v>
      </c>
      <c r="V42" s="12">
        <f>'TR TUSD'!$V$42*'TR TUSD'!$V$60</f>
        <v>0</v>
      </c>
      <c r="W42" s="12">
        <f>'TR TUSD'!$W$42*'TR TUSD'!$W$60</f>
        <v>0</v>
      </c>
      <c r="X42" s="12">
        <f>'TR TUSD'!$X$42*'TR TUSD'!$X$60</f>
        <v>0</v>
      </c>
      <c r="Y42" s="12">
        <f>'TR TUSD'!$Y$42*'TR TUSD'!$Y$60</f>
        <v>141.35610427250106</v>
      </c>
      <c r="Z42" s="12">
        <f>'TR TUSD'!$Z$42</f>
        <v>0</v>
      </c>
      <c r="AA42" s="12">
        <f>'TR TUSD'!$AA$42</f>
        <v>0</v>
      </c>
      <c r="AB42" s="12">
        <f>SUM($U$42:$AA$42)</f>
        <v>141.35610427250106</v>
      </c>
      <c r="AC42" s="12">
        <f>'TR TUSD'!$AC$42*'TR TUSD'!$AC$60</f>
        <v>540.82153625801175</v>
      </c>
      <c r="AD42" s="12">
        <f>SUM($AC$42:$AC$42)</f>
        <v>540.82153625801175</v>
      </c>
      <c r="AE42" s="12">
        <v>0</v>
      </c>
      <c r="AF42" s="12">
        <v>0</v>
      </c>
      <c r="AG42" s="12">
        <f>SUM($AE$42:$AF$42)</f>
        <v>0</v>
      </c>
      <c r="AH42" s="12">
        <f>'TR TUSD'!$AH$42*'TR TUSD'!$AH$60</f>
        <v>27.869752303901077</v>
      </c>
      <c r="AI42" s="12">
        <f>'TR TUSD'!$AI$42*'TR TUSD'!$AI$60</f>
        <v>0</v>
      </c>
      <c r="AJ42" s="12">
        <f ca="1">'TR TUSD'!$AJ$42*'TR TUSD'!$AJ$60</f>
        <v>0</v>
      </c>
      <c r="AK42" s="12">
        <f ca="1">'TR TUSD'!$AK$42*'TR TUSD'!$AK$60</f>
        <v>0</v>
      </c>
      <c r="AL42" s="12">
        <f ca="1">SUM($AH$42:$AK$42)</f>
        <v>27.869752303901077</v>
      </c>
      <c r="AM42" s="12">
        <f ca="1">SUMIF($L$4:$AL$4,"SUBTOTAL",$L$42:$AL$42)</f>
        <v>818.64916748970745</v>
      </c>
      <c r="AP42" s="12">
        <f>IF((1 - CUSTOS!$M$28)&lt;&gt;0,1/(1 - CUSTOS!$M$28),1)</f>
        <v>1</v>
      </c>
    </row>
    <row r="43" spans="1:42" ht="11.25" customHeight="1" x14ac:dyDescent="0.25">
      <c r="A43" s="102"/>
      <c r="B43" s="102"/>
      <c r="C43" s="102"/>
      <c r="D43" s="18" t="s">
        <v>88</v>
      </c>
      <c r="E43" s="18" t="s">
        <v>25</v>
      </c>
      <c r="F43" s="18" t="s">
        <v>25</v>
      </c>
      <c r="G43" s="17" t="s">
        <v>77</v>
      </c>
      <c r="H43" s="17" t="s">
        <v>71</v>
      </c>
      <c r="I43" s="17">
        <f>'MERCADO TUSD'!$U$40</f>
        <v>0</v>
      </c>
      <c r="J43" s="15"/>
      <c r="L43" s="12">
        <f>'TR TUSD'!$L$43*'TR TUSD'!$L$60</f>
        <v>0</v>
      </c>
      <c r="M43" s="12">
        <f>'TR TUSD'!$M$43*'TR TUSD'!$M$60</f>
        <v>2.5395093085379745</v>
      </c>
      <c r="N43" s="12">
        <f ca="1">'TR TUSD'!$N$43*'TR TUSD'!$N$60</f>
        <v>0</v>
      </c>
      <c r="O43" s="12">
        <f>'TR TUSD'!$O$43*'TR TUSD'!$O$60</f>
        <v>0</v>
      </c>
      <c r="P43" s="12">
        <f>'TR TUSD'!$P$43*'TR TUSD'!$P$60</f>
        <v>0</v>
      </c>
      <c r="Q43" s="12">
        <f>'TR TUSD'!$Q$43*'TR TUSD'!$Q$60</f>
        <v>91.588370671072639</v>
      </c>
      <c r="R43" s="12">
        <f>'TR TUSD'!$R$43*'TR TUSD'!$R$60</f>
        <v>14.473894675682843</v>
      </c>
      <c r="S43" s="12">
        <f>'TR TUSD'!$S$43*'TR TUSD'!$S$60</f>
        <v>0</v>
      </c>
      <c r="T43" s="12">
        <f ca="1">SUM($L$43:$S$43)</f>
        <v>108.60177465529345</v>
      </c>
      <c r="U43" s="12">
        <f>'TR TUSD'!$U$43*'TR TUSD'!$U$60</f>
        <v>0</v>
      </c>
      <c r="V43" s="12">
        <f>'TR TUSD'!$V$43*'TR TUSD'!$V$60</f>
        <v>0</v>
      </c>
      <c r="W43" s="12">
        <f>'TR TUSD'!$W$43*'TR TUSD'!$W$60</f>
        <v>0</v>
      </c>
      <c r="X43" s="12">
        <f>'TR TUSD'!$X$43*'TR TUSD'!$X$60</f>
        <v>0</v>
      </c>
      <c r="Y43" s="12">
        <f>'TR TUSD'!$Y$43*'TR TUSD'!$Y$60</f>
        <v>141.35610427250106</v>
      </c>
      <c r="Z43" s="12">
        <f>'TR TUSD'!$Z$43</f>
        <v>0</v>
      </c>
      <c r="AA43" s="12">
        <f>'TR TUSD'!$AA$43</f>
        <v>0</v>
      </c>
      <c r="AB43" s="12">
        <f>SUM($U$43:$AA$43)</f>
        <v>141.35610427250106</v>
      </c>
      <c r="AC43" s="12">
        <f>'TR TUSD'!$AC$43*'TR TUSD'!$AC$60</f>
        <v>540.82153625801175</v>
      </c>
      <c r="AD43" s="12">
        <f>SUM($AC$43:$AC$43)</f>
        <v>540.82153625801175</v>
      </c>
      <c r="AE43" s="12">
        <v>0</v>
      </c>
      <c r="AF43" s="12">
        <v>0</v>
      </c>
      <c r="AG43" s="12">
        <f>SUM($AE$43:$AF$43)</f>
        <v>0</v>
      </c>
      <c r="AH43" s="12">
        <f>'TR TUSD'!$AH$43*'TR TUSD'!$AH$60</f>
        <v>27.869752303901077</v>
      </c>
      <c r="AI43" s="12">
        <f>'TR TUSD'!$AI$43*'TR TUSD'!$AI$60</f>
        <v>0</v>
      </c>
      <c r="AJ43" s="12">
        <f ca="1">'TR TUSD'!$AJ$43*'TR TUSD'!$AJ$60</f>
        <v>0</v>
      </c>
      <c r="AK43" s="12">
        <f ca="1">'TR TUSD'!$AK$43*'TR TUSD'!$AK$60</f>
        <v>0</v>
      </c>
      <c r="AL43" s="12">
        <f ca="1">SUM($AH$43:$AK$43)</f>
        <v>27.869752303901077</v>
      </c>
      <c r="AM43" s="12">
        <f ca="1">SUMIF($L$4:$AL$4,"SUBTOTAL",$L$43:$AL$43)</f>
        <v>818.64916748970745</v>
      </c>
      <c r="AP43" s="12">
        <f>IF((1 - CUSTOS!$M$29)&lt;&gt;0,1/(1 - CUSTOS!$M$29),1)</f>
        <v>1</v>
      </c>
    </row>
    <row r="44" spans="1:42" ht="11.25" customHeight="1" x14ac:dyDescent="0.25">
      <c r="A44" s="102"/>
      <c r="B44" s="102"/>
      <c r="C44" s="102"/>
      <c r="D44" s="18" t="s">
        <v>89</v>
      </c>
      <c r="E44" s="18" t="s">
        <v>25</v>
      </c>
      <c r="F44" s="18" t="s">
        <v>25</v>
      </c>
      <c r="G44" s="17" t="s">
        <v>77</v>
      </c>
      <c r="H44" s="17" t="s">
        <v>71</v>
      </c>
      <c r="I44" s="17">
        <f>'MERCADO TUSD'!$U$41</f>
        <v>0</v>
      </c>
      <c r="J44" s="15"/>
      <c r="L44" s="12">
        <f>'TR TUSD'!$L$44*'TR TUSD'!$L$60</f>
        <v>0</v>
      </c>
      <c r="M44" s="12">
        <f>'TR TUSD'!$M$44*'TR TUSD'!$M$60</f>
        <v>2.5395093085379745</v>
      </c>
      <c r="N44" s="12">
        <f ca="1">'TR TUSD'!$N$44*'TR TUSD'!$N$60</f>
        <v>0</v>
      </c>
      <c r="O44" s="12">
        <f>'TR TUSD'!$O$44*'TR TUSD'!$O$60</f>
        <v>0</v>
      </c>
      <c r="P44" s="12">
        <f>'TR TUSD'!$P$44*'TR TUSD'!$P$60</f>
        <v>0</v>
      </c>
      <c r="Q44" s="12">
        <f>'TR TUSD'!$Q$44*'TR TUSD'!$Q$60</f>
        <v>91.588370671072639</v>
      </c>
      <c r="R44" s="12">
        <f>'TR TUSD'!$R$44*'TR TUSD'!$R$60</f>
        <v>14.473894675682843</v>
      </c>
      <c r="S44" s="12">
        <f>'TR TUSD'!$S$44*'TR TUSD'!$S$60</f>
        <v>0</v>
      </c>
      <c r="T44" s="12">
        <f ca="1">SUM($L$44:$S$44)</f>
        <v>108.60177465529345</v>
      </c>
      <c r="U44" s="12">
        <f>'TR TUSD'!$U$44*'TR TUSD'!$U$60</f>
        <v>0</v>
      </c>
      <c r="V44" s="12">
        <f>'TR TUSD'!$V$44*'TR TUSD'!$V$60</f>
        <v>0</v>
      </c>
      <c r="W44" s="12">
        <f>'TR TUSD'!$W$44*'TR TUSD'!$W$60</f>
        <v>0</v>
      </c>
      <c r="X44" s="12">
        <f>'TR TUSD'!$X$44*'TR TUSD'!$X$60</f>
        <v>0</v>
      </c>
      <c r="Y44" s="12">
        <f>'TR TUSD'!$Y$44*'TR TUSD'!$Y$60</f>
        <v>141.35610427250106</v>
      </c>
      <c r="Z44" s="12">
        <f>'TR TUSD'!$Z$44</f>
        <v>0</v>
      </c>
      <c r="AA44" s="12">
        <f>'TR TUSD'!$AA$44</f>
        <v>0</v>
      </c>
      <c r="AB44" s="12">
        <f>SUM($U$44:$AA$44)</f>
        <v>141.35610427250106</v>
      </c>
      <c r="AC44" s="12">
        <f>'TR TUSD'!$AC$44*'TR TUSD'!$AC$60</f>
        <v>540.82153625801175</v>
      </c>
      <c r="AD44" s="12">
        <f>SUM($AC$44:$AC$44)</f>
        <v>540.82153625801175</v>
      </c>
      <c r="AE44" s="12">
        <v>0</v>
      </c>
      <c r="AF44" s="12">
        <v>0</v>
      </c>
      <c r="AG44" s="12">
        <f>SUM($AE$44:$AF$44)</f>
        <v>0</v>
      </c>
      <c r="AH44" s="12">
        <f>'TR TUSD'!$AH$44*'TR TUSD'!$AH$60</f>
        <v>27.869752303901077</v>
      </c>
      <c r="AI44" s="12">
        <f>'TR TUSD'!$AI$44*'TR TUSD'!$AI$60</f>
        <v>0</v>
      </c>
      <c r="AJ44" s="12">
        <f ca="1">'TR TUSD'!$AJ$44*'TR TUSD'!$AJ$60</f>
        <v>0</v>
      </c>
      <c r="AK44" s="12">
        <f ca="1">'TR TUSD'!$AK$44*'TR TUSD'!$AK$60</f>
        <v>0</v>
      </c>
      <c r="AL44" s="12">
        <f ca="1">SUM($AH$44:$AK$44)</f>
        <v>27.869752303901077</v>
      </c>
      <c r="AM44" s="12">
        <f ca="1">SUMIF($L$4:$AL$4,"SUBTOTAL",$L$44:$AL$44)</f>
        <v>818.64916748970745</v>
      </c>
      <c r="AP44" s="12">
        <f>IF((1 - CUSTOS!$M$30)&lt;&gt;0,1/(1 - CUSTOS!$M$30),1)</f>
        <v>1</v>
      </c>
    </row>
    <row r="45" spans="1:42" ht="11.25" customHeight="1" x14ac:dyDescent="0.25">
      <c r="A45" s="102" t="s">
        <v>33</v>
      </c>
      <c r="B45" s="102" t="s">
        <v>85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17" t="s">
        <v>72</v>
      </c>
      <c r="H45" s="17" t="s">
        <v>71</v>
      </c>
      <c r="I45" s="17">
        <f>'MERCADO TUSD'!$U$42</f>
        <v>0</v>
      </c>
      <c r="J45" s="15"/>
      <c r="L45" s="12">
        <f>'TR TUSD'!$L$45*'TR TUSD'!$L$60</f>
        <v>0</v>
      </c>
      <c r="M45" s="12">
        <f>'TR TUSD'!$M$45*'TR TUSD'!$M$60</f>
        <v>2.5395093085379745</v>
      </c>
      <c r="N45" s="12">
        <f ca="1">'TR TUSD'!$N$45*'TR TUSD'!$N$60</f>
        <v>0</v>
      </c>
      <c r="O45" s="12">
        <f>'TR TUSD'!$O$45*'TR TUSD'!$O$60</f>
        <v>0</v>
      </c>
      <c r="P45" s="12">
        <f>'TR TUSD'!$P$45*'TR TUSD'!$P$60</f>
        <v>0</v>
      </c>
      <c r="Q45" s="12">
        <f>'TR TUSD'!$Q$45*'TR TUSD'!$Q$60</f>
        <v>91.588370671072639</v>
      </c>
      <c r="R45" s="12">
        <f>'TR TUSD'!$R$45*'TR TUSD'!$R$60</f>
        <v>14.473894675682843</v>
      </c>
      <c r="S45" s="12">
        <f>'TR TUSD'!$S$45*'TR TUSD'!$S$60</f>
        <v>0</v>
      </c>
      <c r="T45" s="12">
        <f ca="1">SUM($L$45:$S$45)</f>
        <v>108.60177465529345</v>
      </c>
      <c r="U45" s="12">
        <f>'TR TUSD'!$U$45*'TR TUSD'!$U$60</f>
        <v>0</v>
      </c>
      <c r="V45" s="12">
        <f>'TR TUSD'!$V$45*'TR TUSD'!$V$60</f>
        <v>0</v>
      </c>
      <c r="W45" s="12">
        <f>'TR TUSD'!$W$45*'TR TUSD'!$W$60</f>
        <v>0</v>
      </c>
      <c r="X45" s="12">
        <f>'TR TUSD'!$X$45*'TR TUSD'!$X$60</f>
        <v>0</v>
      </c>
      <c r="Y45" s="12">
        <f>'TR TUSD'!$Y$45*'TR TUSD'!$Y$60</f>
        <v>424.00582117105199</v>
      </c>
      <c r="Z45" s="12">
        <f>'TR TUSD'!$Z$45</f>
        <v>0</v>
      </c>
      <c r="AA45" s="12">
        <f>'TR TUSD'!$AA$45</f>
        <v>0</v>
      </c>
      <c r="AB45" s="12">
        <f>SUM($U$45:$AA$45)</f>
        <v>424.00582117105199</v>
      </c>
      <c r="AC45" s="12">
        <f>'TR TUSD'!$AC$45*'TR TUSD'!$AC$60</f>
        <v>1622.4652556587969</v>
      </c>
      <c r="AD45" s="12">
        <f>SUM($AC$45:$AC$45)</f>
        <v>1622.4652556587969</v>
      </c>
      <c r="AE45" s="12">
        <v>0</v>
      </c>
      <c r="AF45" s="12">
        <v>0</v>
      </c>
      <c r="AG45" s="12">
        <f>SUM($AE$45:$AF$45)</f>
        <v>0</v>
      </c>
      <c r="AH45" s="12">
        <f>'TR TUSD'!$AH$45*'TR TUSD'!$AH$60</f>
        <v>27.869752303901077</v>
      </c>
      <c r="AI45" s="12">
        <f>'TR TUSD'!$AI$45*'TR TUSD'!$AI$60</f>
        <v>0</v>
      </c>
      <c r="AJ45" s="12">
        <f ca="1">'TR TUSD'!$AJ$45*'TR TUSD'!$AJ$60</f>
        <v>0</v>
      </c>
      <c r="AK45" s="12">
        <f ca="1">'TR TUSD'!$AK$45*'TR TUSD'!$AK$60</f>
        <v>0</v>
      </c>
      <c r="AL45" s="12">
        <f ca="1">SUM($AH$45:$AK$45)</f>
        <v>27.869752303901077</v>
      </c>
      <c r="AM45" s="12">
        <f ca="1">SUMIF($L$4:$AL$4,"SUBTOTAL",$L$45:$AL$45)</f>
        <v>2182.9426037890435</v>
      </c>
      <c r="AP45" s="12">
        <f>IF((1 - CUSTOS!$M$31)&lt;&gt;0,1/(1 - CUSTOS!$M$31),1)</f>
        <v>1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17" t="s">
        <v>83</v>
      </c>
      <c r="H46" s="17" t="s">
        <v>71</v>
      </c>
      <c r="I46" s="17">
        <f>'MERCADO TUSD'!$U$43</f>
        <v>0</v>
      </c>
      <c r="J46" s="15"/>
      <c r="L46" s="12">
        <f>'TR TUSD'!$L$46*'TR TUSD'!$L$60</f>
        <v>0</v>
      </c>
      <c r="M46" s="12">
        <f>'TR TUSD'!$M$46*'TR TUSD'!$M$60</f>
        <v>2.5395093085379745</v>
      </c>
      <c r="N46" s="12">
        <f ca="1">'TR TUSD'!$N$46*'TR TUSD'!$N$60</f>
        <v>0</v>
      </c>
      <c r="O46" s="12">
        <f>'TR TUSD'!$O$46*'TR TUSD'!$O$60</f>
        <v>0</v>
      </c>
      <c r="P46" s="12">
        <f>'TR TUSD'!$P$46*'TR TUSD'!$P$60</f>
        <v>0</v>
      </c>
      <c r="Q46" s="12">
        <f>'TR TUSD'!$Q$46*'TR TUSD'!$Q$60</f>
        <v>91.588370671072639</v>
      </c>
      <c r="R46" s="12">
        <f>'TR TUSD'!$R$46*'TR TUSD'!$R$60</f>
        <v>14.473894675682843</v>
      </c>
      <c r="S46" s="12">
        <f>'TR TUSD'!$S$46*'TR TUSD'!$S$60</f>
        <v>0</v>
      </c>
      <c r="T46" s="12">
        <f ca="1">SUM($L$46:$S$46)</f>
        <v>108.60177465529345</v>
      </c>
      <c r="U46" s="12">
        <f>'TR TUSD'!$U$46*'TR TUSD'!$U$60</f>
        <v>0</v>
      </c>
      <c r="V46" s="12">
        <f>'TR TUSD'!$V$46*'TR TUSD'!$V$60</f>
        <v>0</v>
      </c>
      <c r="W46" s="12">
        <f>'TR TUSD'!$W$46*'TR TUSD'!$W$60</f>
        <v>0</v>
      </c>
      <c r="X46" s="12">
        <f>'TR TUSD'!$X$46*'TR TUSD'!$X$60</f>
        <v>0</v>
      </c>
      <c r="Y46" s="12">
        <f>'TR TUSD'!$Y$46*'TR TUSD'!$Y$60</f>
        <v>254.40349270263121</v>
      </c>
      <c r="Z46" s="12">
        <f>'TR TUSD'!$Z$46</f>
        <v>0</v>
      </c>
      <c r="AA46" s="12">
        <f>'TR TUSD'!$AA$46</f>
        <v>0</v>
      </c>
      <c r="AB46" s="12">
        <f>SUM($U$46:$AA$46)</f>
        <v>254.40349270263121</v>
      </c>
      <c r="AC46" s="12">
        <f>'TR TUSD'!$AC$46*'TR TUSD'!$AC$60</f>
        <v>973.47898089267505</v>
      </c>
      <c r="AD46" s="12">
        <f>SUM($AC$46:$AC$46)</f>
        <v>973.47898089267505</v>
      </c>
      <c r="AE46" s="12">
        <v>0</v>
      </c>
      <c r="AF46" s="12">
        <v>0</v>
      </c>
      <c r="AG46" s="12">
        <f>SUM($AE$46:$AF$46)</f>
        <v>0</v>
      </c>
      <c r="AH46" s="12">
        <f>'TR TUSD'!$AH$46*'TR TUSD'!$AH$60</f>
        <v>27.869752303901077</v>
      </c>
      <c r="AI46" s="12">
        <f>'TR TUSD'!$AI$46*'TR TUSD'!$AI$60</f>
        <v>0</v>
      </c>
      <c r="AJ46" s="12">
        <f ca="1">'TR TUSD'!$AJ$46*'TR TUSD'!$AJ$60</f>
        <v>0</v>
      </c>
      <c r="AK46" s="12">
        <f ca="1">'TR TUSD'!$AK$46*'TR TUSD'!$AK$60</f>
        <v>0</v>
      </c>
      <c r="AL46" s="12">
        <f ca="1">SUM($AH$46:$AK$46)</f>
        <v>27.869752303901077</v>
      </c>
      <c r="AM46" s="12">
        <f ca="1">SUMIF($L$4:$AL$4,"SUBTOTAL",$L$46:$AL$46)</f>
        <v>1364.3540005545008</v>
      </c>
      <c r="AP46" s="12">
        <f>IF((1 - CUSTOS!$M$31)&lt;&gt;0,1/(1 - CUSTOS!$M$31),1)</f>
        <v>1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17" t="s">
        <v>73</v>
      </c>
      <c r="H47" s="17" t="s">
        <v>71</v>
      </c>
      <c r="I47" s="17">
        <f>'MERCADO TUSD'!$U$44</f>
        <v>0</v>
      </c>
      <c r="J47" s="15"/>
      <c r="L47" s="12">
        <f>'TR TUSD'!$L$47*'TR TUSD'!$L$60</f>
        <v>0</v>
      </c>
      <c r="M47" s="12">
        <f>'TR TUSD'!$M$47*'TR TUSD'!$M$60</f>
        <v>2.5395093085379745</v>
      </c>
      <c r="N47" s="12">
        <f ca="1">'TR TUSD'!$N$47*'TR TUSD'!$N$60</f>
        <v>0</v>
      </c>
      <c r="O47" s="12">
        <f>'TR TUSD'!$O$47*'TR TUSD'!$O$60</f>
        <v>0</v>
      </c>
      <c r="P47" s="12">
        <f>'TR TUSD'!$P$47*'TR TUSD'!$P$60</f>
        <v>0</v>
      </c>
      <c r="Q47" s="12">
        <f>'TR TUSD'!$Q$47*'TR TUSD'!$Q$60</f>
        <v>91.588370671072639</v>
      </c>
      <c r="R47" s="12">
        <f>'TR TUSD'!$R$47*'TR TUSD'!$R$60</f>
        <v>14.473894675682843</v>
      </c>
      <c r="S47" s="12">
        <f>'TR TUSD'!$S$47*'TR TUSD'!$S$60</f>
        <v>0</v>
      </c>
      <c r="T47" s="12">
        <f ca="1">SUM($L$47:$S$47)</f>
        <v>108.60177465529345</v>
      </c>
      <c r="U47" s="12">
        <f>'TR TUSD'!$U$47*'TR TUSD'!$U$60</f>
        <v>0</v>
      </c>
      <c r="V47" s="12">
        <f>'TR TUSD'!$V$47*'TR TUSD'!$V$60</f>
        <v>0</v>
      </c>
      <c r="W47" s="12">
        <f>'TR TUSD'!$W$47*'TR TUSD'!$W$60</f>
        <v>0</v>
      </c>
      <c r="X47" s="12">
        <f>'TR TUSD'!$X$47*'TR TUSD'!$X$60</f>
        <v>0</v>
      </c>
      <c r="Y47" s="12">
        <f>'TR TUSD'!$Y$47*'TR TUSD'!$Y$60</f>
        <v>84.801164234210404</v>
      </c>
      <c r="Z47" s="12">
        <f>'TR TUSD'!$Z$47</f>
        <v>0</v>
      </c>
      <c r="AA47" s="12">
        <f>'TR TUSD'!$AA$47</f>
        <v>0</v>
      </c>
      <c r="AB47" s="12">
        <f>SUM($U$47:$AA$47)</f>
        <v>84.801164234210404</v>
      </c>
      <c r="AC47" s="12">
        <f>'TR TUSD'!$AC$47*'TR TUSD'!$AC$60</f>
        <v>324.49313738306097</v>
      </c>
      <c r="AD47" s="12">
        <f>SUM($AC$47:$AC$47)</f>
        <v>324.49313738306097</v>
      </c>
      <c r="AE47" s="12">
        <v>0</v>
      </c>
      <c r="AF47" s="12">
        <v>0</v>
      </c>
      <c r="AG47" s="12">
        <f>SUM($AE$47:$AF$47)</f>
        <v>0</v>
      </c>
      <c r="AH47" s="12">
        <f>'TR TUSD'!$AH$47*'TR TUSD'!$AH$60</f>
        <v>27.869752303901077</v>
      </c>
      <c r="AI47" s="12">
        <f>'TR TUSD'!$AI$47*'TR TUSD'!$AI$60</f>
        <v>0</v>
      </c>
      <c r="AJ47" s="12">
        <f ca="1">'TR TUSD'!$AJ$47*'TR TUSD'!$AJ$60</f>
        <v>0</v>
      </c>
      <c r="AK47" s="12">
        <f ca="1">'TR TUSD'!$AK$47*'TR TUSD'!$AK$60</f>
        <v>0</v>
      </c>
      <c r="AL47" s="12">
        <f ca="1">SUM($AH$47:$AK$47)</f>
        <v>27.869752303901077</v>
      </c>
      <c r="AM47" s="12">
        <f ca="1">SUMIF($L$4:$AL$4,"SUBTOTAL",$L$47:$AL$47)</f>
        <v>545.76582857646599</v>
      </c>
      <c r="AP47" s="12">
        <f>IF((1 - CUSTOS!$M$31)&lt;&gt;0,1/(1 - CUSTOS!$M$31),1)</f>
        <v>1</v>
      </c>
    </row>
    <row r="48" spans="1:42" ht="11.25" customHeight="1" x14ac:dyDescent="0.25">
      <c r="A48" s="102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77</v>
      </c>
      <c r="H48" s="17" t="s">
        <v>71</v>
      </c>
      <c r="I48" s="17">
        <f>'MERCADO TUSD'!$U$45</f>
        <v>9552.121000000001</v>
      </c>
      <c r="J48" s="15"/>
      <c r="L48" s="12">
        <f>'TR TUSD'!$L$48*'TR TUSD'!$L$60</f>
        <v>0</v>
      </c>
      <c r="M48" s="12">
        <f>'TR TUSD'!$M$48*'TR TUSD'!$M$60</f>
        <v>2.5395093085379745</v>
      </c>
      <c r="N48" s="12">
        <f ca="1">'TR TUSD'!$N$48*'TR TUSD'!$N$60</f>
        <v>0</v>
      </c>
      <c r="O48" s="12">
        <f>'TR TUSD'!$O$48*'TR TUSD'!$O$60</f>
        <v>0</v>
      </c>
      <c r="P48" s="12">
        <f>'TR TUSD'!$P$48*'TR TUSD'!$P$60</f>
        <v>0</v>
      </c>
      <c r="Q48" s="12">
        <f>'TR TUSD'!$Q$48*'TR TUSD'!$Q$60</f>
        <v>91.588370671072639</v>
      </c>
      <c r="R48" s="12">
        <f>'TR TUSD'!$R$48*'TR TUSD'!$R$60</f>
        <v>14.473894675682843</v>
      </c>
      <c r="S48" s="12">
        <f>'TR TUSD'!$S$48*'TR TUSD'!$S$60</f>
        <v>0</v>
      </c>
      <c r="T48" s="12">
        <f ca="1">SUM($L$48:$S$48)</f>
        <v>108.60177465529345</v>
      </c>
      <c r="U48" s="12">
        <f>'TR TUSD'!$U$48*'TR TUSD'!$U$60</f>
        <v>0</v>
      </c>
      <c r="V48" s="12">
        <f>'TR TUSD'!$V$48*'TR TUSD'!$V$60</f>
        <v>0</v>
      </c>
      <c r="W48" s="12">
        <f>'TR TUSD'!$W$48*'TR TUSD'!$W$60</f>
        <v>0</v>
      </c>
      <c r="X48" s="12">
        <f>'TR TUSD'!$X$48*'TR TUSD'!$X$60</f>
        <v>0</v>
      </c>
      <c r="Y48" s="12">
        <f>'TR TUSD'!$Y$48*'TR TUSD'!$Y$60</f>
        <v>141.35610427250106</v>
      </c>
      <c r="Z48" s="12">
        <f>'TR TUSD'!$Z$48</f>
        <v>0</v>
      </c>
      <c r="AA48" s="12">
        <f>'TR TUSD'!$AA$48</f>
        <v>0</v>
      </c>
      <c r="AB48" s="12">
        <f>SUM($U$48:$AA$48)</f>
        <v>141.35610427250106</v>
      </c>
      <c r="AC48" s="12">
        <f>'TR TUSD'!$AC$48*'TR TUSD'!$AC$60</f>
        <v>540.82153625801175</v>
      </c>
      <c r="AD48" s="12">
        <f>SUM($AC$48:$AC$48)</f>
        <v>540.82153625801175</v>
      </c>
      <c r="AE48" s="12">
        <v>0</v>
      </c>
      <c r="AF48" s="12">
        <v>0</v>
      </c>
      <c r="AG48" s="12">
        <f>SUM($AE$48:$AF$48)</f>
        <v>0</v>
      </c>
      <c r="AH48" s="12">
        <f>'TR TUSD'!$AH$48*'TR TUSD'!$AH$60</f>
        <v>27.869752303901077</v>
      </c>
      <c r="AI48" s="12">
        <f>'TR TUSD'!$AI$48*'TR TUSD'!$AI$60</f>
        <v>0</v>
      </c>
      <c r="AJ48" s="12">
        <f ca="1">'TR TUSD'!$AJ$48*'TR TUSD'!$AJ$60</f>
        <v>0</v>
      </c>
      <c r="AK48" s="12">
        <f ca="1">'TR TUSD'!$AK$48*'TR TUSD'!$AK$60</f>
        <v>0</v>
      </c>
      <c r="AL48" s="12">
        <f ca="1">SUM($AH$48:$AK$48)</f>
        <v>27.869752303901077</v>
      </c>
      <c r="AM48" s="12">
        <f ca="1">SUMIF($L$4:$AL$4,"SUBTOTAL",$L$48:$AL$48)</f>
        <v>818.64916748970745</v>
      </c>
      <c r="AP48" s="12">
        <f>IF((1 - CUSTOS!$M$31)&lt;&gt;0,1/(1 - CUSTOS!$M$31),1)</f>
        <v>1</v>
      </c>
    </row>
    <row r="49" spans="1:42" ht="11.25" customHeight="1" x14ac:dyDescent="0.25">
      <c r="A49" s="102"/>
      <c r="B49" s="18" t="s">
        <v>87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77</v>
      </c>
      <c r="H49" s="17" t="s">
        <v>71</v>
      </c>
      <c r="I49" s="17">
        <f>'MERCADO TUSD'!$U$46</f>
        <v>0</v>
      </c>
      <c r="J49" s="15"/>
      <c r="L49" s="12">
        <f>'TR TUSD'!$L$49*'TR TUSD'!$L$60</f>
        <v>0</v>
      </c>
      <c r="M49" s="12">
        <f>'TR TUSD'!$M$49*'TR TUSD'!$M$60</f>
        <v>2.5395093085379745</v>
      </c>
      <c r="N49" s="12">
        <f ca="1">'TR TUSD'!$N$49*'TR TUSD'!$N$60</f>
        <v>0</v>
      </c>
      <c r="O49" s="12">
        <f>'TR TUSD'!$O$49*'TR TUSD'!$O$60</f>
        <v>0</v>
      </c>
      <c r="P49" s="12">
        <f>'TR TUSD'!$P$49*'TR TUSD'!$P$60</f>
        <v>0</v>
      </c>
      <c r="Q49" s="12">
        <f>'TR TUSD'!$Q$49*'TR TUSD'!$Q$60</f>
        <v>91.588370671072639</v>
      </c>
      <c r="R49" s="12">
        <f>'TR TUSD'!$R$49*'TR TUSD'!$R$60</f>
        <v>14.473894675682843</v>
      </c>
      <c r="S49" s="12">
        <f>'TR TUSD'!$S$49*'TR TUSD'!$S$60</f>
        <v>0</v>
      </c>
      <c r="T49" s="12">
        <f ca="1">SUM($L$49:$S$49)</f>
        <v>108.60177465529345</v>
      </c>
      <c r="U49" s="12">
        <f>'TR TUSD'!$U$49*'TR TUSD'!$U$60</f>
        <v>0</v>
      </c>
      <c r="V49" s="12">
        <f>'TR TUSD'!$V$49*'TR TUSD'!$V$60</f>
        <v>0</v>
      </c>
      <c r="W49" s="12">
        <f>'TR TUSD'!$W$49*'TR TUSD'!$W$60</f>
        <v>0</v>
      </c>
      <c r="X49" s="12">
        <f>'TR TUSD'!$X$49*'TR TUSD'!$X$60</f>
        <v>0</v>
      </c>
      <c r="Y49" s="12">
        <f>'TR TUSD'!$Y$49*'TR TUSD'!$Y$60</f>
        <v>141.35610427250106</v>
      </c>
      <c r="Z49" s="12">
        <f>'TR TUSD'!$Z$49</f>
        <v>0</v>
      </c>
      <c r="AA49" s="12">
        <f>'TR TUSD'!$AA$49</f>
        <v>0</v>
      </c>
      <c r="AB49" s="12">
        <f>SUM($U$49:$AA$49)</f>
        <v>141.35610427250106</v>
      </c>
      <c r="AC49" s="12">
        <f>'TR TUSD'!$AC$49*'TR TUSD'!$AC$60</f>
        <v>540.82153625801175</v>
      </c>
      <c r="AD49" s="12">
        <f>SUM($AC$49:$AC$49)</f>
        <v>540.82153625801175</v>
      </c>
      <c r="AE49" s="12">
        <v>0</v>
      </c>
      <c r="AF49" s="12">
        <v>0</v>
      </c>
      <c r="AG49" s="12">
        <f>SUM($AE$49:$AF$49)</f>
        <v>0</v>
      </c>
      <c r="AH49" s="12">
        <f>'TR TUSD'!$AH$49*'TR TUSD'!$AH$60</f>
        <v>27.869752303901077</v>
      </c>
      <c r="AI49" s="12">
        <f>'TR TUSD'!$AI$49*'TR TUSD'!$AI$60</f>
        <v>0</v>
      </c>
      <c r="AJ49" s="12">
        <f ca="1">'TR TUSD'!$AJ$49*'TR TUSD'!$AJ$60</f>
        <v>0</v>
      </c>
      <c r="AK49" s="12">
        <f ca="1">'TR TUSD'!$AK$49*'TR TUSD'!$AK$60</f>
        <v>0</v>
      </c>
      <c r="AL49" s="12">
        <f ca="1">SUM($AH$49:$AK$49)</f>
        <v>27.869752303901077</v>
      </c>
      <c r="AM49" s="12">
        <f ca="1">SUMIF($L$4:$AL$4,"SUBTOTAL",$L$49:$AL$49)</f>
        <v>818.64916748970745</v>
      </c>
      <c r="AP49" s="12">
        <f>IF((1 - CUSTOS!$M$31)&lt;&gt;0,1/(1 - CUSTOS!$M$31),1)</f>
        <v>1</v>
      </c>
    </row>
    <row r="50" spans="1:42" ht="11.25" customHeight="1" x14ac:dyDescent="0.25">
      <c r="A50" s="102" t="s">
        <v>43</v>
      </c>
      <c r="B50" s="102" t="s">
        <v>23</v>
      </c>
      <c r="C50" s="102" t="s">
        <v>44</v>
      </c>
      <c r="D50" s="18" t="s">
        <v>45</v>
      </c>
      <c r="E50" s="18" t="s">
        <v>25</v>
      </c>
      <c r="F50" s="18" t="s">
        <v>25</v>
      </c>
      <c r="G50" s="17" t="s">
        <v>77</v>
      </c>
      <c r="H50" s="17" t="s">
        <v>71</v>
      </c>
      <c r="I50" s="17">
        <f>'MERCADO TUSD'!$U$47</f>
        <v>4840.4129999999996</v>
      </c>
      <c r="J50" s="15"/>
      <c r="L50" s="12">
        <f>'TR TUSD'!$L$50*'TR TUSD'!$L$60</f>
        <v>0</v>
      </c>
      <c r="M50" s="12">
        <f>'TR TUSD'!$M$50*'TR TUSD'!$M$60</f>
        <v>1.3967301196958861</v>
      </c>
      <c r="N50" s="12">
        <f ca="1">'TR TUSD'!$N$50*'TR TUSD'!$N$60</f>
        <v>0</v>
      </c>
      <c r="O50" s="12">
        <f>'TR TUSD'!$O$50*'TR TUSD'!$O$60</f>
        <v>0</v>
      </c>
      <c r="P50" s="12">
        <f>'TR TUSD'!$P$50*'TR TUSD'!$P$60</f>
        <v>0</v>
      </c>
      <c r="Q50" s="12">
        <f>'TR TUSD'!$Q$50*'TR TUSD'!$Q$60</f>
        <v>50.373603869089955</v>
      </c>
      <c r="R50" s="12">
        <f>'TR TUSD'!$R$50*'TR TUSD'!$R$60</f>
        <v>7.9606420716255641</v>
      </c>
      <c r="S50" s="12">
        <f>'TR TUSD'!$S$50*'TR TUSD'!$S$60</f>
        <v>0</v>
      </c>
      <c r="T50" s="12">
        <f ca="1">SUM($L$50:$S$50)</f>
        <v>59.730976060411408</v>
      </c>
      <c r="U50" s="12">
        <f>'TR TUSD'!$U$50*'TR TUSD'!$U$60</f>
        <v>0</v>
      </c>
      <c r="V50" s="12">
        <f>'TR TUSD'!$V$50*'TR TUSD'!$V$60</f>
        <v>0</v>
      </c>
      <c r="W50" s="12">
        <f>'TR TUSD'!$W$50*'TR TUSD'!$W$60</f>
        <v>0</v>
      </c>
      <c r="X50" s="12">
        <f>'TR TUSD'!$X$50*'TR TUSD'!$X$60</f>
        <v>0</v>
      </c>
      <c r="Y50" s="12">
        <f>'TR TUSD'!$Y$50*'TR TUSD'!$Y$60</f>
        <v>77.745857349875592</v>
      </c>
      <c r="Z50" s="12">
        <f>'TR TUSD'!$Z$50</f>
        <v>0</v>
      </c>
      <c r="AA50" s="12">
        <f>'TR TUSD'!$AA$50</f>
        <v>0</v>
      </c>
      <c r="AB50" s="12">
        <f>SUM($U$50:$AA$50)</f>
        <v>77.745857349875592</v>
      </c>
      <c r="AC50" s="12">
        <f>'TR TUSD'!$AC$50*'TR TUSD'!$AC$60</f>
        <v>297.45184494190647</v>
      </c>
      <c r="AD50" s="12">
        <f>SUM($AC$50:$AC$50)</f>
        <v>297.45184494190647</v>
      </c>
      <c r="AE50" s="12">
        <v>0</v>
      </c>
      <c r="AF50" s="12">
        <v>0</v>
      </c>
      <c r="AG50" s="12">
        <f>SUM($AE$50:$AF$50)</f>
        <v>0</v>
      </c>
      <c r="AH50" s="12">
        <f>'TR TUSD'!$AH$50*'TR TUSD'!$AH$60</f>
        <v>15.328363767145593</v>
      </c>
      <c r="AI50" s="12">
        <f>'TR TUSD'!$AI$50*'TR TUSD'!$AI$60</f>
        <v>0</v>
      </c>
      <c r="AJ50" s="12">
        <f ca="1">'TR TUSD'!$AJ$50*'TR TUSD'!$AJ$60</f>
        <v>0</v>
      </c>
      <c r="AK50" s="12">
        <f ca="1">'TR TUSD'!$AK$50*'TR TUSD'!$AK$60</f>
        <v>0</v>
      </c>
      <c r="AL50" s="12">
        <f ca="1">SUM($AH$50:$AK$50)</f>
        <v>15.328363767145593</v>
      </c>
      <c r="AM50" s="12">
        <f ca="1">SUMIF($L$4:$AL$4,"SUBTOTAL",$L$50:$AL$50)</f>
        <v>450.25704211933908</v>
      </c>
      <c r="AP50" s="12">
        <f>IF((1 - CUSTOS!$M$32)&lt;&gt;0,1/(1 - CUSTOS!$M$32),1)</f>
        <v>1.8181818181818181</v>
      </c>
    </row>
    <row r="51" spans="1:42" ht="11.25" customHeight="1" x14ac:dyDescent="0.25">
      <c r="A51" s="102"/>
      <c r="B51" s="102"/>
      <c r="C51" s="102"/>
      <c r="D51" s="17" t="s">
        <v>90</v>
      </c>
      <c r="E51" s="17" t="s">
        <v>25</v>
      </c>
      <c r="F51" s="17" t="s">
        <v>25</v>
      </c>
      <c r="G51" s="17" t="s">
        <v>77</v>
      </c>
      <c r="H51" s="17" t="s">
        <v>71</v>
      </c>
      <c r="I51" s="17">
        <f>'MERCADO TUSD'!$U$48</f>
        <v>0</v>
      </c>
      <c r="J51" s="15"/>
      <c r="L51" s="12">
        <f>'TR TUSD'!$L$51*'TR TUSD'!$L$60</f>
        <v>0</v>
      </c>
      <c r="M51" s="12">
        <f>'TR TUSD'!$M$51*'TR TUSD'!$M$60</f>
        <v>1.5237055851227848</v>
      </c>
      <c r="N51" s="12">
        <f ca="1">'TR TUSD'!$N$51*'TR TUSD'!$N$60</f>
        <v>0</v>
      </c>
      <c r="O51" s="12">
        <f>'TR TUSD'!$O$51*'TR TUSD'!$O$60</f>
        <v>0</v>
      </c>
      <c r="P51" s="12">
        <f>'TR TUSD'!$P$51*'TR TUSD'!$P$60</f>
        <v>0</v>
      </c>
      <c r="Q51" s="12">
        <f>'TR TUSD'!$Q$51*'TR TUSD'!$Q$60</f>
        <v>54.953022402643583</v>
      </c>
      <c r="R51" s="12">
        <f>'TR TUSD'!$R$51*'TR TUSD'!$R$60</f>
        <v>8.6843368054097052</v>
      </c>
      <c r="S51" s="12">
        <f>'TR TUSD'!$S$51*'TR TUSD'!$S$60</f>
        <v>0</v>
      </c>
      <c r="T51" s="12">
        <f ca="1">SUM($L$51:$S$51)</f>
        <v>65.161064793176067</v>
      </c>
      <c r="U51" s="12">
        <f>'TR TUSD'!$U$51*'TR TUSD'!$U$60</f>
        <v>0</v>
      </c>
      <c r="V51" s="12">
        <f>'TR TUSD'!$V$51*'TR TUSD'!$V$60</f>
        <v>0</v>
      </c>
      <c r="W51" s="12">
        <f>'TR TUSD'!$W$51*'TR TUSD'!$W$60</f>
        <v>0</v>
      </c>
      <c r="X51" s="12">
        <f>'TR TUSD'!$X$51*'TR TUSD'!$X$60</f>
        <v>0</v>
      </c>
      <c r="Y51" s="12">
        <f>'TR TUSD'!$Y$51*'TR TUSD'!$Y$60</f>
        <v>84.813662563500642</v>
      </c>
      <c r="Z51" s="12">
        <f>'TR TUSD'!$Z$51</f>
        <v>0</v>
      </c>
      <c r="AA51" s="12">
        <f>'TR TUSD'!$AA$51</f>
        <v>0</v>
      </c>
      <c r="AB51" s="12">
        <f>SUM($U$51:$AA$51)</f>
        <v>84.813662563500642</v>
      </c>
      <c r="AC51" s="12">
        <f>'TR TUSD'!$AC$51*'TR TUSD'!$AC$60</f>
        <v>324.49292175480707</v>
      </c>
      <c r="AD51" s="12">
        <f>SUM($AC$51:$AC$51)</f>
        <v>324.49292175480707</v>
      </c>
      <c r="AE51" s="12">
        <v>0</v>
      </c>
      <c r="AF51" s="12">
        <v>0</v>
      </c>
      <c r="AG51" s="12">
        <f>SUM($AE$51:$AF$51)</f>
        <v>0</v>
      </c>
      <c r="AH51" s="12">
        <f>'TR TUSD'!$AH$51*'TR TUSD'!$AH$60</f>
        <v>16.721851382340645</v>
      </c>
      <c r="AI51" s="12">
        <f>'TR TUSD'!$AI$51*'TR TUSD'!$AI$60</f>
        <v>0</v>
      </c>
      <c r="AJ51" s="12">
        <f ca="1">'TR TUSD'!$AJ$51*'TR TUSD'!$AJ$60</f>
        <v>0</v>
      </c>
      <c r="AK51" s="12">
        <f ca="1">'TR TUSD'!$AK$51*'TR TUSD'!$AK$60</f>
        <v>0</v>
      </c>
      <c r="AL51" s="12">
        <f ca="1">SUM($AH$51:$AK$51)</f>
        <v>16.721851382340645</v>
      </c>
      <c r="AM51" s="12">
        <f ca="1">SUMIF($L$4:$AL$4,"SUBTOTAL",$L$51:$AL$51)</f>
        <v>491.18950049382443</v>
      </c>
      <c r="AP51" s="12">
        <f>IF((1 - CUSTOS!$M$33)&lt;&gt;0,1/(1 - CUSTOS!$M$33),1)</f>
        <v>1.6666666666666667</v>
      </c>
    </row>
    <row r="53" spans="1:42" ht="11.25" customHeight="1" x14ac:dyDescent="0.25">
      <c r="K53" s="16" t="s">
        <v>469</v>
      </c>
      <c r="L53" s="12">
        <f>SUMPRODUCT($I$5:$I51,$L$5:$L51)</f>
        <v>0</v>
      </c>
      <c r="M53" s="12">
        <f>SUMPRODUCT($I$5:$I51,$M$5:$M51)</f>
        <v>224382.49700997537</v>
      </c>
      <c r="N53" s="12">
        <f ca="1">SUMPRODUCT($I$5:$I51,$N$5:$N51)</f>
        <v>0</v>
      </c>
      <c r="O53" s="12">
        <f>SUMPRODUCT($I$5:$I51,$O$5:$O51)</f>
        <v>0</v>
      </c>
      <c r="P53" s="12">
        <f>SUMPRODUCT($I$5:$I51,$P$5:$P51)</f>
        <v>0</v>
      </c>
      <c r="Q53" s="12">
        <f>SUMPRODUCT($I$5:$I51,$Q$5:$Q51)</f>
        <v>7967235.2594799995</v>
      </c>
      <c r="R53" s="12">
        <f>SUMPRODUCT($I$5:$I51,$R$5:$R51)</f>
        <v>1295379.5909400003</v>
      </c>
      <c r="S53" s="12">
        <f>SUMPRODUCT($I$5:$I51,$S$5:$S51)</f>
        <v>0</v>
      </c>
      <c r="T53" s="12">
        <f ca="1">SUMPRODUCT($I$5:$I51,$T$5:$T51)</f>
        <v>9486997.347429974</v>
      </c>
      <c r="U53" s="12">
        <f>SUMPRODUCT($I$5:$I51,$U$5:$U51)</f>
        <v>0</v>
      </c>
      <c r="V53" s="12">
        <f>SUMPRODUCT($I$5:$I51,$V$5:$V51)</f>
        <v>0</v>
      </c>
      <c r="W53" s="12">
        <f>SUMPRODUCT($I$5:$I51,$W$5:$W51)</f>
        <v>0</v>
      </c>
      <c r="X53" s="12">
        <f>SUMPRODUCT($I$5:$I51,$X$5:$X51)</f>
        <v>0</v>
      </c>
      <c r="Y53" s="12">
        <f>SUMPRODUCT($I$5:$I51,$Y$5:$Y51)</f>
        <v>14682368.972575199</v>
      </c>
      <c r="Z53" s="12">
        <f>SUMPRODUCT($I$5:$I51,$Z$5:$Z51)</f>
        <v>0</v>
      </c>
      <c r="AA53" s="12">
        <f>SUMPRODUCT($I$5:$I51,$AA$5:$AA51)</f>
        <v>0</v>
      </c>
      <c r="AB53" s="12">
        <f>SUMPRODUCT($I$5:$I51,$AB$5:$AB51)</f>
        <v>14682368.972575199</v>
      </c>
      <c r="AC53" s="12">
        <f>SUMPRODUCT($I$5:$I51,$AC$5:$AC51)</f>
        <v>47785171.070000008</v>
      </c>
      <c r="AD53" s="12">
        <f>SUMPRODUCT($I$5:$I51,$AD$5:$AD51)</f>
        <v>47785171.070000008</v>
      </c>
      <c r="AE53" s="12">
        <f>SUMPRODUCT($I$5:$I51,$AE$5:$AE51)</f>
        <v>0</v>
      </c>
      <c r="AF53" s="12">
        <f>SUMPRODUCT($I$5:$I51,$AF$5:$AF51)</f>
        <v>0</v>
      </c>
      <c r="AG53" s="12">
        <f>SUMPRODUCT($I$5:$I51,$AG$5:$AG51)</f>
        <v>0</v>
      </c>
      <c r="AH53" s="12">
        <f>SUMPRODUCT($I$5:$I51,$AH$5:$AH51)</f>
        <v>2269891.823406769</v>
      </c>
      <c r="AI53" s="12">
        <f>SUMPRODUCT($I$5:$I51,$AI$5:$AI51)</f>
        <v>0</v>
      </c>
      <c r="AJ53" s="12">
        <f ca="1">SUMPRODUCT($I$5:$I51,$AJ$5:$AJ51)</f>
        <v>0</v>
      </c>
      <c r="AK53" s="12">
        <f ca="1">SUMPRODUCT($I$5:$I51,$AK$5:$AK51)</f>
        <v>0</v>
      </c>
      <c r="AL53" s="12">
        <f ca="1">SUMPRODUCT($I$5:$I51,$AL$5:$AL51)</f>
        <v>2269891.823406769</v>
      </c>
      <c r="AM53" s="12">
        <f ca="1">SUMPRODUCT($I$5:$I51,$AM$5:$AM51)</f>
        <v>74224429.213411957</v>
      </c>
    </row>
    <row r="54" spans="1:42" ht="11.25" customHeight="1" x14ac:dyDescent="0.25">
      <c r="K54" s="16" t="s">
        <v>402</v>
      </c>
      <c r="L54" s="12">
        <f>'TR TUSD'!$L$56</f>
        <v>0</v>
      </c>
      <c r="M54" s="12">
        <f>'TR TUSD'!$M$56</f>
        <v>224382.49700997537</v>
      </c>
      <c r="N54" s="12">
        <f>'TR TUSD'!$N$56</f>
        <v>0</v>
      </c>
      <c r="O54" s="12">
        <f>'TR TUSD'!$O$56</f>
        <v>0</v>
      </c>
      <c r="P54" s="12">
        <f>'TR TUSD'!$P$56</f>
        <v>0</v>
      </c>
      <c r="Q54" s="12">
        <f>'TR TUSD'!$Q$56</f>
        <v>7967235.2594800005</v>
      </c>
      <c r="R54" s="12">
        <f>'TR TUSD'!$R$56</f>
        <v>1295379.5909400003</v>
      </c>
      <c r="S54" s="12">
        <f>'TR TUSD'!$S$56</f>
        <v>0</v>
      </c>
      <c r="T54" s="12">
        <f>'TR TUSD'!$T$56</f>
        <v>9486997.3474299759</v>
      </c>
      <c r="U54" s="12">
        <f>'TR TUSD'!$U$56</f>
        <v>0</v>
      </c>
      <c r="V54" s="12">
        <f>'TR TUSD'!$V$56</f>
        <v>0</v>
      </c>
      <c r="W54" s="12">
        <f>'TR TUSD'!$W$56</f>
        <v>0</v>
      </c>
      <c r="X54" s="12">
        <f>'TR TUSD'!$X$56</f>
        <v>0</v>
      </c>
      <c r="Y54" s="12">
        <f>'TR TUSD'!$Y$56</f>
        <v>14682368.972575199</v>
      </c>
      <c r="Z54" s="12">
        <f>'TR TUSD'!$Z$56</f>
        <v>0</v>
      </c>
      <c r="AA54" s="12">
        <f>'TR TUSD'!$AA$56</f>
        <v>0</v>
      </c>
      <c r="AB54" s="12">
        <f>'TR TUSD'!$AB$56</f>
        <v>14682368.972575199</v>
      </c>
      <c r="AC54" s="12">
        <f>'TR TUSD'!$AC$56</f>
        <v>47785171.07</v>
      </c>
      <c r="AD54" s="12">
        <f>'TR TUSD'!$AD$56</f>
        <v>47785171.07</v>
      </c>
      <c r="AE54" s="12">
        <f>'TR TUSD'!$AE$56</f>
        <v>0</v>
      </c>
      <c r="AF54" s="12">
        <f>'TR TUSD'!$AF$56</f>
        <v>0</v>
      </c>
      <c r="AG54" s="12">
        <f>'TR TUSD'!$AG$56</f>
        <v>0</v>
      </c>
      <c r="AH54" s="12">
        <f>'TR TUSD'!$AH$56</f>
        <v>2269891.8234067685</v>
      </c>
      <c r="AI54" s="12">
        <f>'TR TUSD'!$AI$56</f>
        <v>0</v>
      </c>
      <c r="AJ54" s="12">
        <f>'TR TUSD'!$AJ$56</f>
        <v>0</v>
      </c>
      <c r="AK54" s="12">
        <f>'TR TUSD'!$AK$56</f>
        <v>0</v>
      </c>
      <c r="AL54" s="12">
        <f>'TR TUSD'!$AL$56</f>
        <v>2269891.8234067685</v>
      </c>
      <c r="AM54" s="12">
        <f>CUSTOS!$D$29</f>
        <v>74224429.213411942</v>
      </c>
    </row>
    <row r="55" spans="1:42" ht="11.25" customHeight="1" x14ac:dyDescent="0.25">
      <c r="K55" s="16" t="s">
        <v>403</v>
      </c>
      <c r="L55" s="12">
        <f>CUSTOS!$E$2</f>
        <v>0</v>
      </c>
      <c r="M55" s="12">
        <f>CUSTOS!$E$3</f>
        <v>-14709.601146487978</v>
      </c>
      <c r="N55" s="12">
        <f>CUSTOS!$E$4</f>
        <v>0</v>
      </c>
      <c r="O55" s="12">
        <f>CUSTOS!$E$5</f>
        <v>0</v>
      </c>
      <c r="P55" s="12">
        <f>CUSTOS!$E$6</f>
        <v>0</v>
      </c>
      <c r="Q55" s="12">
        <f>CUSTOS!$E$7</f>
        <v>-352322.36415854463</v>
      </c>
      <c r="R55" s="12">
        <f>CUSTOS!$E$8</f>
        <v>-55891.756176992785</v>
      </c>
      <c r="S55" s="12">
        <f>CUSTOS!$E$9</f>
        <v>0</v>
      </c>
      <c r="T55" s="12">
        <f>CUSTOS!$E$10</f>
        <v>-422923.7214820254</v>
      </c>
      <c r="U55" s="12">
        <f>CUSTOS!$E$11</f>
        <v>0</v>
      </c>
      <c r="V55" s="12">
        <f>CUSTOS!$E$12</f>
        <v>0</v>
      </c>
      <c r="W55" s="12">
        <f>CUSTOS!$E$13</f>
        <v>0</v>
      </c>
      <c r="X55" s="12">
        <f>CUSTOS!$E$14</f>
        <v>0</v>
      </c>
      <c r="Y55" s="12">
        <f>CUSTOS!$E$15</f>
        <v>379960.11212711188</v>
      </c>
      <c r="Z55" s="12">
        <f>CUSTOS!$E$16</f>
        <v>0</v>
      </c>
      <c r="AA55" s="12">
        <f>CUSTOS!$E$17</f>
        <v>0</v>
      </c>
      <c r="AB55" s="12">
        <f>CUSTOS!$E$18</f>
        <v>379960.11212711188</v>
      </c>
      <c r="AC55" s="12">
        <f>CUSTOS!$E$19</f>
        <v>-29299244.538198307</v>
      </c>
      <c r="AD55" s="12">
        <f>CUSTOS!$E$20</f>
        <v>-29299244.538198307</v>
      </c>
      <c r="AE55" s="12">
        <f>CUSTOS!$E$21</f>
        <v>0</v>
      </c>
      <c r="AF55" s="12">
        <f>CUSTOS!$E$22</f>
        <v>0</v>
      </c>
      <c r="AG55" s="12">
        <f>CUSTOS!$E$23</f>
        <v>0</v>
      </c>
      <c r="AH55" s="12">
        <f>CUSTOS!$E$24</f>
        <v>162319.00512850611</v>
      </c>
      <c r="AI55" s="12">
        <f>CUSTOS!$E$25</f>
        <v>0</v>
      </c>
      <c r="AJ55" s="12">
        <f>CUSTOS!$E$26</f>
        <v>0</v>
      </c>
      <c r="AK55" s="12">
        <f>CUSTOS!$E$27</f>
        <v>0</v>
      </c>
      <c r="AL55" s="12">
        <f>CUSTOS!$E$28</f>
        <v>162319.00512850611</v>
      </c>
      <c r="AM55" s="12">
        <f>CUSTOS!$E$29</f>
        <v>-29179889.142424714</v>
      </c>
    </row>
    <row r="56" spans="1:42" ht="11.25" customHeight="1" x14ac:dyDescent="0.25">
      <c r="K56" s="16" t="s">
        <v>404</v>
      </c>
      <c r="L56" s="12">
        <f>CUSTOS!$F$2</f>
        <v>0</v>
      </c>
      <c r="M56" s="12">
        <f>CUSTOS!$F$3</f>
        <v>0</v>
      </c>
      <c r="N56" s="12">
        <f>CUSTOS!$F$4</f>
        <v>0</v>
      </c>
      <c r="O56" s="12">
        <f>CUSTOS!$F$5</f>
        <v>0</v>
      </c>
      <c r="P56" s="12">
        <f>CUSTOS!$F$6</f>
        <v>0</v>
      </c>
      <c r="Q56" s="12">
        <f>CUSTOS!$F$7</f>
        <v>0</v>
      </c>
      <c r="R56" s="12">
        <f>CUSTOS!$F$8</f>
        <v>0</v>
      </c>
      <c r="S56" s="12">
        <f>CUSTOS!$F$9</f>
        <v>0</v>
      </c>
      <c r="T56" s="12">
        <f>CUSTOS!$F$10</f>
        <v>0</v>
      </c>
      <c r="U56" s="12">
        <f>CUSTOS!$F$11</f>
        <v>0</v>
      </c>
      <c r="V56" s="12">
        <f>CUSTOS!$F$12</f>
        <v>0</v>
      </c>
      <c r="W56" s="12">
        <f>CUSTOS!$F$13</f>
        <v>0</v>
      </c>
      <c r="X56" s="12">
        <f>CUSTOS!$F$14</f>
        <v>0</v>
      </c>
      <c r="Y56" s="12">
        <f>CUSTOS!$F$15</f>
        <v>0</v>
      </c>
      <c r="Z56" s="12">
        <f>CUSTOS!$F$16</f>
        <v>0</v>
      </c>
      <c r="AA56" s="12">
        <f>CUSTOS!$F$17</f>
        <v>0</v>
      </c>
      <c r="AB56" s="12">
        <f>CUSTOS!$F$18</f>
        <v>0</v>
      </c>
      <c r="AC56" s="12">
        <f>CUSTOS!$F$19</f>
        <v>0</v>
      </c>
      <c r="AD56" s="12">
        <f>CUSTOS!$F$20</f>
        <v>0</v>
      </c>
      <c r="AE56" s="12">
        <f>CUSTOS!$F$21</f>
        <v>0</v>
      </c>
      <c r="AF56" s="12">
        <f>CUSTOS!$F$22</f>
        <v>0</v>
      </c>
      <c r="AG56" s="12">
        <f>CUSTOS!$F$23</f>
        <v>0</v>
      </c>
      <c r="AH56" s="12">
        <f>CUSTOS!$F$24</f>
        <v>0</v>
      </c>
      <c r="AI56" s="12">
        <f>CUSTOS!$F$25</f>
        <v>0</v>
      </c>
      <c r="AJ56" s="12">
        <f>CUSTOS!$F$26</f>
        <v>0</v>
      </c>
      <c r="AK56" s="12">
        <f>CUSTOS!$F$27</f>
        <v>0</v>
      </c>
      <c r="AL56" s="12">
        <f>CUSTOS!$F$28</f>
        <v>0</v>
      </c>
      <c r="AM56" s="12">
        <f>CUSTOS!$F$29</f>
        <v>0</v>
      </c>
    </row>
    <row r="57" spans="1:42" ht="11.25" customHeight="1" x14ac:dyDescent="0.25">
      <c r="K57" s="16" t="s">
        <v>466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f>SUM($L$57:$S$57)</f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f>SUM($U$57:$AA$57)</f>
        <v>0</v>
      </c>
      <c r="AC57" s="12">
        <v>0</v>
      </c>
      <c r="AD57" s="12">
        <f>SUM($AC$57:$AC$57)</f>
        <v>0</v>
      </c>
      <c r="AE57" s="12">
        <v>0</v>
      </c>
      <c r="AF57" s="12">
        <v>0</v>
      </c>
      <c r="AG57" s="12">
        <f>SUM($AE$57:$AF$57)</f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f>SUM($AH$57:$AK$57)</f>
        <v>0</v>
      </c>
      <c r="AM57" s="12">
        <f>SUMIF($L$4:$AL$4,"SUBTOTAL",$L$57:$AL$57)</f>
        <v>0</v>
      </c>
    </row>
    <row r="58" spans="1:42" ht="11.25" customHeight="1" x14ac:dyDescent="0.25">
      <c r="K58" s="16" t="s">
        <v>470</v>
      </c>
      <c r="L58" s="12">
        <f t="shared" ref="L58:R58" si="0">IF((L53-(0))&lt;&gt;0,(L55)/(L53-(0)),0)</f>
        <v>0</v>
      </c>
      <c r="M58" s="12">
        <f t="shared" si="0"/>
        <v>-6.555592054862476E-2</v>
      </c>
      <c r="N58" s="12">
        <f t="shared" ca="1" si="0"/>
        <v>0</v>
      </c>
      <c r="O58" s="12">
        <f t="shared" si="0"/>
        <v>0</v>
      </c>
      <c r="P58" s="12">
        <f t="shared" si="0"/>
        <v>0</v>
      </c>
      <c r="Q58" s="12">
        <f t="shared" si="0"/>
        <v>-4.4221408391239066E-2</v>
      </c>
      <c r="R58" s="12">
        <f t="shared" si="0"/>
        <v>-4.3147010009965174E-2</v>
      </c>
      <c r="S58" s="12">
        <f>IF((R53-(0)&lt;&gt;0),(S55)/(R53-(0)),0)</f>
        <v>0</v>
      </c>
      <c r="T58" s="12"/>
      <c r="U58" s="12">
        <f t="shared" ref="U58:AA58" si="1">IF((U53-(0))&lt;&gt;0,(U55)/(U53-(0)),0)</f>
        <v>0</v>
      </c>
      <c r="V58" s="12">
        <f t="shared" si="1"/>
        <v>0</v>
      </c>
      <c r="W58" s="12">
        <f t="shared" si="1"/>
        <v>0</v>
      </c>
      <c r="X58" s="12">
        <f t="shared" si="1"/>
        <v>0</v>
      </c>
      <c r="Y58" s="12">
        <f t="shared" si="1"/>
        <v>2.5878665277846453E-2</v>
      </c>
      <c r="Z58" s="12">
        <f t="shared" si="1"/>
        <v>0</v>
      </c>
      <c r="AA58" s="12">
        <f t="shared" si="1"/>
        <v>0</v>
      </c>
      <c r="AB58" s="12"/>
      <c r="AC58" s="12">
        <f>IF((AC53-(0))&lt;&gt;0,(AC55)/(AC53-(0)),0)</f>
        <v>-0.61314512184707137</v>
      </c>
      <c r="AD58" s="12"/>
      <c r="AE58" s="12">
        <f ca="1">IF(($AM53-(0))&lt;&gt;0,(AE55)/($AM53-(0)),0)</f>
        <v>0</v>
      </c>
      <c r="AF58" s="12">
        <f ca="1">IF(($AM53-(0))&lt;&gt;0,(AF55)/($AM53-(0)),0)</f>
        <v>0</v>
      </c>
      <c r="AG58" s="12"/>
      <c r="AH58" s="12">
        <f>IF((AH53-(0))&lt;&gt;0,(AH55)/(AH53-(0)),0)</f>
        <v>7.1509577440959052E-2</v>
      </c>
      <c r="AI58" s="12">
        <f>IF((AI53-(0))&lt;&gt;0,(AI55)/(AI53-(0)),0)</f>
        <v>0</v>
      </c>
      <c r="AJ58" s="12">
        <f ca="1">IF((AJ53-(0))&lt;&gt;0,(AJ55)/(AJ53-(0)),0)</f>
        <v>0</v>
      </c>
      <c r="AK58" s="12">
        <f ca="1">IF((AK53-(0))&lt;&gt;0,(AK55)/(AK53-(0)),0)</f>
        <v>0</v>
      </c>
      <c r="AL58" s="12"/>
      <c r="AM58" s="12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58" priority="55" operator="notEqual">
      <formula>$L$54-$L$57</formula>
    </cfRule>
    <cfRule type="cellIs" dxfId="957" priority="56" operator="equal">
      <formula>$L$54-$L$57</formula>
    </cfRule>
  </conditionalFormatting>
  <conditionalFormatting sqref="M53">
    <cfRule type="cellIs" dxfId="956" priority="53" operator="notEqual">
      <formula>$M$54-$M$57</formula>
    </cfRule>
    <cfRule type="cellIs" dxfId="955" priority="54" operator="equal">
      <formula>$M$54-$M$57</formula>
    </cfRule>
  </conditionalFormatting>
  <conditionalFormatting sqref="N53">
    <cfRule type="cellIs" dxfId="954" priority="51" operator="notEqual">
      <formula>$N$54-$N$57</formula>
    </cfRule>
    <cfRule type="cellIs" dxfId="953" priority="52" operator="equal">
      <formula>$N$54-$N$57</formula>
    </cfRule>
  </conditionalFormatting>
  <conditionalFormatting sqref="O53">
    <cfRule type="cellIs" dxfId="952" priority="49" operator="notEqual">
      <formula>$O$54-$O$57</formula>
    </cfRule>
    <cfRule type="cellIs" dxfId="951" priority="50" operator="equal">
      <formula>$O$54-$O$57</formula>
    </cfRule>
  </conditionalFormatting>
  <conditionalFormatting sqref="P53">
    <cfRule type="cellIs" dxfId="950" priority="47" operator="notEqual">
      <formula>$P$54-$P$57</formula>
    </cfRule>
    <cfRule type="cellIs" dxfId="949" priority="48" operator="equal">
      <formula>$P$54-$P$57</formula>
    </cfRule>
  </conditionalFormatting>
  <conditionalFormatting sqref="Q53">
    <cfRule type="cellIs" dxfId="948" priority="45" operator="notEqual">
      <formula>$Q$54-$Q$57</formula>
    </cfRule>
    <cfRule type="cellIs" dxfId="947" priority="46" operator="equal">
      <formula>$Q$54-$Q$57</formula>
    </cfRule>
  </conditionalFormatting>
  <conditionalFormatting sqref="R53">
    <cfRule type="cellIs" dxfId="946" priority="43" operator="notEqual">
      <formula>$R$54-$R$57</formula>
    </cfRule>
    <cfRule type="cellIs" dxfId="945" priority="44" operator="equal">
      <formula>$R$54-$R$57</formula>
    </cfRule>
  </conditionalFormatting>
  <conditionalFormatting sqref="S53">
    <cfRule type="cellIs" dxfId="944" priority="41" operator="notEqual">
      <formula>$S$54-$S$57</formula>
    </cfRule>
    <cfRule type="cellIs" dxfId="943" priority="42" operator="equal">
      <formula>$S$54-$S$57</formula>
    </cfRule>
  </conditionalFormatting>
  <conditionalFormatting sqref="T53">
    <cfRule type="cellIs" dxfId="942" priority="39" operator="notEqual">
      <formula>$T$54-$T$57</formula>
    </cfRule>
    <cfRule type="cellIs" dxfId="941" priority="40" operator="equal">
      <formula>$T$54-$T$57</formula>
    </cfRule>
  </conditionalFormatting>
  <conditionalFormatting sqref="U53">
    <cfRule type="cellIs" dxfId="940" priority="37" operator="notEqual">
      <formula>$U$54-$U$57</formula>
    </cfRule>
    <cfRule type="cellIs" dxfId="939" priority="38" operator="equal">
      <formula>$U$54-$U$57</formula>
    </cfRule>
  </conditionalFormatting>
  <conditionalFormatting sqref="V53">
    <cfRule type="cellIs" dxfId="938" priority="35" operator="notEqual">
      <formula>$V$54-$V$57</formula>
    </cfRule>
    <cfRule type="cellIs" dxfId="937" priority="36" operator="equal">
      <formula>$V$54-$V$57</formula>
    </cfRule>
  </conditionalFormatting>
  <conditionalFormatting sqref="W53">
    <cfRule type="cellIs" dxfId="936" priority="33" operator="notEqual">
      <formula>$W$54-$W$57</formula>
    </cfRule>
    <cfRule type="cellIs" dxfId="935" priority="34" operator="equal">
      <formula>$W$54-$W$57</formula>
    </cfRule>
  </conditionalFormatting>
  <conditionalFormatting sqref="X53">
    <cfRule type="cellIs" dxfId="934" priority="31" operator="notEqual">
      <formula>$X$54-$X$57</formula>
    </cfRule>
    <cfRule type="cellIs" dxfId="933" priority="32" operator="equal">
      <formula>$X$54-$X$57</formula>
    </cfRule>
  </conditionalFormatting>
  <conditionalFormatting sqref="Y53">
    <cfRule type="cellIs" dxfId="932" priority="29" operator="notEqual">
      <formula>$Y$54-$Y$57</formula>
    </cfRule>
    <cfRule type="cellIs" dxfId="931" priority="30" operator="equal">
      <formula>$Y$54-$Y$57</formula>
    </cfRule>
  </conditionalFormatting>
  <conditionalFormatting sqref="Z53">
    <cfRule type="cellIs" dxfId="930" priority="27" operator="notEqual">
      <formula>$Z$54-$Z$57</formula>
    </cfRule>
    <cfRule type="cellIs" dxfId="929" priority="28" operator="equal">
      <formula>$Z$54-$Z$57</formula>
    </cfRule>
  </conditionalFormatting>
  <conditionalFormatting sqref="AA53">
    <cfRule type="cellIs" dxfId="928" priority="25" operator="notEqual">
      <formula>$AA$54-$AA$57</formula>
    </cfRule>
    <cfRule type="cellIs" dxfId="927" priority="26" operator="equal">
      <formula>$AA$54-$AA$57</formula>
    </cfRule>
  </conditionalFormatting>
  <conditionalFormatting sqref="AB53">
    <cfRule type="cellIs" dxfId="926" priority="23" operator="notEqual">
      <formula>$AB$54-$AB$57</formula>
    </cfRule>
    <cfRule type="cellIs" dxfId="925" priority="24" operator="equal">
      <formula>$AB$54-$AB$57</formula>
    </cfRule>
  </conditionalFormatting>
  <conditionalFormatting sqref="AC53">
    <cfRule type="cellIs" dxfId="924" priority="21" operator="notEqual">
      <formula>$AC$54-$AC$57</formula>
    </cfRule>
    <cfRule type="cellIs" dxfId="923" priority="22" operator="equal">
      <formula>$AC$54-$AC$57</formula>
    </cfRule>
  </conditionalFormatting>
  <conditionalFormatting sqref="AD53">
    <cfRule type="cellIs" dxfId="922" priority="19" operator="notEqual">
      <formula>$AD$54-$AD$57</formula>
    </cfRule>
    <cfRule type="cellIs" dxfId="921" priority="20" operator="equal">
      <formula>$AD$54-$AD$57</formula>
    </cfRule>
  </conditionalFormatting>
  <conditionalFormatting sqref="AE53">
    <cfRule type="cellIs" dxfId="920" priority="17" operator="notEqual">
      <formula>$AE$54-$AE$57</formula>
    </cfRule>
    <cfRule type="cellIs" dxfId="919" priority="18" operator="equal">
      <formula>$AE$54-$AE$57</formula>
    </cfRule>
  </conditionalFormatting>
  <conditionalFormatting sqref="AF53">
    <cfRule type="cellIs" dxfId="918" priority="16" operator="equal">
      <formula>$AF$54-$AF$57</formula>
    </cfRule>
  </conditionalFormatting>
  <conditionalFormatting sqref="AF53">
    <cfRule type="cellIs" dxfId="917" priority="15" operator="notEqual">
      <formula>$AF$54-$AF$57</formula>
    </cfRule>
  </conditionalFormatting>
  <conditionalFormatting sqref="AG53">
    <cfRule type="cellIs" dxfId="916" priority="14" operator="equal">
      <formula>$AG$54-$AG$57</formula>
    </cfRule>
  </conditionalFormatting>
  <conditionalFormatting sqref="AG53">
    <cfRule type="cellIs" dxfId="915" priority="13" operator="notEqual">
      <formula>$AG$54-$AG$57</formula>
    </cfRule>
  </conditionalFormatting>
  <conditionalFormatting sqref="AH53">
    <cfRule type="cellIs" dxfId="914" priority="12" operator="equal">
      <formula>$AH$54-$AH$57</formula>
    </cfRule>
  </conditionalFormatting>
  <conditionalFormatting sqref="AH53">
    <cfRule type="cellIs" dxfId="913" priority="11" operator="notEqual">
      <formula>$AH$54-$AH$57</formula>
    </cfRule>
  </conditionalFormatting>
  <conditionalFormatting sqref="AI53">
    <cfRule type="cellIs" dxfId="912" priority="10" operator="equal">
      <formula>$AI$54-$AI$57</formula>
    </cfRule>
  </conditionalFormatting>
  <conditionalFormatting sqref="AI53">
    <cfRule type="cellIs" dxfId="911" priority="9" operator="notEqual">
      <formula>$AI$54-$AI$57</formula>
    </cfRule>
  </conditionalFormatting>
  <conditionalFormatting sqref="AJ53">
    <cfRule type="cellIs" dxfId="910" priority="8" operator="equal">
      <formula>$AJ$54-$AJ$57</formula>
    </cfRule>
  </conditionalFormatting>
  <conditionalFormatting sqref="AJ53">
    <cfRule type="cellIs" dxfId="909" priority="7" operator="notEqual">
      <formula>$AJ$54-$AJ$57</formula>
    </cfRule>
  </conditionalFormatting>
  <conditionalFormatting sqref="AK53">
    <cfRule type="cellIs" dxfId="908" priority="6" operator="equal">
      <formula>$AK$54-$AK$57</formula>
    </cfRule>
  </conditionalFormatting>
  <conditionalFormatting sqref="AK53">
    <cfRule type="cellIs" dxfId="907" priority="5" operator="notEqual">
      <formula>$AK$54-$AK$57</formula>
    </cfRule>
  </conditionalFormatting>
  <conditionalFormatting sqref="AL53">
    <cfRule type="cellIs" dxfId="906" priority="4" operator="equal">
      <formula>$AL$54-$AL$57</formula>
    </cfRule>
  </conditionalFormatting>
  <conditionalFormatting sqref="AL53">
    <cfRule type="cellIs" dxfId="905" priority="3" operator="notEqual">
      <formula>$AL$54-$AL$57</formula>
    </cfRule>
  </conditionalFormatting>
  <conditionalFormatting sqref="AM53">
    <cfRule type="cellIs" dxfId="904" priority="2" operator="equal">
      <formula>$AM$54-$AM$57</formula>
    </cfRule>
  </conditionalFormatting>
  <conditionalFormatting sqref="AM53">
    <cfRule type="cellIs" dxfId="903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3A2B-1663-4572-99DD-B79972A1C06B}">
  <sheetPr codeName="Planilha10"/>
  <dimension ref="A1:AP58"/>
  <sheetViews>
    <sheetView showGridLines="0" topLeftCell="AH40" workbookViewId="0">
      <selection activeCell="AO53" sqref="AO53:AP55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460</v>
      </c>
      <c r="J1" s="100"/>
      <c r="L1" s="104" t="s">
        <v>477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O1" s="20"/>
      <c r="AP1" s="107" t="s">
        <v>462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0"/>
      <c r="L2" s="104" t="s">
        <v>360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O2" s="20"/>
      <c r="AP2" s="108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0"/>
      <c r="L3" s="104" t="s">
        <v>361</v>
      </c>
      <c r="M3" s="104"/>
      <c r="N3" s="104"/>
      <c r="O3" s="104"/>
      <c r="P3" s="104"/>
      <c r="Q3" s="104"/>
      <c r="R3" s="104"/>
      <c r="S3" s="104"/>
      <c r="T3" s="104"/>
      <c r="U3" s="104" t="s">
        <v>370</v>
      </c>
      <c r="V3" s="104"/>
      <c r="W3" s="104"/>
      <c r="X3" s="104"/>
      <c r="Y3" s="104"/>
      <c r="Z3" s="104"/>
      <c r="AA3" s="104"/>
      <c r="AB3" s="104"/>
      <c r="AC3" s="104" t="s">
        <v>378</v>
      </c>
      <c r="AD3" s="104"/>
      <c r="AE3" s="104" t="s">
        <v>380</v>
      </c>
      <c r="AF3" s="104"/>
      <c r="AG3" s="104"/>
      <c r="AH3" s="104" t="s">
        <v>383</v>
      </c>
      <c r="AI3" s="104"/>
      <c r="AJ3" s="104"/>
      <c r="AK3" s="104"/>
      <c r="AL3" s="104"/>
      <c r="AM3" s="104" t="s">
        <v>369</v>
      </c>
      <c r="AO3" s="20"/>
      <c r="AP3" s="108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100"/>
      <c r="L4" s="10" t="s">
        <v>446</v>
      </c>
      <c r="M4" s="10" t="s">
        <v>362</v>
      </c>
      <c r="N4" s="10" t="s">
        <v>363</v>
      </c>
      <c r="O4" s="10" t="s">
        <v>364</v>
      </c>
      <c r="P4" s="10" t="s">
        <v>365</v>
      </c>
      <c r="Q4" s="10" t="s">
        <v>366</v>
      </c>
      <c r="R4" s="10" t="s">
        <v>367</v>
      </c>
      <c r="S4" s="10" t="s">
        <v>368</v>
      </c>
      <c r="T4" s="10" t="s">
        <v>369</v>
      </c>
      <c r="U4" s="10" t="s">
        <v>371</v>
      </c>
      <c r="V4" s="10" t="s">
        <v>372</v>
      </c>
      <c r="W4" s="10" t="s">
        <v>373</v>
      </c>
      <c r="X4" s="10" t="s">
        <v>374</v>
      </c>
      <c r="Y4" s="10" t="s">
        <v>375</v>
      </c>
      <c r="Z4" s="10" t="s">
        <v>376</v>
      </c>
      <c r="AA4" s="10" t="s">
        <v>377</v>
      </c>
      <c r="AB4" s="10" t="s">
        <v>369</v>
      </c>
      <c r="AC4" s="10" t="s">
        <v>379</v>
      </c>
      <c r="AD4" s="10" t="s">
        <v>369</v>
      </c>
      <c r="AE4" s="10" t="s">
        <v>381</v>
      </c>
      <c r="AF4" s="10" t="s">
        <v>382</v>
      </c>
      <c r="AG4" s="10" t="s">
        <v>369</v>
      </c>
      <c r="AH4" s="10" t="s">
        <v>384</v>
      </c>
      <c r="AI4" s="10" t="s">
        <v>385</v>
      </c>
      <c r="AJ4" s="10" t="s">
        <v>386</v>
      </c>
      <c r="AK4" s="10" t="s">
        <v>387</v>
      </c>
      <c r="AL4" s="10" t="s">
        <v>369</v>
      </c>
      <c r="AM4" s="106"/>
      <c r="AO4" s="21" t="s">
        <v>479</v>
      </c>
      <c r="AP4" s="109"/>
    </row>
    <row r="5" spans="1:42" ht="11.25" customHeight="1" x14ac:dyDescent="0.25">
      <c r="A5" s="102" t="s">
        <v>35</v>
      </c>
      <c r="B5" s="102" t="s">
        <v>52</v>
      </c>
      <c r="C5" s="102" t="s">
        <v>25</v>
      </c>
      <c r="D5" s="102" t="s">
        <v>25</v>
      </c>
      <c r="E5" s="102" t="s">
        <v>25</v>
      </c>
      <c r="F5" s="102" t="s">
        <v>25</v>
      </c>
      <c r="G5" s="17" t="s">
        <v>75</v>
      </c>
      <c r="H5" s="17" t="s">
        <v>74</v>
      </c>
      <c r="I5" s="17">
        <f>'MERCADO TUSD'!$U$2</f>
        <v>450</v>
      </c>
      <c r="J5" s="15"/>
      <c r="L5" s="12">
        <f>'TUSD BE'!$L$5*'TUSD BE'!$L$58</f>
        <v>0</v>
      </c>
      <c r="M5" s="12">
        <f>'TUSD BE'!$M$5*'TUSD BE'!$M$58</f>
        <v>0</v>
      </c>
      <c r="N5" s="12">
        <f ca="1">'TUSD BE'!$N$5*'TUSD BE'!$N$58</f>
        <v>0</v>
      </c>
      <c r="O5" s="12">
        <f>'TUSD BE'!$O$5*'TUSD BE'!$O$58</f>
        <v>0</v>
      </c>
      <c r="P5" s="12">
        <f>'TUSD BE'!$P$5*'TUSD BE'!$P$58</f>
        <v>0</v>
      </c>
      <c r="Q5" s="12">
        <f>'TUSD BE'!$Q$5*'TUSD BE'!$Q$58</f>
        <v>0</v>
      </c>
      <c r="R5" s="12">
        <f>'TUSD BE'!$R$5*'TUSD BE'!$R$58</f>
        <v>0</v>
      </c>
      <c r="S5" s="12">
        <f>'TUSD BE'!$R$5*'TUSD BE'!$S$58</f>
        <v>0</v>
      </c>
      <c r="T5" s="12">
        <f ca="1">SUM($L$5:$S$5)</f>
        <v>0</v>
      </c>
      <c r="U5" s="12">
        <f>'TUSD BE'!$U$5*'TUSD BE'!$U$58</f>
        <v>0</v>
      </c>
      <c r="V5" s="12">
        <f>'TUSD BE'!$V$5*'TUSD BE'!$V$58</f>
        <v>0</v>
      </c>
      <c r="W5" s="12">
        <f>'TUSD BE'!$W$5*'TUSD BE'!$W$58</f>
        <v>0</v>
      </c>
      <c r="X5" s="12">
        <f>'TUSD BE'!$X$5*'TUSD BE'!$X$58</f>
        <v>0</v>
      </c>
      <c r="Y5" s="12">
        <f>'TUSD BE'!$Y$5*'TUSD BE'!$Y$58</f>
        <v>0.7972797977772188</v>
      </c>
      <c r="Z5" s="12">
        <f>'TUSD BE'!$Z$5*'TUSD BE'!$Z$58</f>
        <v>0</v>
      </c>
      <c r="AA5" s="12">
        <f>'TUSD BE'!$AA$5*'TUSD BE'!$AA$58</f>
        <v>0</v>
      </c>
      <c r="AB5" s="12">
        <f>SUM($U$5:$AA$5)</f>
        <v>0.7972797977772188</v>
      </c>
      <c r="AC5" s="12">
        <f>'TUSD BE'!$AC$5*'TUSD BE'!$AC$58</f>
        <v>-52.001260369130108</v>
      </c>
      <c r="AD5" s="12">
        <f>SUM($AC$5:$AC$5)</f>
        <v>-52.001260369130108</v>
      </c>
      <c r="AE5" s="12">
        <f ca="1">$AO$5*$AO$55</f>
        <v>0</v>
      </c>
      <c r="AF5" s="12">
        <f ca="1">$AP$5*$AP$55</f>
        <v>0</v>
      </c>
      <c r="AG5" s="12">
        <f ca="1">SUM($AE$5:$AF$5)</f>
        <v>0</v>
      </c>
      <c r="AH5" s="12">
        <f>'TUSD BE'!$AH$5*'TUSD BE'!$AH$58</f>
        <v>0</v>
      </c>
      <c r="AI5" s="12">
        <f>'TUSD BE'!$AI$5*'TUSD BE'!$AI$58</f>
        <v>0</v>
      </c>
      <c r="AJ5" s="12">
        <f ca="1">'TUSD BE'!$AJ$5*'TUSD BE'!$AJ$58</f>
        <v>0</v>
      </c>
      <c r="AK5" s="12">
        <f ca="1">'TUSD BE'!$AK$5*'TUSD BE'!$AK$58</f>
        <v>0</v>
      </c>
      <c r="AL5" s="12">
        <f ca="1">SUM($AH$5:$AK$5)</f>
        <v>0</v>
      </c>
      <c r="AM5" s="12">
        <f ca="1">SUMIF($L$4:$AL$4,"SUBTOTAL",$L$5:$AL$5)</f>
        <v>-51.203980571352886</v>
      </c>
      <c r="AO5" s="20">
        <f ca="1">+'TUSD BE'!$T$5+'TUSD BE'!$AB$5+'TUSD BE'!$AD$5+'TUSD BE'!$AL$5</f>
        <v>115.61907090965127</v>
      </c>
      <c r="AP5" s="20">
        <f ca="1">+'TUSD BE'!$T$5+'TUSD BE'!$AB$5+'TUSD BE'!$AD$5+'TUSD BE'!$AL$5</f>
        <v>115.61907090965127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17" t="s">
        <v>76</v>
      </c>
      <c r="H6" s="17" t="s">
        <v>74</v>
      </c>
      <c r="I6" s="17">
        <f>'MERCADO TUSD'!$U$3</f>
        <v>953</v>
      </c>
      <c r="J6" s="15"/>
      <c r="L6" s="12">
        <f>'TUSD BE'!$L$6*'TUSD BE'!$L$58</f>
        <v>0</v>
      </c>
      <c r="M6" s="12">
        <f>'TUSD BE'!$M$6*'TUSD BE'!$M$58</f>
        <v>0</v>
      </c>
      <c r="N6" s="12">
        <f ca="1">'TUSD BE'!$N$6*'TUSD BE'!$N$58</f>
        <v>0</v>
      </c>
      <c r="O6" s="12">
        <f>'TUSD BE'!$O$6*'TUSD BE'!$O$58</f>
        <v>0</v>
      </c>
      <c r="P6" s="12">
        <f>'TUSD BE'!$P$6*'TUSD BE'!$P$58</f>
        <v>0</v>
      </c>
      <c r="Q6" s="12">
        <f>'TUSD BE'!$Q$6*'TUSD BE'!$Q$58</f>
        <v>0</v>
      </c>
      <c r="R6" s="12">
        <f>'TUSD BE'!$R$6*'TUSD BE'!$R$58</f>
        <v>0</v>
      </c>
      <c r="S6" s="12">
        <f>'TUSD BE'!$R$6*'TUSD BE'!$S$58</f>
        <v>0</v>
      </c>
      <c r="T6" s="12">
        <f ca="1">SUM($L$6:$S$6)</f>
        <v>0</v>
      </c>
      <c r="U6" s="12">
        <f>'TUSD BE'!$U$6*'TUSD BE'!$U$58</f>
        <v>0</v>
      </c>
      <c r="V6" s="12">
        <f>'TUSD BE'!$V$6*'TUSD BE'!$V$58</f>
        <v>0</v>
      </c>
      <c r="W6" s="12">
        <f>'TUSD BE'!$W$6*'TUSD BE'!$W$58</f>
        <v>0</v>
      </c>
      <c r="X6" s="12">
        <f>'TUSD BE'!$X$6*'TUSD BE'!$X$58</f>
        <v>0</v>
      </c>
      <c r="Y6" s="12">
        <f>'TUSD BE'!$Y$6*'TUSD BE'!$Y$58</f>
        <v>0.80860020058541471</v>
      </c>
      <c r="Z6" s="12">
        <f>'TUSD BE'!$Z$6*'TUSD BE'!$Z$58</f>
        <v>0</v>
      </c>
      <c r="AA6" s="12">
        <f>'TUSD BE'!$AA$6*'TUSD BE'!$AA$58</f>
        <v>0</v>
      </c>
      <c r="AB6" s="12">
        <f>SUM($U$6:$AA$6)</f>
        <v>0.80860020058541471</v>
      </c>
      <c r="AC6" s="12">
        <f>'TUSD BE'!$AC$6*'TUSD BE'!$AC$58</f>
        <v>-30.886040176276396</v>
      </c>
      <c r="AD6" s="12">
        <f>SUM($AC$6:$AC$6)</f>
        <v>-30.886040176276396</v>
      </c>
      <c r="AE6" s="12">
        <f ca="1">$AO$6*$AO$55</f>
        <v>0</v>
      </c>
      <c r="AF6" s="12">
        <f ca="1">$AP$6*$AP$55</f>
        <v>0</v>
      </c>
      <c r="AG6" s="12">
        <f ca="1">SUM($AE$6:$AF$6)</f>
        <v>0</v>
      </c>
      <c r="AH6" s="12">
        <f>'TUSD BE'!$AH$6*'TUSD BE'!$AH$58</f>
        <v>0</v>
      </c>
      <c r="AI6" s="12">
        <f>'TUSD BE'!$AI$6*'TUSD BE'!$AI$58</f>
        <v>0</v>
      </c>
      <c r="AJ6" s="12">
        <f ca="1">'TUSD BE'!$AJ$6*'TUSD BE'!$AJ$58</f>
        <v>0</v>
      </c>
      <c r="AK6" s="12">
        <f ca="1">'TUSD BE'!$AK$6*'TUSD BE'!$AK$58</f>
        <v>0</v>
      </c>
      <c r="AL6" s="12">
        <f ca="1">SUM($AH$6:$AK$6)</f>
        <v>0</v>
      </c>
      <c r="AM6" s="12">
        <f ca="1">SUMIF($L$4:$AL$4,"SUBTOTAL",$L$6:$AL$6)</f>
        <v>-30.077439975690982</v>
      </c>
      <c r="AO6" s="20">
        <f ca="1">+'TUSD BE'!$T$6+'TUSD BE'!$AB$6+'TUSD BE'!$AD$6+'TUSD BE'!$AL$6</f>
        <v>81.618955255450075</v>
      </c>
      <c r="AP6" s="20">
        <f ca="1">+'TUSD BE'!$T$6+'TUSD BE'!$AB$6+'TUSD BE'!$AD$6+'TUSD BE'!$AL$6</f>
        <v>81.618955255450075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17" t="s">
        <v>77</v>
      </c>
      <c r="H7" s="17" t="s">
        <v>71</v>
      </c>
      <c r="I7" s="17">
        <f>'MERCADO TUSD'!$U$4</f>
        <v>260.58600000000001</v>
      </c>
      <c r="J7" s="15"/>
      <c r="L7" s="12">
        <f>'TUSD BE'!$L$7*'TUSD BE'!$L$58</f>
        <v>0</v>
      </c>
      <c r="M7" s="12">
        <f>'TUSD BE'!$M$7*'TUSD BE'!$M$58</f>
        <v>-0.14718347095525469</v>
      </c>
      <c r="N7" s="12">
        <f ca="1">'TUSD BE'!$N$7*'TUSD BE'!$N$58</f>
        <v>0</v>
      </c>
      <c r="O7" s="12">
        <f>'TUSD BE'!$O$7*'TUSD BE'!$O$58</f>
        <v>0</v>
      </c>
      <c r="P7" s="12">
        <f>'TUSD BE'!$P$7*'TUSD BE'!$P$58</f>
        <v>0</v>
      </c>
      <c r="Q7" s="12">
        <f>'TUSD BE'!$Q$7*'TUSD BE'!$Q$58</f>
        <v>-3.4021400644002959</v>
      </c>
      <c r="R7" s="12">
        <f>'TUSD BE'!$R$7*'TUSD BE'!$R$58</f>
        <v>-0.62450527845486925</v>
      </c>
      <c r="S7" s="12">
        <f>'TUSD BE'!$R$7*'TUSD BE'!$S$58</f>
        <v>0</v>
      </c>
      <c r="T7" s="12">
        <f ca="1">SUM($L$7:$S$7)</f>
        <v>-4.1738288138104203</v>
      </c>
      <c r="U7" s="12">
        <f>'TUSD BE'!$U$7*'TUSD BE'!$U$58</f>
        <v>0</v>
      </c>
      <c r="V7" s="12">
        <f>'TUSD BE'!$V$7*'TUSD BE'!$V$58</f>
        <v>0</v>
      </c>
      <c r="W7" s="12">
        <f>'TUSD BE'!$W$7*'TUSD BE'!$W$58</f>
        <v>0</v>
      </c>
      <c r="X7" s="12">
        <f>'TUSD BE'!$X$7*'TUSD BE'!$X$58</f>
        <v>0</v>
      </c>
      <c r="Y7" s="12">
        <f>'TUSD BE'!$Y$7*'TUSD BE'!$Y$58</f>
        <v>0</v>
      </c>
      <c r="Z7" s="12">
        <f>'TUSD BE'!$Z$7*'TUSD BE'!$Z$58</f>
        <v>0</v>
      </c>
      <c r="AA7" s="12">
        <f>'TUSD BE'!$AA$7*'TUSD BE'!$AA$58</f>
        <v>0</v>
      </c>
      <c r="AB7" s="12">
        <f>SUM($U$7:$AA$7)</f>
        <v>0</v>
      </c>
      <c r="AC7" s="12">
        <f>'TUSD BE'!$AC$7*'TUSD BE'!$AC$58</f>
        <v>0</v>
      </c>
      <c r="AD7" s="12">
        <f>SUM($AC$7:$AC$7)</f>
        <v>0</v>
      </c>
      <c r="AE7" s="12">
        <f ca="1">$AO$7*$AO$55</f>
        <v>0</v>
      </c>
      <c r="AF7" s="12">
        <f ca="1">$AP$7*$AP$55</f>
        <v>0</v>
      </c>
      <c r="AG7" s="12">
        <f ca="1">SUM($AE$7:$AF$7)</f>
        <v>0</v>
      </c>
      <c r="AH7" s="12">
        <f>'TUSD BE'!$AH$7*'TUSD BE'!$AH$58</f>
        <v>0.8833955384545662</v>
      </c>
      <c r="AI7" s="12">
        <f>'TUSD BE'!$AI$7*'TUSD BE'!$AI$58</f>
        <v>0</v>
      </c>
      <c r="AJ7" s="12">
        <f ca="1">'TUSD BE'!$AJ$7*'TUSD BE'!$AJ$58</f>
        <v>0</v>
      </c>
      <c r="AK7" s="12">
        <f ca="1">'TUSD BE'!$AK$7*'TUSD BE'!$AK$58</f>
        <v>0</v>
      </c>
      <c r="AL7" s="12">
        <f ca="1">SUM($AH$7:$AK$7)</f>
        <v>0.8833955384545662</v>
      </c>
      <c r="AM7" s="12">
        <f ca="1">SUMIF($L$4:$AL$4,"SUBTOTAL",$L$7:$AL$7)</f>
        <v>-3.2904332753558538</v>
      </c>
      <c r="AO7" s="20">
        <f ca="1">+'TUSD BE'!$T$7+'TUSD BE'!$AB$7+'TUSD BE'!$AD$7+'TUSD BE'!$AL$7</f>
        <v>106.0068127281037</v>
      </c>
      <c r="AP7" s="20">
        <f ca="1">+'TUSD BE'!$T$7+'TUSD BE'!$AB$7+'TUSD BE'!$AD$7+'TUSD BE'!$AL$7</f>
        <v>106.0068127281037</v>
      </c>
    </row>
    <row r="8" spans="1:42" ht="11.25" customHeight="1" x14ac:dyDescent="0.25">
      <c r="A8" s="102"/>
      <c r="B8" s="102"/>
      <c r="C8" s="102"/>
      <c r="D8" s="102"/>
      <c r="E8" s="18" t="s">
        <v>78</v>
      </c>
      <c r="F8" s="18" t="s">
        <v>25</v>
      </c>
      <c r="G8" s="17" t="s">
        <v>77</v>
      </c>
      <c r="H8" s="17" t="s">
        <v>71</v>
      </c>
      <c r="I8" s="17">
        <f>'MERCADO TUSD'!$U$5</f>
        <v>0</v>
      </c>
      <c r="J8" s="15"/>
      <c r="L8" s="12">
        <f>'TUSD BE'!$L$8*'TUSD BE'!$L$58</f>
        <v>0</v>
      </c>
      <c r="M8" s="12">
        <f>'TUSD BE'!$M$8*'TUSD BE'!$M$58</f>
        <v>-0.14718347095525469</v>
      </c>
      <c r="N8" s="12">
        <f ca="1">'TUSD BE'!$N$8*'TUSD BE'!$N$58</f>
        <v>0</v>
      </c>
      <c r="O8" s="12">
        <f>'TUSD BE'!$O$8*'TUSD BE'!$O$58</f>
        <v>0</v>
      </c>
      <c r="P8" s="12">
        <f>'TUSD BE'!$P$8*'TUSD BE'!$P$58</f>
        <v>0</v>
      </c>
      <c r="Q8" s="12">
        <f>'TUSD BE'!$Q$8*'TUSD BE'!$Q$58</f>
        <v>0</v>
      </c>
      <c r="R8" s="12">
        <f>'TUSD BE'!$R$8*'TUSD BE'!$R$58</f>
        <v>0</v>
      </c>
      <c r="S8" s="12">
        <f>'TUSD BE'!$R$8*'TUSD BE'!$S$58</f>
        <v>0</v>
      </c>
      <c r="T8" s="12">
        <f ca="1">SUM($L$8:$S$8)</f>
        <v>-0.14718347095525469</v>
      </c>
      <c r="U8" s="12">
        <f>'TUSD BE'!$U$8*'TUSD BE'!$U$58</f>
        <v>0</v>
      </c>
      <c r="V8" s="12">
        <f>'TUSD BE'!$V$8*'TUSD BE'!$V$58</f>
        <v>0</v>
      </c>
      <c r="W8" s="12">
        <f>'TUSD BE'!$W$8*'TUSD BE'!$W$58</f>
        <v>0</v>
      </c>
      <c r="X8" s="12">
        <f>'TUSD BE'!$X$8*'TUSD BE'!$X$58</f>
        <v>0</v>
      </c>
      <c r="Y8" s="12">
        <f>'TUSD BE'!$Y$8*'TUSD BE'!$Y$58</f>
        <v>0</v>
      </c>
      <c r="Z8" s="12">
        <f>'TUSD BE'!$Z$8*'TUSD BE'!$Z$58</f>
        <v>0</v>
      </c>
      <c r="AA8" s="12">
        <f>'TUSD BE'!$AA$8*'TUSD BE'!$AA$58</f>
        <v>0</v>
      </c>
      <c r="AB8" s="12">
        <f>SUM($U$8:$AA$8)</f>
        <v>0</v>
      </c>
      <c r="AC8" s="12">
        <f>'TUSD BE'!$AC$8*'TUSD BE'!$AC$58</f>
        <v>0</v>
      </c>
      <c r="AD8" s="12">
        <f>SUM($AC$8:$AC$8)</f>
        <v>0</v>
      </c>
      <c r="AE8" s="12">
        <f ca="1">$AO$8*$AO$55</f>
        <v>0</v>
      </c>
      <c r="AF8" s="12">
        <f ca="1">$AP$8*$AP$55</f>
        <v>0</v>
      </c>
      <c r="AG8" s="12">
        <f ca="1">SUM($AE$8:$AF$8)</f>
        <v>0</v>
      </c>
      <c r="AH8" s="12">
        <f>'TUSD BE'!$AH$8*'TUSD BE'!$AH$58</f>
        <v>0.8833955384545662</v>
      </c>
      <c r="AI8" s="12">
        <f>'TUSD BE'!$AI$8*'TUSD BE'!$AI$58</f>
        <v>0</v>
      </c>
      <c r="AJ8" s="12">
        <f ca="1">'TUSD BE'!$AJ$8*'TUSD BE'!$AJ$58</f>
        <v>0</v>
      </c>
      <c r="AK8" s="12">
        <f ca="1">'TUSD BE'!$AK$8*'TUSD BE'!$AK$58</f>
        <v>0</v>
      </c>
      <c r="AL8" s="12">
        <f ca="1">SUM($AH$8:$AK$8)</f>
        <v>0.8833955384545662</v>
      </c>
      <c r="AM8" s="12">
        <f ca="1">SUMIF($L$4:$AL$4,"SUBTOTAL",$L$8:$AL$8)</f>
        <v>0.73621206749931156</v>
      </c>
      <c r="AO8" s="20">
        <f ca="1">+'TUSD BE'!$T$8+'TUSD BE'!$AB$8+'TUSD BE'!$AD$8+'TUSD BE'!$AL$8</f>
        <v>14.598686688719848</v>
      </c>
      <c r="AP8" s="20">
        <f ca="1">+'TUSD BE'!$T$8+'TUSD BE'!$AB$8+'TUSD BE'!$AD$8+'TUSD BE'!$AL$8</f>
        <v>14.598686688719848</v>
      </c>
    </row>
    <row r="9" spans="1:42" ht="11.25" customHeight="1" x14ac:dyDescent="0.25">
      <c r="A9" s="102"/>
      <c r="B9" s="18" t="s">
        <v>79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74</v>
      </c>
      <c r="I9" s="17">
        <f>'MERCADO TUSD'!$U$6</f>
        <v>0</v>
      </c>
      <c r="J9" s="15"/>
      <c r="L9" s="12">
        <f>'TUSD BE'!$L$9*'TUSD BE'!$L$58</f>
        <v>0</v>
      </c>
      <c r="M9" s="12">
        <f>'TUSD BE'!$M$9*'TUSD BE'!$M$58</f>
        <v>-1.4441983981725651E-3</v>
      </c>
      <c r="N9" s="12">
        <f ca="1">'TUSD BE'!$N$9*'TUSD BE'!$N$58</f>
        <v>0</v>
      </c>
      <c r="O9" s="12">
        <f>'TUSD BE'!$O$9*'TUSD BE'!$O$58</f>
        <v>0</v>
      </c>
      <c r="P9" s="12">
        <f>'TUSD BE'!$P$9*'TUSD BE'!$P$58</f>
        <v>0</v>
      </c>
      <c r="Q9" s="12">
        <f>'TUSD BE'!$Q$9*'TUSD BE'!$Q$58</f>
        <v>0</v>
      </c>
      <c r="R9" s="12">
        <f>'TUSD BE'!$R$9*'TUSD BE'!$R$58</f>
        <v>0</v>
      </c>
      <c r="S9" s="12">
        <f>'TUSD BE'!$R$9*'TUSD BE'!$S$58</f>
        <v>0</v>
      </c>
      <c r="T9" s="12">
        <f ca="1">SUM($L$9:$S$9)</f>
        <v>-1.4441983981725651E-3</v>
      </c>
      <c r="U9" s="12">
        <f>'TUSD BE'!$U$9*'TUSD BE'!$U$58</f>
        <v>0</v>
      </c>
      <c r="V9" s="12">
        <f>'TUSD BE'!$V$9*'TUSD BE'!$V$58</f>
        <v>0</v>
      </c>
      <c r="W9" s="12">
        <f>'TUSD BE'!$W$9*'TUSD BE'!$W$58</f>
        <v>0</v>
      </c>
      <c r="X9" s="12">
        <f>'TUSD BE'!$X$9*'TUSD BE'!$X$58</f>
        <v>0</v>
      </c>
      <c r="Y9" s="12">
        <f>'TUSD BE'!$Y$9*'TUSD BE'!$Y$58</f>
        <v>0</v>
      </c>
      <c r="Z9" s="12">
        <f>'TUSD BE'!$Z$9*'TUSD BE'!$Z$58</f>
        <v>0</v>
      </c>
      <c r="AA9" s="12">
        <f>'TUSD BE'!$AA$9*'TUSD BE'!$AA$58</f>
        <v>0</v>
      </c>
      <c r="AB9" s="12">
        <f>SUM($U$9:$AA$9)</f>
        <v>0</v>
      </c>
      <c r="AC9" s="12">
        <f>'TUSD BE'!$AC$9*'TUSD BE'!$AC$58</f>
        <v>-12.109639862273966</v>
      </c>
      <c r="AD9" s="12">
        <f>SUM($AC$9:$AC$9)</f>
        <v>-12.109639862273966</v>
      </c>
      <c r="AE9" s="12">
        <f ca="1">$AO$9*$AO$55</f>
        <v>0</v>
      </c>
      <c r="AF9" s="12">
        <f ca="1">$AP$9*$AP$55</f>
        <v>0</v>
      </c>
      <c r="AG9" s="12">
        <f ca="1">SUM($AE$9:$AF$9)</f>
        <v>0</v>
      </c>
      <c r="AH9" s="12">
        <f>'TUSD BE'!$AH$9*'TUSD BE'!$AH$58</f>
        <v>0</v>
      </c>
      <c r="AI9" s="12">
        <f>'TUSD BE'!$AI$9*'TUSD BE'!$AI$58</f>
        <v>0</v>
      </c>
      <c r="AJ9" s="12">
        <f ca="1">'TUSD BE'!$AJ$9*'TUSD BE'!$AJ$58</f>
        <v>0</v>
      </c>
      <c r="AK9" s="12">
        <f ca="1">'TUSD BE'!$AK$9*'TUSD BE'!$AK$58</f>
        <v>0</v>
      </c>
      <c r="AL9" s="12">
        <f ca="1">SUM($AH$9:$AK$9)</f>
        <v>0</v>
      </c>
      <c r="AM9" s="12">
        <f ca="1">SUMIF($L$4:$AL$4,"SUBTOTAL",$L$9:$AL$9)</f>
        <v>-12.111084060672137</v>
      </c>
      <c r="AO9" s="20">
        <f ca="1">+'TUSD BE'!$T$9+'TUSD BE'!$AB$9+'TUSD BE'!$AD$9+'TUSD BE'!$AL$9</f>
        <v>19.772068685016364</v>
      </c>
      <c r="AP9" s="20">
        <f ca="1">+'TUSD BE'!$T$9+'TUSD BE'!$AB$9+'TUSD BE'!$AD$9+'TUSD BE'!$AL$9</f>
        <v>19.772068685016364</v>
      </c>
    </row>
    <row r="10" spans="1:42" ht="11.25" customHeight="1" x14ac:dyDescent="0.25">
      <c r="A10" s="102"/>
      <c r="B10" s="102" t="s">
        <v>36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17" t="s">
        <v>9</v>
      </c>
      <c r="H10" s="17" t="s">
        <v>74</v>
      </c>
      <c r="I10" s="17">
        <f>'MERCADO TUSD'!$U$7</f>
        <v>109365</v>
      </c>
      <c r="J10" s="15"/>
      <c r="L10" s="12">
        <f>'TUSD BE'!$L$10*'TUSD BE'!$L$58</f>
        <v>0</v>
      </c>
      <c r="M10" s="12">
        <f>'TUSD BE'!$M$10*'TUSD BE'!$M$58</f>
        <v>0</v>
      </c>
      <c r="N10" s="12">
        <f ca="1">'TUSD BE'!$N$10*'TUSD BE'!$N$58</f>
        <v>0</v>
      </c>
      <c r="O10" s="12">
        <f>'TUSD BE'!$O$10*'TUSD BE'!$O$58</f>
        <v>0</v>
      </c>
      <c r="P10" s="12">
        <f>'TUSD BE'!$P$10*'TUSD BE'!$P$58</f>
        <v>0</v>
      </c>
      <c r="Q10" s="12">
        <f>'TUSD BE'!$Q$10*'TUSD BE'!$Q$58</f>
        <v>0</v>
      </c>
      <c r="R10" s="12">
        <f>'TUSD BE'!$R$10*'TUSD BE'!$R$58</f>
        <v>0</v>
      </c>
      <c r="S10" s="12">
        <f>'TUSD BE'!$R$10*'TUSD BE'!$S$58</f>
        <v>0</v>
      </c>
      <c r="T10" s="12">
        <f ca="1">SUM($L$10:$S$10)</f>
        <v>0</v>
      </c>
      <c r="U10" s="12">
        <f>'TUSD BE'!$U$10*'TUSD BE'!$U$58</f>
        <v>0</v>
      </c>
      <c r="V10" s="12">
        <f>'TUSD BE'!$V$10*'TUSD BE'!$V$58</f>
        <v>0</v>
      </c>
      <c r="W10" s="12">
        <f>'TUSD BE'!$W$10*'TUSD BE'!$W$58</f>
        <v>0</v>
      </c>
      <c r="X10" s="12">
        <f>'TUSD BE'!$X$10*'TUSD BE'!$X$58</f>
        <v>0</v>
      </c>
      <c r="Y10" s="12">
        <f>'TUSD BE'!$Y$10*'TUSD BE'!$Y$58</f>
        <v>0.80860020058541471</v>
      </c>
      <c r="Z10" s="12">
        <f>'TUSD BE'!$Z$10*'TUSD BE'!$Z$58</f>
        <v>0</v>
      </c>
      <c r="AA10" s="12">
        <f>'TUSD BE'!$AA$10*'TUSD BE'!$AA$58</f>
        <v>0</v>
      </c>
      <c r="AB10" s="12">
        <f>SUM($U$10:$AA$10)</f>
        <v>0.80860020058541471</v>
      </c>
      <c r="AC10" s="12">
        <f>'TUSD BE'!$AC$10*'TUSD BE'!$AC$58</f>
        <v>-30.886040176276396</v>
      </c>
      <c r="AD10" s="12">
        <f>SUM($AC$10:$AC$10)</f>
        <v>-30.886040176276396</v>
      </c>
      <c r="AE10" s="12">
        <f ca="1">$AO$10*$AO$55</f>
        <v>0</v>
      </c>
      <c r="AF10" s="12">
        <f ca="1">$AP$10*$AP$55</f>
        <v>0</v>
      </c>
      <c r="AG10" s="12">
        <f ca="1">SUM($AE$10:$AF$10)</f>
        <v>0</v>
      </c>
      <c r="AH10" s="12">
        <f>'TUSD BE'!$AH$10*'TUSD BE'!$AH$58</f>
        <v>0</v>
      </c>
      <c r="AI10" s="12">
        <f>'TUSD BE'!$AI$10*'TUSD BE'!$AI$58</f>
        <v>0</v>
      </c>
      <c r="AJ10" s="12">
        <f ca="1">'TUSD BE'!$AJ$10*'TUSD BE'!$AJ$58</f>
        <v>0</v>
      </c>
      <c r="AK10" s="12">
        <f ca="1">'TUSD BE'!$AK$10*'TUSD BE'!$AK$58</f>
        <v>0</v>
      </c>
      <c r="AL10" s="12">
        <f ca="1">SUM($AH$10:$AK$10)</f>
        <v>0</v>
      </c>
      <c r="AM10" s="12">
        <f ca="1">SUMIF($L$4:$AL$4,"SUBTOTAL",$L$10:$AL$10)</f>
        <v>-30.077439975690982</v>
      </c>
      <c r="AO10" s="20">
        <f ca="1">+'TUSD BE'!$T$10+'TUSD BE'!$AB$10+'TUSD BE'!$AD$10+'TUSD BE'!$AL$10</f>
        <v>81.618955255450075</v>
      </c>
      <c r="AP10" s="20">
        <f ca="1">+'TUSD BE'!$T$10+'TUSD BE'!$AB$10+'TUSD BE'!$AD$10+'TUSD BE'!$AL$10</f>
        <v>81.618955255450075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17" t="s">
        <v>72</v>
      </c>
      <c r="H11" s="17" t="s">
        <v>71</v>
      </c>
      <c r="I11" s="17">
        <f>'MERCADO TUSD'!$U$8</f>
        <v>931.37599999999986</v>
      </c>
      <c r="J11" s="15"/>
      <c r="L11" s="12">
        <f>'TUSD BE'!$L$11*'TUSD BE'!$L$58</f>
        <v>0</v>
      </c>
      <c r="M11" s="12">
        <f>'TUSD BE'!$M$11*'TUSD BE'!$M$58</f>
        <v>-0.14718347095525469</v>
      </c>
      <c r="N11" s="12">
        <f ca="1">'TUSD BE'!$N$11*'TUSD BE'!$N$58</f>
        <v>0</v>
      </c>
      <c r="O11" s="12">
        <f>'TUSD BE'!$O$11*'TUSD BE'!$O$58</f>
        <v>0</v>
      </c>
      <c r="P11" s="12">
        <f>'TUSD BE'!$P$11*'TUSD BE'!$P$58</f>
        <v>0</v>
      </c>
      <c r="Q11" s="12">
        <f>'TUSD BE'!$Q$11*'TUSD BE'!$Q$58</f>
        <v>-3.4021400644002959</v>
      </c>
      <c r="R11" s="12">
        <f>'TUSD BE'!$R$11*'TUSD BE'!$R$58</f>
        <v>-0.62450527845486925</v>
      </c>
      <c r="S11" s="12">
        <f>'TUSD BE'!$R$11*'TUSD BE'!$S$58</f>
        <v>0</v>
      </c>
      <c r="T11" s="12">
        <f ca="1">SUM($L$11:$S$11)</f>
        <v>-4.1738288138104203</v>
      </c>
      <c r="U11" s="12">
        <f>'TUSD BE'!$U$11*'TUSD BE'!$U$58</f>
        <v>0</v>
      </c>
      <c r="V11" s="12">
        <f>'TUSD BE'!$V$11*'TUSD BE'!$V$58</f>
        <v>0</v>
      </c>
      <c r="W11" s="12">
        <f>'TUSD BE'!$W$11*'TUSD BE'!$W$58</f>
        <v>0</v>
      </c>
      <c r="X11" s="12">
        <f>'TUSD BE'!$X$11*'TUSD BE'!$X$58</f>
        <v>0</v>
      </c>
      <c r="Y11" s="12">
        <f>'TUSD BE'!$Y$11*'TUSD BE'!$Y$58</f>
        <v>19.1929343610954</v>
      </c>
      <c r="Z11" s="12">
        <f>'TUSD BE'!$Z$11*'TUSD BE'!$Z$58</f>
        <v>0</v>
      </c>
      <c r="AA11" s="12">
        <f>'TUSD BE'!$AA$11*'TUSD BE'!$AA$58</f>
        <v>0</v>
      </c>
      <c r="AB11" s="12">
        <f>SUM($U$11:$AA$11)</f>
        <v>19.1929343610954</v>
      </c>
      <c r="AC11" s="12">
        <f>'TUSD BE'!$AC$11*'TUSD BE'!$AC$58</f>
        <v>-1250.6285997397933</v>
      </c>
      <c r="AD11" s="12">
        <f>SUM($AC$11:$AC$11)</f>
        <v>-1250.6285997397933</v>
      </c>
      <c r="AE11" s="12">
        <f ca="1">$AO$11*$AO$55</f>
        <v>0</v>
      </c>
      <c r="AF11" s="12">
        <f ca="1">$AP$11*$AP$55</f>
        <v>0</v>
      </c>
      <c r="AG11" s="12">
        <f ca="1">SUM($AE$11:$AF$11)</f>
        <v>0</v>
      </c>
      <c r="AH11" s="12">
        <f>'TUSD BE'!$AH$11*'TUSD BE'!$AH$58</f>
        <v>0.8833955384545662</v>
      </c>
      <c r="AI11" s="12">
        <f>'TUSD BE'!$AI$11*'TUSD BE'!$AI$58</f>
        <v>0</v>
      </c>
      <c r="AJ11" s="12">
        <f ca="1">'TUSD BE'!$AJ$11*'TUSD BE'!$AJ$58</f>
        <v>0</v>
      </c>
      <c r="AK11" s="12">
        <f ca="1">'TUSD BE'!$AK$11*'TUSD BE'!$AK$58</f>
        <v>0</v>
      </c>
      <c r="AL11" s="12">
        <f ca="1">SUM($AH$11:$AK$11)</f>
        <v>0.8833955384545662</v>
      </c>
      <c r="AM11" s="12">
        <f ca="1">SUMIF($L$4:$AL$4,"SUBTOTAL",$L$11:$AL$11)</f>
        <v>-1234.7260986540539</v>
      </c>
      <c r="AO11" s="20">
        <f ca="1">+'TUSD BE'!$T$11+'TUSD BE'!$AB$11+'TUSD BE'!$AD$11+'TUSD BE'!$AL$11</f>
        <v>2887.3519559065489</v>
      </c>
      <c r="AP11" s="20">
        <f ca="1">+'TUSD BE'!$T$11+'TUSD BE'!$AB$11+'TUSD BE'!$AD$11+'TUSD BE'!$AL$11</f>
        <v>2887.3519559065489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17" t="s">
        <v>73</v>
      </c>
      <c r="H12" s="17" t="s">
        <v>71</v>
      </c>
      <c r="I12" s="17">
        <f>'MERCADO TUSD'!$U$9</f>
        <v>14483.396000000004</v>
      </c>
      <c r="J12" s="15"/>
      <c r="L12" s="12">
        <f>'TUSD BE'!$L$12*'TUSD BE'!$L$58</f>
        <v>0</v>
      </c>
      <c r="M12" s="12">
        <f>'TUSD BE'!$M$12*'TUSD BE'!$M$58</f>
        <v>-0.14718347095525469</v>
      </c>
      <c r="N12" s="12">
        <f ca="1">'TUSD BE'!$N$12*'TUSD BE'!$N$58</f>
        <v>0</v>
      </c>
      <c r="O12" s="12">
        <f>'TUSD BE'!$O$12*'TUSD BE'!$O$58</f>
        <v>0</v>
      </c>
      <c r="P12" s="12">
        <f>'TUSD BE'!$P$12*'TUSD BE'!$P$58</f>
        <v>0</v>
      </c>
      <c r="Q12" s="12">
        <f>'TUSD BE'!$Q$12*'TUSD BE'!$Q$58</f>
        <v>-3.4021400644002959</v>
      </c>
      <c r="R12" s="12">
        <f>'TUSD BE'!$R$12*'TUSD BE'!$R$58</f>
        <v>-0.62450527845486925</v>
      </c>
      <c r="S12" s="12">
        <f>'TUSD BE'!$R$12*'TUSD BE'!$S$58</f>
        <v>0</v>
      </c>
      <c r="T12" s="12">
        <f ca="1">SUM($L$12:$S$12)</f>
        <v>-4.1738288138104203</v>
      </c>
      <c r="U12" s="12">
        <f>'TUSD BE'!$U$12*'TUSD BE'!$U$58</f>
        <v>0</v>
      </c>
      <c r="V12" s="12">
        <f>'TUSD BE'!$V$12*'TUSD BE'!$V$58</f>
        <v>0</v>
      </c>
      <c r="W12" s="12">
        <f>'TUSD BE'!$W$12*'TUSD BE'!$W$58</f>
        <v>0</v>
      </c>
      <c r="X12" s="12">
        <f>'TUSD BE'!$X$12*'TUSD BE'!$X$58</f>
        <v>0</v>
      </c>
      <c r="Y12" s="12">
        <f>'TUSD BE'!$Y$12*'TUSD BE'!$Y$58</f>
        <v>0</v>
      </c>
      <c r="Z12" s="12">
        <f>'TUSD BE'!$Z$12*'TUSD BE'!$Z$58</f>
        <v>0</v>
      </c>
      <c r="AA12" s="12">
        <f>'TUSD BE'!$AA$12*'TUSD BE'!$AA$58</f>
        <v>0</v>
      </c>
      <c r="AB12" s="12">
        <f>SUM($U$12:$AA$12)</f>
        <v>0</v>
      </c>
      <c r="AC12" s="12">
        <f>'TUSD BE'!$AC$12*'TUSD BE'!$AC$58</f>
        <v>0</v>
      </c>
      <c r="AD12" s="12">
        <f>SUM($AC$12:$AC$12)</f>
        <v>0</v>
      </c>
      <c r="AE12" s="12">
        <f ca="1">$AO$12*$AO$55</f>
        <v>0</v>
      </c>
      <c r="AF12" s="12">
        <f ca="1">$AP$12*$AP$55</f>
        <v>0</v>
      </c>
      <c r="AG12" s="12">
        <f ca="1">SUM($AE$12:$AF$12)</f>
        <v>0</v>
      </c>
      <c r="AH12" s="12">
        <f>'TUSD BE'!$AH$12*'TUSD BE'!$AH$58</f>
        <v>0.8833955384545662</v>
      </c>
      <c r="AI12" s="12">
        <f>'TUSD BE'!$AI$12*'TUSD BE'!$AI$58</f>
        <v>0</v>
      </c>
      <c r="AJ12" s="12">
        <f ca="1">'TUSD BE'!$AJ$12*'TUSD BE'!$AJ$58</f>
        <v>0</v>
      </c>
      <c r="AK12" s="12">
        <f ca="1">'TUSD BE'!$AK$12*'TUSD BE'!$AK$58</f>
        <v>0</v>
      </c>
      <c r="AL12" s="12">
        <f ca="1">SUM($AH$12:$AK$12)</f>
        <v>0.8833955384545662</v>
      </c>
      <c r="AM12" s="12">
        <f ca="1">SUMIF($L$4:$AL$4,"SUBTOTAL",$L$12:$AL$12)</f>
        <v>-3.2904332753558538</v>
      </c>
      <c r="AO12" s="20">
        <f ca="1">+'TUSD BE'!$T$12+'TUSD BE'!$AB$12+'TUSD BE'!$AD$12+'TUSD BE'!$AL$12</f>
        <v>106.0068127281037</v>
      </c>
      <c r="AP12" s="20">
        <f ca="1">+'TUSD BE'!$T$12+'TUSD BE'!$AB$12+'TUSD BE'!$AD$12+'TUSD BE'!$AL$12</f>
        <v>106.0068127281037</v>
      </c>
    </row>
    <row r="13" spans="1:42" ht="11.25" customHeight="1" x14ac:dyDescent="0.25">
      <c r="A13" s="102"/>
      <c r="B13" s="102"/>
      <c r="C13" s="102"/>
      <c r="D13" s="102"/>
      <c r="E13" s="102" t="s">
        <v>78</v>
      </c>
      <c r="F13" s="102" t="s">
        <v>25</v>
      </c>
      <c r="G13" s="17" t="s">
        <v>72</v>
      </c>
      <c r="H13" s="17" t="s">
        <v>71</v>
      </c>
      <c r="I13" s="17">
        <f>'MERCADO TUSD'!$U$10</f>
        <v>0</v>
      </c>
      <c r="J13" s="15"/>
      <c r="L13" s="12">
        <f>'TUSD BE'!$L$13*'TUSD BE'!$L$58</f>
        <v>0</v>
      </c>
      <c r="M13" s="12">
        <f>'TUSD BE'!$M$13*'TUSD BE'!$M$58</f>
        <v>-0.14718347095525469</v>
      </c>
      <c r="N13" s="12">
        <f ca="1">'TUSD BE'!$N$13*'TUSD BE'!$N$58</f>
        <v>0</v>
      </c>
      <c r="O13" s="12">
        <f>'TUSD BE'!$O$13*'TUSD BE'!$O$58</f>
        <v>0</v>
      </c>
      <c r="P13" s="12">
        <f>'TUSD BE'!$P$13*'TUSD BE'!$P$58</f>
        <v>0</v>
      </c>
      <c r="Q13" s="12">
        <f>'TUSD BE'!$Q$13*'TUSD BE'!$Q$58</f>
        <v>0</v>
      </c>
      <c r="R13" s="12">
        <f>'TUSD BE'!$R$13*'TUSD BE'!$R$58</f>
        <v>0</v>
      </c>
      <c r="S13" s="12">
        <f>'TUSD BE'!$R$13*'TUSD BE'!$S$58</f>
        <v>0</v>
      </c>
      <c r="T13" s="12">
        <f ca="1">SUM($L$13:$S$13)</f>
        <v>-0.14718347095525469</v>
      </c>
      <c r="U13" s="12">
        <f>'TUSD BE'!$U$13*'TUSD BE'!$U$58</f>
        <v>0</v>
      </c>
      <c r="V13" s="12">
        <f>'TUSD BE'!$V$13*'TUSD BE'!$V$58</f>
        <v>0</v>
      </c>
      <c r="W13" s="12">
        <f>'TUSD BE'!$W$13*'TUSD BE'!$W$58</f>
        <v>0</v>
      </c>
      <c r="X13" s="12">
        <f>'TUSD BE'!$X$13*'TUSD BE'!$X$58</f>
        <v>0</v>
      </c>
      <c r="Y13" s="12">
        <f>'TUSD BE'!$Y$13*'TUSD BE'!$Y$58</f>
        <v>19.1929343610954</v>
      </c>
      <c r="Z13" s="12">
        <f>'TUSD BE'!$Z$13*'TUSD BE'!$Z$58</f>
        <v>0</v>
      </c>
      <c r="AA13" s="12">
        <f>'TUSD BE'!$AA$13*'TUSD BE'!$AA$58</f>
        <v>0</v>
      </c>
      <c r="AB13" s="12">
        <f>SUM($U$13:$AA$13)</f>
        <v>19.1929343610954</v>
      </c>
      <c r="AC13" s="12">
        <f>'TUSD BE'!$AC$13*'TUSD BE'!$AC$58</f>
        <v>-1250.6285997397933</v>
      </c>
      <c r="AD13" s="12">
        <f>SUM($AC$13:$AC$13)</f>
        <v>-1250.6285997397933</v>
      </c>
      <c r="AE13" s="12">
        <f ca="1">$AO$13*$AO$55</f>
        <v>0</v>
      </c>
      <c r="AF13" s="12">
        <f ca="1">$AP$13*$AP$55</f>
        <v>0</v>
      </c>
      <c r="AG13" s="12">
        <f ca="1">SUM($AE$13:$AF$13)</f>
        <v>0</v>
      </c>
      <c r="AH13" s="12">
        <f>'TUSD BE'!$AH$13*'TUSD BE'!$AH$58</f>
        <v>0.8833955384545662</v>
      </c>
      <c r="AI13" s="12">
        <f>'TUSD BE'!$AI$13*'TUSD BE'!$AI$58</f>
        <v>0</v>
      </c>
      <c r="AJ13" s="12">
        <f ca="1">'TUSD BE'!$AJ$13*'TUSD BE'!$AJ$58</f>
        <v>0</v>
      </c>
      <c r="AK13" s="12">
        <f ca="1">'TUSD BE'!$AK$13*'TUSD BE'!$AK$58</f>
        <v>0</v>
      </c>
      <c r="AL13" s="12">
        <f ca="1">SUM($AH$13:$AK$13)</f>
        <v>0.8833955384545662</v>
      </c>
      <c r="AM13" s="12">
        <f ca="1">SUMIF($L$4:$AL$4,"SUBTOTAL",$L$13:$AL$13)</f>
        <v>-1230.6994533111986</v>
      </c>
      <c r="AO13" s="20">
        <f ca="1">+'TUSD BE'!$T$13+'TUSD BE'!$AB$13+'TUSD BE'!$AD$13+'TUSD BE'!$AL$13</f>
        <v>2795.9438298671653</v>
      </c>
      <c r="AP13" s="20">
        <f ca="1">+'TUSD BE'!$T$13+'TUSD BE'!$AB$13+'TUSD BE'!$AD$13+'TUSD BE'!$AL$13</f>
        <v>2795.9438298671653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17" t="s">
        <v>73</v>
      </c>
      <c r="H14" s="17" t="s">
        <v>71</v>
      </c>
      <c r="I14" s="17">
        <f>'MERCADO TUSD'!$U$11</f>
        <v>0</v>
      </c>
      <c r="J14" s="15"/>
      <c r="L14" s="12">
        <f>'TUSD BE'!$L$14*'TUSD BE'!$L$58</f>
        <v>0</v>
      </c>
      <c r="M14" s="12">
        <f>'TUSD BE'!$M$14*'TUSD BE'!$M$58</f>
        <v>-0.14718347095525469</v>
      </c>
      <c r="N14" s="12">
        <f ca="1">'TUSD BE'!$N$14*'TUSD BE'!$N$58</f>
        <v>0</v>
      </c>
      <c r="O14" s="12">
        <f>'TUSD BE'!$O$14*'TUSD BE'!$O$58</f>
        <v>0</v>
      </c>
      <c r="P14" s="12">
        <f>'TUSD BE'!$P$14*'TUSD BE'!$P$58</f>
        <v>0</v>
      </c>
      <c r="Q14" s="12">
        <f>'TUSD BE'!$Q$14*'TUSD BE'!$Q$58</f>
        <v>0</v>
      </c>
      <c r="R14" s="12">
        <f>'TUSD BE'!$R$14*'TUSD BE'!$R$58</f>
        <v>0</v>
      </c>
      <c r="S14" s="12">
        <f>'TUSD BE'!$R$14*'TUSD BE'!$S$58</f>
        <v>0</v>
      </c>
      <c r="T14" s="12">
        <f ca="1">SUM($L$14:$S$14)</f>
        <v>-0.14718347095525469</v>
      </c>
      <c r="U14" s="12">
        <f>'TUSD BE'!$U$14*'TUSD BE'!$U$58</f>
        <v>0</v>
      </c>
      <c r="V14" s="12">
        <f>'TUSD BE'!$V$14*'TUSD BE'!$V$58</f>
        <v>0</v>
      </c>
      <c r="W14" s="12">
        <f>'TUSD BE'!$W$14*'TUSD BE'!$W$58</f>
        <v>0</v>
      </c>
      <c r="X14" s="12">
        <f>'TUSD BE'!$X$14*'TUSD BE'!$X$58</f>
        <v>0</v>
      </c>
      <c r="Y14" s="12">
        <f>'TUSD BE'!$Y$14*'TUSD BE'!$Y$58</f>
        <v>0</v>
      </c>
      <c r="Z14" s="12">
        <f>'TUSD BE'!$Z$14*'TUSD BE'!$Z$58</f>
        <v>0</v>
      </c>
      <c r="AA14" s="12">
        <f>'TUSD BE'!$AA$14*'TUSD BE'!$AA$58</f>
        <v>0</v>
      </c>
      <c r="AB14" s="12">
        <f>SUM($U$14:$AA$14)</f>
        <v>0</v>
      </c>
      <c r="AC14" s="12">
        <f>'TUSD BE'!$AC$14*'TUSD BE'!$AC$58</f>
        <v>0</v>
      </c>
      <c r="AD14" s="12">
        <f>SUM($AC$14:$AC$14)</f>
        <v>0</v>
      </c>
      <c r="AE14" s="12">
        <f ca="1">$AO$14*$AO$55</f>
        <v>0</v>
      </c>
      <c r="AF14" s="12">
        <f ca="1">$AP$14*$AP$55</f>
        <v>0</v>
      </c>
      <c r="AG14" s="12">
        <f ca="1">SUM($AE$14:$AF$14)</f>
        <v>0</v>
      </c>
      <c r="AH14" s="12">
        <f>'TUSD BE'!$AH$14*'TUSD BE'!$AH$58</f>
        <v>0.8833955384545662</v>
      </c>
      <c r="AI14" s="12">
        <f>'TUSD BE'!$AI$14*'TUSD BE'!$AI$58</f>
        <v>0</v>
      </c>
      <c r="AJ14" s="12">
        <f ca="1">'TUSD BE'!$AJ$14*'TUSD BE'!$AJ$58</f>
        <v>0</v>
      </c>
      <c r="AK14" s="12">
        <f ca="1">'TUSD BE'!$AK$14*'TUSD BE'!$AK$58</f>
        <v>0</v>
      </c>
      <c r="AL14" s="12">
        <f ca="1">SUM($AH$14:$AK$14)</f>
        <v>0.8833955384545662</v>
      </c>
      <c r="AM14" s="12">
        <f ca="1">SUMIF($L$4:$AL$4,"SUBTOTAL",$L$14:$AL$14)</f>
        <v>0.73621206749931156</v>
      </c>
      <c r="AO14" s="20">
        <f ca="1">+'TUSD BE'!$T$14+'TUSD BE'!$AB$14+'TUSD BE'!$AD$14+'TUSD BE'!$AL$14</f>
        <v>14.598686688719848</v>
      </c>
      <c r="AP14" s="20">
        <f ca="1">+'TUSD BE'!$T$14+'TUSD BE'!$AB$14+'TUSD BE'!$AD$14+'TUSD BE'!$AL$14</f>
        <v>14.598686688719848</v>
      </c>
    </row>
    <row r="15" spans="1:42" ht="11.25" customHeight="1" x14ac:dyDescent="0.25">
      <c r="A15" s="102" t="s">
        <v>80</v>
      </c>
      <c r="B15" s="102" t="s">
        <v>79</v>
      </c>
      <c r="C15" s="102" t="s">
        <v>25</v>
      </c>
      <c r="D15" s="102" t="s">
        <v>25</v>
      </c>
      <c r="E15" s="18" t="s">
        <v>81</v>
      </c>
      <c r="F15" s="18" t="s">
        <v>25</v>
      </c>
      <c r="G15" s="17" t="s">
        <v>9</v>
      </c>
      <c r="H15" s="17" t="s">
        <v>74</v>
      </c>
      <c r="I15" s="17">
        <f>'MERCADO TUSD'!$U$12+0.00000001</f>
        <v>1E-8</v>
      </c>
      <c r="J15" s="15"/>
      <c r="L15" s="12">
        <f>'TUSD BE'!$L$15*'TUSD BE'!$L$58</f>
        <v>0</v>
      </c>
      <c r="M15" s="12">
        <f>'TUSD BE'!$M$15*'TUSD BE'!$M$58</f>
        <v>-8.5980183705157366E-4</v>
      </c>
      <c r="N15" s="12">
        <f ca="1">'TUSD BE'!$N$15*'TUSD BE'!$N$58</f>
        <v>0</v>
      </c>
      <c r="O15" s="12">
        <f>'TUSD BE'!$O$15*'TUSD BE'!$O$58</f>
        <v>0</v>
      </c>
      <c r="P15" s="12">
        <f>'TUSD BE'!$P$15*'TUSD BE'!$P$58</f>
        <v>0</v>
      </c>
      <c r="Q15" s="12">
        <f>'TUSD BE'!$Q$15*'TUSD BE'!$Q$58</f>
        <v>0</v>
      </c>
      <c r="R15" s="12">
        <f>'TUSD BE'!$R$15*'TUSD BE'!$R$58</f>
        <v>0</v>
      </c>
      <c r="S15" s="12">
        <f>'TUSD BE'!$R$15*'TUSD BE'!$S$58</f>
        <v>0</v>
      </c>
      <c r="T15" s="12">
        <f ca="1">SUM($L$15:$S$15)</f>
        <v>-8.5980183705157366E-4</v>
      </c>
      <c r="U15" s="12">
        <f>'TUSD BE'!$U$15*'TUSD BE'!$U$58</f>
        <v>0</v>
      </c>
      <c r="V15" s="12">
        <f>'TUSD BE'!$V$15*'TUSD BE'!$V$58</f>
        <v>0</v>
      </c>
      <c r="W15" s="12">
        <f>'TUSD BE'!$W$15*'TUSD BE'!$W$58</f>
        <v>0</v>
      </c>
      <c r="X15" s="12">
        <f>'TUSD BE'!$X$15*'TUSD BE'!$X$58</f>
        <v>0</v>
      </c>
      <c r="Y15" s="12">
        <f>'TUSD BE'!$Y$15*'TUSD BE'!$Y$58</f>
        <v>0</v>
      </c>
      <c r="Z15" s="12">
        <f>'TUSD BE'!$Z$15*'TUSD BE'!$Z$58</f>
        <v>0</v>
      </c>
      <c r="AA15" s="12">
        <f>'TUSD BE'!$AA$15*'TUSD BE'!$AA$58</f>
        <v>0</v>
      </c>
      <c r="AB15" s="12">
        <f>SUM($U$15:$AA$15)</f>
        <v>0</v>
      </c>
      <c r="AC15" s="12">
        <f>'TUSD BE'!$AC$15*'TUSD BE'!$AC$58</f>
        <v>-7.1852936097191193</v>
      </c>
      <c r="AD15" s="12">
        <f>SUM($AC$15:$AC$15)</f>
        <v>-7.1852936097191193</v>
      </c>
      <c r="AE15" s="12">
        <f ca="1">$AO$15*$AO$55</f>
        <v>0</v>
      </c>
      <c r="AF15" s="12">
        <f ca="1">$AP$15*$AP$55</f>
        <v>0</v>
      </c>
      <c r="AG15" s="12">
        <f ca="1">SUM($AE$15:$AF$15)</f>
        <v>0</v>
      </c>
      <c r="AH15" s="12">
        <f>'TUSD BE'!$AH$15*'TUSD BE'!$AH$58</f>
        <v>0</v>
      </c>
      <c r="AI15" s="12">
        <f>'TUSD BE'!$AI$15*'TUSD BE'!$AI$58</f>
        <v>0</v>
      </c>
      <c r="AJ15" s="12">
        <f ca="1">'TUSD BE'!$AJ$15*'TUSD BE'!$AJ$58</f>
        <v>0</v>
      </c>
      <c r="AK15" s="12">
        <f ca="1">'TUSD BE'!$AK$15*'TUSD BE'!$AK$58</f>
        <v>0</v>
      </c>
      <c r="AL15" s="12">
        <f ca="1">SUM($AH$15:$AK$15)</f>
        <v>0</v>
      </c>
      <c r="AM15" s="12">
        <f ca="1">SUMIF($L$4:$AL$4,"SUBTOTAL",$L$15:$AL$15)</f>
        <v>-7.1861534115561705</v>
      </c>
      <c r="AO15" s="20">
        <f ca="1">+'TUSD BE'!$T$15+'TUSD BE'!$AB$15+'TUSD BE'!$AD$15+'TUSD BE'!$AL$15</f>
        <v>11.731864264794075</v>
      </c>
      <c r="AP15" s="20">
        <f ca="1">+'TUSD BE'!$T$15+'TUSD BE'!$AB$15+'TUSD BE'!$AD$15+'TUSD BE'!$AL$15</f>
        <v>11.731864264794075</v>
      </c>
    </row>
    <row r="16" spans="1:42" ht="11.25" customHeight="1" x14ac:dyDescent="0.25">
      <c r="A16" s="102"/>
      <c r="B16" s="102"/>
      <c r="C16" s="102"/>
      <c r="D16" s="102"/>
      <c r="E16" s="18" t="s">
        <v>82</v>
      </c>
      <c r="F16" s="18" t="s">
        <v>25</v>
      </c>
      <c r="G16" s="17" t="s">
        <v>9</v>
      </c>
      <c r="H16" s="17" t="s">
        <v>74</v>
      </c>
      <c r="I16" s="17">
        <f>'MERCADO TUSD'!$U$13+0.00000001</f>
        <v>1E-8</v>
      </c>
      <c r="J16" s="15"/>
      <c r="L16" s="12">
        <f>'TUSD BE'!$L$16*'TUSD BE'!$L$58</f>
        <v>0</v>
      </c>
      <c r="M16" s="12">
        <f>'TUSD BE'!$M$16*'TUSD BE'!$M$58</f>
        <v>-8.5980183705157366E-4</v>
      </c>
      <c r="N16" s="12">
        <f ca="1">'TUSD BE'!$N$16*'TUSD BE'!$N$58</f>
        <v>0</v>
      </c>
      <c r="O16" s="12">
        <f>'TUSD BE'!$O$16*'TUSD BE'!$O$58</f>
        <v>0</v>
      </c>
      <c r="P16" s="12">
        <f>'TUSD BE'!$P$16*'TUSD BE'!$P$58</f>
        <v>0</v>
      </c>
      <c r="Q16" s="12">
        <f>'TUSD BE'!$Q$16*'TUSD BE'!$Q$58</f>
        <v>0</v>
      </c>
      <c r="R16" s="12">
        <f>'TUSD BE'!$R$16*'TUSD BE'!$R$58</f>
        <v>0</v>
      </c>
      <c r="S16" s="12">
        <f>'TUSD BE'!$R$16*'TUSD BE'!$S$58</f>
        <v>0</v>
      </c>
      <c r="T16" s="12">
        <f ca="1">SUM($L$16:$S$16)</f>
        <v>-8.5980183705157366E-4</v>
      </c>
      <c r="U16" s="12">
        <f>'TUSD BE'!$U$16*'TUSD BE'!$U$58</f>
        <v>0</v>
      </c>
      <c r="V16" s="12">
        <f>'TUSD BE'!$V$16*'TUSD BE'!$V$58</f>
        <v>0</v>
      </c>
      <c r="W16" s="12">
        <f>'TUSD BE'!$W$16*'TUSD BE'!$W$58</f>
        <v>0</v>
      </c>
      <c r="X16" s="12">
        <f>'TUSD BE'!$X$16*'TUSD BE'!$X$58</f>
        <v>0</v>
      </c>
      <c r="Y16" s="12">
        <f>'TUSD BE'!$Y$16*'TUSD BE'!$Y$58</f>
        <v>0</v>
      </c>
      <c r="Z16" s="12">
        <f>'TUSD BE'!$Z$16*'TUSD BE'!$Z$58</f>
        <v>0</v>
      </c>
      <c r="AA16" s="12">
        <f>'TUSD BE'!$AA$16*'TUSD BE'!$AA$58</f>
        <v>0</v>
      </c>
      <c r="AB16" s="12">
        <f>SUM($U$16:$AA$16)</f>
        <v>0</v>
      </c>
      <c r="AC16" s="12">
        <f>'TUSD BE'!$AC$16*'TUSD BE'!$AC$58</f>
        <v>-18.687289822292659</v>
      </c>
      <c r="AD16" s="12">
        <f>SUM($AC$16:$AC$16)</f>
        <v>-18.687289822292659</v>
      </c>
      <c r="AE16" s="12">
        <f ca="1">$AO$16*$AO$55</f>
        <v>0</v>
      </c>
      <c r="AF16" s="12">
        <f ca="1">$AP$16*$AP$55</f>
        <v>0</v>
      </c>
      <c r="AG16" s="12">
        <f ca="1">SUM($AE$16:$AF$16)</f>
        <v>0</v>
      </c>
      <c r="AH16" s="12">
        <f>'TUSD BE'!$AH$16*'TUSD BE'!$AH$58</f>
        <v>0</v>
      </c>
      <c r="AI16" s="12">
        <f>'TUSD BE'!$AI$16*'TUSD BE'!$AI$58</f>
        <v>0</v>
      </c>
      <c r="AJ16" s="12">
        <f ca="1">'TUSD BE'!$AJ$16*'TUSD BE'!$AJ$58</f>
        <v>0</v>
      </c>
      <c r="AK16" s="12">
        <f ca="1">'TUSD BE'!$AK$16*'TUSD BE'!$AK$58</f>
        <v>0</v>
      </c>
      <c r="AL16" s="12">
        <f ca="1">SUM($AH$16:$AK$16)</f>
        <v>0</v>
      </c>
      <c r="AM16" s="12">
        <f ca="1">SUMIF($L$4:$AL$4,"SUBTOTAL",$L$16:$AL$16)</f>
        <v>-18.688149624129711</v>
      </c>
      <c r="AO16" s="20">
        <f ca="1">+'TUSD BE'!$T$16+'TUSD BE'!$AB$16+'TUSD BE'!$AD$16+'TUSD BE'!$AL$16</f>
        <v>30.490875472327303</v>
      </c>
      <c r="AP16" s="20">
        <f ca="1">+'TUSD BE'!$T$16+'TUSD BE'!$AB$16+'TUSD BE'!$AD$16+'TUSD BE'!$AL$16</f>
        <v>30.490875472327303</v>
      </c>
    </row>
    <row r="17" spans="1:42" ht="11.25" customHeight="1" x14ac:dyDescent="0.25">
      <c r="A17" s="102" t="s">
        <v>22</v>
      </c>
      <c r="B17" s="102" t="s">
        <v>85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17" t="s">
        <v>72</v>
      </c>
      <c r="H17" s="17" t="s">
        <v>71</v>
      </c>
      <c r="I17" s="17">
        <f>'MERCADO TUSD'!$U$14</f>
        <v>0</v>
      </c>
      <c r="J17" s="15"/>
      <c r="L17" s="12">
        <f>'TUSD BE'!$L$17*'TUSD BE'!$L$58</f>
        <v>0</v>
      </c>
      <c r="M17" s="12">
        <f>'TUSD BE'!$M$17*'TUSD BE'!$M$58</f>
        <v>-0.16647987046300847</v>
      </c>
      <c r="N17" s="12">
        <f ca="1">'TUSD BE'!$N$17*'TUSD BE'!$N$58</f>
        <v>0</v>
      </c>
      <c r="O17" s="12">
        <f>'TUSD BE'!$O$17*'TUSD BE'!$O$58</f>
        <v>0</v>
      </c>
      <c r="P17" s="12">
        <f>'TUSD BE'!$P$17*'TUSD BE'!$P$58</f>
        <v>0</v>
      </c>
      <c r="Q17" s="12">
        <f>'TUSD BE'!$Q$17*'TUSD BE'!$Q$58</f>
        <v>-4.0501667433336852</v>
      </c>
      <c r="R17" s="12">
        <f>'TUSD BE'!$R$17*'TUSD BE'!$R$58</f>
        <v>-0.62450527845486925</v>
      </c>
      <c r="S17" s="12">
        <f>'TUSD BE'!$R$17*'TUSD BE'!$S$58</f>
        <v>0</v>
      </c>
      <c r="T17" s="12">
        <f ca="1">SUM($L$17:$S$17)</f>
        <v>-4.8411518922515624</v>
      </c>
      <c r="U17" s="12">
        <f>'TUSD BE'!$U$17*'TUSD BE'!$U$58</f>
        <v>0</v>
      </c>
      <c r="V17" s="12">
        <f>'TUSD BE'!$V$17*'TUSD BE'!$V$58</f>
        <v>0</v>
      </c>
      <c r="W17" s="12">
        <f>'TUSD BE'!$W$17*'TUSD BE'!$W$58</f>
        <v>0</v>
      </c>
      <c r="X17" s="12">
        <f>'TUSD BE'!$X$17*'TUSD BE'!$X$58</f>
        <v>0</v>
      </c>
      <c r="Y17" s="12">
        <f>'TUSD BE'!$Y$17*'TUSD BE'!$Y$58</f>
        <v>9.1436510682198691</v>
      </c>
      <c r="Z17" s="12">
        <f>'TUSD BE'!$Z$17*'TUSD BE'!$Z$58</f>
        <v>0</v>
      </c>
      <c r="AA17" s="12">
        <f>'TUSD BE'!$AA$17*'TUSD BE'!$AA$58</f>
        <v>0</v>
      </c>
      <c r="AB17" s="12">
        <f>SUM($U$17:$AA$17)</f>
        <v>9.1436510682198691</v>
      </c>
      <c r="AC17" s="12">
        <f>'TUSD BE'!$AC$17*'TUSD BE'!$AC$58</f>
        <v>-829.00561350033354</v>
      </c>
      <c r="AD17" s="12">
        <f>SUM($AC$17:$AC$17)</f>
        <v>-829.00561350033354</v>
      </c>
      <c r="AE17" s="12">
        <f ca="1">$AO$17*$AO$55</f>
        <v>0</v>
      </c>
      <c r="AF17" s="12">
        <f ca="1">$AP$17*$AP$55</f>
        <v>0</v>
      </c>
      <c r="AG17" s="12">
        <f ca="1">SUM($AE$17:$AF$17)</f>
        <v>0</v>
      </c>
      <c r="AH17" s="12">
        <f>'TUSD BE'!$AH$17*'TUSD BE'!$AH$58</f>
        <v>1.9929542106361611</v>
      </c>
      <c r="AI17" s="12">
        <f>'TUSD BE'!$AI$17*'TUSD BE'!$AI$58</f>
        <v>0</v>
      </c>
      <c r="AJ17" s="12">
        <f ca="1">'TUSD BE'!$AJ$17*'TUSD BE'!$AJ$58</f>
        <v>0</v>
      </c>
      <c r="AK17" s="12">
        <f ca="1">'TUSD BE'!$AK$17*'TUSD BE'!$AK$58</f>
        <v>0</v>
      </c>
      <c r="AL17" s="12">
        <f ca="1">SUM($AH$17:$AK$17)</f>
        <v>1.9929542106361611</v>
      </c>
      <c r="AM17" s="12">
        <f ca="1">SUMIF($L$4:$AL$4,"SUBTOTAL",$L$17:$AL$17)</f>
        <v>-822.7101601137291</v>
      </c>
      <c r="AO17" s="20">
        <f ca="1">+'TUSD BE'!$T$17+'TUSD BE'!$AB$17+'TUSD BE'!$AD$17+'TUSD BE'!$AL$17</f>
        <v>1841.8537835237873</v>
      </c>
      <c r="AP17" s="20">
        <f ca="1">+'TUSD BE'!$T$17+'TUSD BE'!$AB$17+'TUSD BE'!$AD$17+'TUSD BE'!$AL$17</f>
        <v>1841.8537835237873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17" t="s">
        <v>83</v>
      </c>
      <c r="H18" s="17" t="s">
        <v>71</v>
      </c>
      <c r="I18" s="17">
        <f>'MERCADO TUSD'!$U$15</f>
        <v>0</v>
      </c>
      <c r="J18" s="15"/>
      <c r="L18" s="12">
        <f>'TUSD BE'!$L$18*'TUSD BE'!$L$58</f>
        <v>0</v>
      </c>
      <c r="M18" s="12">
        <f>'TUSD BE'!$M$18*'TUSD BE'!$M$58</f>
        <v>-0.16647987046300847</v>
      </c>
      <c r="N18" s="12">
        <f ca="1">'TUSD BE'!$N$18*'TUSD BE'!$N$58</f>
        <v>0</v>
      </c>
      <c r="O18" s="12">
        <f>'TUSD BE'!$O$18*'TUSD BE'!$O$58</f>
        <v>0</v>
      </c>
      <c r="P18" s="12">
        <f>'TUSD BE'!$P$18*'TUSD BE'!$P$58</f>
        <v>0</v>
      </c>
      <c r="Q18" s="12">
        <f>'TUSD BE'!$Q$18*'TUSD BE'!$Q$58</f>
        <v>-4.0501667433336852</v>
      </c>
      <c r="R18" s="12">
        <f>'TUSD BE'!$R$18*'TUSD BE'!$R$58</f>
        <v>-0.62450527845486925</v>
      </c>
      <c r="S18" s="12">
        <f>'TUSD BE'!$R$18*'TUSD BE'!$S$58</f>
        <v>0</v>
      </c>
      <c r="T18" s="12">
        <f ca="1">SUM($L$18:$S$18)</f>
        <v>-4.8411518922515624</v>
      </c>
      <c r="U18" s="12">
        <f>'TUSD BE'!$U$18*'TUSD BE'!$U$58</f>
        <v>0</v>
      </c>
      <c r="V18" s="12">
        <f>'TUSD BE'!$V$18*'TUSD BE'!$V$58</f>
        <v>0</v>
      </c>
      <c r="W18" s="12">
        <f>'TUSD BE'!$W$18*'TUSD BE'!$W$58</f>
        <v>0</v>
      </c>
      <c r="X18" s="12">
        <f>'TUSD BE'!$X$18*'TUSD BE'!$X$58</f>
        <v>0</v>
      </c>
      <c r="Y18" s="12">
        <f>'TUSD BE'!$Y$18*'TUSD BE'!$Y$58</f>
        <v>5.4871609611726235</v>
      </c>
      <c r="Z18" s="12">
        <f>'TUSD BE'!$Z$18*'TUSD BE'!$Z$58</f>
        <v>0</v>
      </c>
      <c r="AA18" s="12">
        <f>'TUSD BE'!$AA$18*'TUSD BE'!$AA$58</f>
        <v>0</v>
      </c>
      <c r="AB18" s="12">
        <f>SUM($U$18:$AA$18)</f>
        <v>5.4871609611726235</v>
      </c>
      <c r="AC18" s="12">
        <f>'TUSD BE'!$AC$18*'TUSD BE'!$AC$58</f>
        <v>-497.40339454248249</v>
      </c>
      <c r="AD18" s="12">
        <f>SUM($AC$18:$AC$18)</f>
        <v>-497.40339454248249</v>
      </c>
      <c r="AE18" s="12">
        <f ca="1">$AO$18*$AO$55</f>
        <v>0</v>
      </c>
      <c r="AF18" s="12">
        <f ca="1">$AP$18*$AP$55</f>
        <v>0</v>
      </c>
      <c r="AG18" s="12">
        <f ca="1">SUM($AE$18:$AF$18)</f>
        <v>0</v>
      </c>
      <c r="AH18" s="12">
        <f>'TUSD BE'!$AH$18*'TUSD BE'!$AH$58</f>
        <v>1.9929542106361611</v>
      </c>
      <c r="AI18" s="12">
        <f>'TUSD BE'!$AI$18*'TUSD BE'!$AI$58</f>
        <v>0</v>
      </c>
      <c r="AJ18" s="12">
        <f ca="1">'TUSD BE'!$AJ$18*'TUSD BE'!$AJ$58</f>
        <v>0</v>
      </c>
      <c r="AK18" s="12">
        <f ca="1">'TUSD BE'!$AK$18*'TUSD BE'!$AK$58</f>
        <v>0</v>
      </c>
      <c r="AL18" s="12">
        <f ca="1">SUM($AH$18:$AK$18)</f>
        <v>1.9929542106361611</v>
      </c>
      <c r="AM18" s="12">
        <f ca="1">SUMIF($L$4:$AL$4,"SUBTOTAL",$L$18:$AL$18)</f>
        <v>-494.76443126292526</v>
      </c>
      <c r="AO18" s="20">
        <f ca="1">+'TUSD BE'!$T$18+'TUSD BE'!$AB$18+'TUSD BE'!$AD$18+'TUSD BE'!$AL$18</f>
        <v>1159.7384190114717</v>
      </c>
      <c r="AP18" s="20">
        <f ca="1">+'TUSD BE'!$T$18+'TUSD BE'!$AB$18+'TUSD BE'!$AD$18+'TUSD BE'!$AL$18</f>
        <v>1159.7384190114717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17" t="s">
        <v>73</v>
      </c>
      <c r="H19" s="17" t="s">
        <v>71</v>
      </c>
      <c r="I19" s="17">
        <f>'MERCADO TUSD'!$U$16</f>
        <v>0</v>
      </c>
      <c r="J19" s="15"/>
      <c r="L19" s="12">
        <f>'TUSD BE'!$L$19*'TUSD BE'!$L$58</f>
        <v>0</v>
      </c>
      <c r="M19" s="12">
        <f>'TUSD BE'!$M$19*'TUSD BE'!$M$58</f>
        <v>-0.16647987046300847</v>
      </c>
      <c r="N19" s="12">
        <f ca="1">'TUSD BE'!$N$19*'TUSD BE'!$N$58</f>
        <v>0</v>
      </c>
      <c r="O19" s="12">
        <f>'TUSD BE'!$O$19*'TUSD BE'!$O$58</f>
        <v>0</v>
      </c>
      <c r="P19" s="12">
        <f>'TUSD BE'!$P$19*'TUSD BE'!$P$58</f>
        <v>0</v>
      </c>
      <c r="Q19" s="12">
        <f>'TUSD BE'!$Q$19*'TUSD BE'!$Q$58</f>
        <v>-4.0501667433336852</v>
      </c>
      <c r="R19" s="12">
        <f>'TUSD BE'!$R$19*'TUSD BE'!$R$58</f>
        <v>-0.62450527845486925</v>
      </c>
      <c r="S19" s="12">
        <f>'TUSD BE'!$R$19*'TUSD BE'!$S$58</f>
        <v>0</v>
      </c>
      <c r="T19" s="12">
        <f ca="1">SUM($L$19:$S$19)</f>
        <v>-4.8411518922515624</v>
      </c>
      <c r="U19" s="12">
        <f>'TUSD BE'!$U$19*'TUSD BE'!$U$58</f>
        <v>0</v>
      </c>
      <c r="V19" s="12">
        <f>'TUSD BE'!$V$19*'TUSD BE'!$V$58</f>
        <v>0</v>
      </c>
      <c r="W19" s="12">
        <f>'TUSD BE'!$W$19*'TUSD BE'!$W$58</f>
        <v>0</v>
      </c>
      <c r="X19" s="12">
        <f>'TUSD BE'!$X$19*'TUSD BE'!$X$58</f>
        <v>0</v>
      </c>
      <c r="Y19" s="12">
        <f>'TUSD BE'!$Y$19*'TUSD BE'!$Y$58</f>
        <v>1.8290536537242079</v>
      </c>
      <c r="Z19" s="12">
        <f>'TUSD BE'!$Z$19*'TUSD BE'!$Z$58</f>
        <v>0</v>
      </c>
      <c r="AA19" s="12">
        <f>'TUSD BE'!$AA$19*'TUSD BE'!$AA$58</f>
        <v>0</v>
      </c>
      <c r="AB19" s="12">
        <f>SUM($U$19:$AA$19)</f>
        <v>1.8290536537242079</v>
      </c>
      <c r="AC19" s="12">
        <f>'TUSD BE'!$AC$19*'TUSD BE'!$AC$58</f>
        <v>-165.80104337321947</v>
      </c>
      <c r="AD19" s="12">
        <f>SUM($AC$19:$AC$19)</f>
        <v>-165.80104337321947</v>
      </c>
      <c r="AE19" s="12">
        <f ca="1">$AO$19*$AO$55</f>
        <v>0</v>
      </c>
      <c r="AF19" s="12">
        <f ca="1">$AP$19*$AP$55</f>
        <v>0</v>
      </c>
      <c r="AG19" s="12">
        <f ca="1">SUM($AE$19:$AF$19)</f>
        <v>0</v>
      </c>
      <c r="AH19" s="12">
        <f>'TUSD BE'!$AH$19*'TUSD BE'!$AH$58</f>
        <v>1.9929542106361611</v>
      </c>
      <c r="AI19" s="12">
        <f>'TUSD BE'!$AI$19*'TUSD BE'!$AI$58</f>
        <v>0</v>
      </c>
      <c r="AJ19" s="12">
        <f ca="1">'TUSD BE'!$AJ$19*'TUSD BE'!$AJ$58</f>
        <v>0</v>
      </c>
      <c r="AK19" s="12">
        <f ca="1">'TUSD BE'!$AK$19*'TUSD BE'!$AK$58</f>
        <v>0</v>
      </c>
      <c r="AL19" s="12">
        <f ca="1">SUM($AH$19:$AK$19)</f>
        <v>1.9929542106361611</v>
      </c>
      <c r="AM19" s="12">
        <f ca="1">SUMIF($L$4:$AL$4,"SUBTOTAL",$L$19:$AL$19)</f>
        <v>-166.82018740111067</v>
      </c>
      <c r="AO19" s="20">
        <f ca="1">+'TUSD BE'!$T$19+'TUSD BE'!$AB$19+'TUSD BE'!$AD$19+'TUSD BE'!$AL$19</f>
        <v>477.56034722445094</v>
      </c>
      <c r="AP19" s="20">
        <f ca="1">+'TUSD BE'!$T$19+'TUSD BE'!$AB$19+'TUSD BE'!$AD$19+'TUSD BE'!$AL$19</f>
        <v>477.56034722445094</v>
      </c>
    </row>
    <row r="20" spans="1:42" ht="11.25" customHeight="1" x14ac:dyDescent="0.25">
      <c r="A20" s="102"/>
      <c r="B20" s="102" t="s">
        <v>23</v>
      </c>
      <c r="C20" s="102" t="s">
        <v>24</v>
      </c>
      <c r="D20" s="18" t="s">
        <v>24</v>
      </c>
      <c r="E20" s="18" t="s">
        <v>25</v>
      </c>
      <c r="F20" s="18" t="s">
        <v>25</v>
      </c>
      <c r="G20" s="17" t="s">
        <v>77</v>
      </c>
      <c r="H20" s="17" t="s">
        <v>71</v>
      </c>
      <c r="I20" s="17">
        <f>'MERCADO TUSD'!$U$17</f>
        <v>13817.398000000001</v>
      </c>
      <c r="J20" s="15"/>
      <c r="L20" s="12">
        <f>'TUSD BE'!$L$20*'TUSD BE'!$L$58</f>
        <v>0</v>
      </c>
      <c r="M20" s="12">
        <f>'TUSD BE'!$M$20*'TUSD BE'!$M$58</f>
        <v>-0.16647987046300847</v>
      </c>
      <c r="N20" s="12">
        <f ca="1">'TUSD BE'!$N$20*'TUSD BE'!$N$58</f>
        <v>0</v>
      </c>
      <c r="O20" s="12">
        <f>'TUSD BE'!$O$20*'TUSD BE'!$O$58</f>
        <v>0</v>
      </c>
      <c r="P20" s="12">
        <f>'TUSD BE'!$P$20*'TUSD BE'!$P$58</f>
        <v>0</v>
      </c>
      <c r="Q20" s="12">
        <f>'TUSD BE'!$Q$20*'TUSD BE'!$Q$58</f>
        <v>-4.0501667433336852</v>
      </c>
      <c r="R20" s="12">
        <f>'TUSD BE'!$R$20*'TUSD BE'!$R$58</f>
        <v>-0.62450527845486925</v>
      </c>
      <c r="S20" s="12">
        <f>'TUSD BE'!$R$20*'TUSD BE'!$S$58</f>
        <v>0</v>
      </c>
      <c r="T20" s="12">
        <f ca="1">SUM($L$20:$S$20)</f>
        <v>-4.8411518922515624</v>
      </c>
      <c r="U20" s="12">
        <f>'TUSD BE'!$U$20*'TUSD BE'!$U$58</f>
        <v>0</v>
      </c>
      <c r="V20" s="12">
        <f>'TUSD BE'!$V$20*'TUSD BE'!$V$58</f>
        <v>0</v>
      </c>
      <c r="W20" s="12">
        <f>'TUSD BE'!$W$20*'TUSD BE'!$W$58</f>
        <v>0</v>
      </c>
      <c r="X20" s="12">
        <f>'TUSD BE'!$X$20*'TUSD BE'!$X$58</f>
        <v>0</v>
      </c>
      <c r="Y20" s="12">
        <f>'TUSD BE'!$Y$20*'TUSD BE'!$Y$58</f>
        <v>3.6581073074484158</v>
      </c>
      <c r="Z20" s="12">
        <f>'TUSD BE'!$Z$20*'TUSD BE'!$Z$58</f>
        <v>0</v>
      </c>
      <c r="AA20" s="12">
        <f>'TUSD BE'!$AA$20*'TUSD BE'!$AA$58</f>
        <v>0</v>
      </c>
      <c r="AB20" s="12">
        <f>SUM($U$20:$AA$20)</f>
        <v>3.6581073074484158</v>
      </c>
      <c r="AC20" s="12">
        <f>'TUSD BE'!$AC$20*'TUSD BE'!$AC$58</f>
        <v>-331.60208674643894</v>
      </c>
      <c r="AD20" s="12">
        <f>SUM($AC$20:$AC$20)</f>
        <v>-331.60208674643894</v>
      </c>
      <c r="AE20" s="12">
        <f ca="1">$AO$20*$AO$55</f>
        <v>0</v>
      </c>
      <c r="AF20" s="12">
        <f ca="1">$AP$20*$AP$55</f>
        <v>0</v>
      </c>
      <c r="AG20" s="12">
        <f ca="1">SUM($AE$20:$AF$20)</f>
        <v>0</v>
      </c>
      <c r="AH20" s="12">
        <f>'TUSD BE'!$AH$20*'TUSD BE'!$AH$58</f>
        <v>1.9929542106361611</v>
      </c>
      <c r="AI20" s="12">
        <f>'TUSD BE'!$AI$20*'TUSD BE'!$AI$58</f>
        <v>0</v>
      </c>
      <c r="AJ20" s="12">
        <f ca="1">'TUSD BE'!$AJ$20*'TUSD BE'!$AJ$58</f>
        <v>0</v>
      </c>
      <c r="AK20" s="12">
        <f ca="1">'TUSD BE'!$AK$20*'TUSD BE'!$AK$58</f>
        <v>0</v>
      </c>
      <c r="AL20" s="12">
        <f ca="1">SUM($AH$20:$AK$20)</f>
        <v>1.9929542106361611</v>
      </c>
      <c r="AM20" s="12">
        <f ca="1">SUMIF($L$4:$AL$4,"SUBTOTAL",$L$20:$AL$20)</f>
        <v>-330.79217712060591</v>
      </c>
      <c r="AO20" s="20">
        <f ca="1">+'TUSD BE'!$T$20+'TUSD BE'!$AB$20+'TUSD BE'!$AD$20+'TUSD BE'!$AL$20</f>
        <v>818.64916748970745</v>
      </c>
      <c r="AP20" s="20">
        <f ca="1">+'TUSD BE'!$T$20+'TUSD BE'!$AB$20+'TUSD BE'!$AD$20+'TUSD BE'!$AL$20</f>
        <v>818.64916748970745</v>
      </c>
    </row>
    <row r="21" spans="1:42" ht="11.25" customHeight="1" x14ac:dyDescent="0.25">
      <c r="A21" s="102"/>
      <c r="B21" s="102"/>
      <c r="C21" s="102"/>
      <c r="D21" s="18" t="s">
        <v>29</v>
      </c>
      <c r="E21" s="18" t="s">
        <v>25</v>
      </c>
      <c r="F21" s="18" t="s">
        <v>25</v>
      </c>
      <c r="G21" s="17" t="s">
        <v>77</v>
      </c>
      <c r="H21" s="17" t="s">
        <v>71</v>
      </c>
      <c r="I21" s="17">
        <f>'MERCADO TUSD'!$U$18</f>
        <v>152.22200000000001</v>
      </c>
      <c r="J21" s="15"/>
      <c r="L21" s="12">
        <f>'TUSD BE'!$L$21*'TUSD BE'!$L$58</f>
        <v>0</v>
      </c>
      <c r="M21" s="12">
        <f>'TUSD BE'!$M$21*'TUSD BE'!$M$58</f>
        <v>-0.16647987046300847</v>
      </c>
      <c r="N21" s="12">
        <f ca="1">'TUSD BE'!$N$21*'TUSD BE'!$N$58</f>
        <v>0</v>
      </c>
      <c r="O21" s="12">
        <f>'TUSD BE'!$O$21*'TUSD BE'!$O$58</f>
        <v>0</v>
      </c>
      <c r="P21" s="12">
        <f>'TUSD BE'!$P$21*'TUSD BE'!$P$58</f>
        <v>0</v>
      </c>
      <c r="Q21" s="12">
        <f>'TUSD BE'!$Q$21*'TUSD BE'!$Q$58</f>
        <v>0</v>
      </c>
      <c r="R21" s="12">
        <f>'TUSD BE'!$R$21*'TUSD BE'!$R$58</f>
        <v>0</v>
      </c>
      <c r="S21" s="12">
        <f>'TUSD BE'!$R$21*'TUSD BE'!$S$58</f>
        <v>0</v>
      </c>
      <c r="T21" s="12">
        <f ca="1">SUM($L$21:$S$21)</f>
        <v>-0.16647987046300847</v>
      </c>
      <c r="U21" s="12">
        <f>'TUSD BE'!$U$21*'TUSD BE'!$U$58</f>
        <v>0</v>
      </c>
      <c r="V21" s="12">
        <f>'TUSD BE'!$V$21*'TUSD BE'!$V$58</f>
        <v>0</v>
      </c>
      <c r="W21" s="12">
        <f>'TUSD BE'!$W$21*'TUSD BE'!$W$58</f>
        <v>0</v>
      </c>
      <c r="X21" s="12">
        <f>'TUSD BE'!$X$21*'TUSD BE'!$X$58</f>
        <v>0</v>
      </c>
      <c r="Y21" s="12">
        <f>'TUSD BE'!$Y$21*'TUSD BE'!$Y$58</f>
        <v>3.6581073074484158</v>
      </c>
      <c r="Z21" s="12">
        <f>'TUSD BE'!$Z$21*'TUSD BE'!$Z$58</f>
        <v>0</v>
      </c>
      <c r="AA21" s="12">
        <f>'TUSD BE'!$AA$21*'TUSD BE'!$AA$58</f>
        <v>0</v>
      </c>
      <c r="AB21" s="12">
        <f>SUM($U$21:$AA$21)</f>
        <v>3.6581073074484158</v>
      </c>
      <c r="AC21" s="12">
        <f>'TUSD BE'!$AC$21*'TUSD BE'!$AC$58</f>
        <v>-331.60208674643894</v>
      </c>
      <c r="AD21" s="12">
        <f>SUM($AC$21:$AC$21)</f>
        <v>-331.60208674643894</v>
      </c>
      <c r="AE21" s="12">
        <f ca="1">$AO$21*$AO$55</f>
        <v>0</v>
      </c>
      <c r="AF21" s="12">
        <f ca="1">$AP$21*$AP$55</f>
        <v>0</v>
      </c>
      <c r="AG21" s="12">
        <f ca="1">SUM($AE$21:$AF$21)</f>
        <v>0</v>
      </c>
      <c r="AH21" s="12">
        <f>'TUSD BE'!$AH$21*'TUSD BE'!$AH$58</f>
        <v>1.9929542106361611</v>
      </c>
      <c r="AI21" s="12">
        <f>'TUSD BE'!$AI$21*'TUSD BE'!$AI$58</f>
        <v>0</v>
      </c>
      <c r="AJ21" s="12">
        <f ca="1">'TUSD BE'!$AJ$21*'TUSD BE'!$AJ$58</f>
        <v>0</v>
      </c>
      <c r="AK21" s="12">
        <f ca="1">'TUSD BE'!$AK$21*'TUSD BE'!$AK$58</f>
        <v>0</v>
      </c>
      <c r="AL21" s="12">
        <f ca="1">SUM($AH$21:$AK$21)</f>
        <v>1.9929542106361611</v>
      </c>
      <c r="AM21" s="12">
        <f ca="1">SUMIF($L$4:$AL$4,"SUBTOTAL",$L$21:$AL$21)</f>
        <v>-326.11750509881733</v>
      </c>
      <c r="AO21" s="20">
        <f ca="1">+'TUSD BE'!$T$21+'TUSD BE'!$AB$21+'TUSD BE'!$AD$21+'TUSD BE'!$AL$21</f>
        <v>712.58690214295189</v>
      </c>
      <c r="AP21" s="20">
        <f ca="1">+'TUSD BE'!$T$21+'TUSD BE'!$AB$21+'TUSD BE'!$AD$21+'TUSD BE'!$AL$21</f>
        <v>712.58690214295189</v>
      </c>
    </row>
    <row r="22" spans="1:42" ht="11.25" customHeight="1" x14ac:dyDescent="0.25">
      <c r="A22" s="102"/>
      <c r="B22" s="102"/>
      <c r="C22" s="102"/>
      <c r="D22" s="18" t="s">
        <v>30</v>
      </c>
      <c r="E22" s="18" t="s">
        <v>25</v>
      </c>
      <c r="F22" s="18" t="s">
        <v>25</v>
      </c>
      <c r="G22" s="17" t="s">
        <v>77</v>
      </c>
      <c r="H22" s="17" t="s">
        <v>71</v>
      </c>
      <c r="I22" s="17">
        <f>'MERCADO TUSD'!$U$19</f>
        <v>271.62199999999996</v>
      </c>
      <c r="J22" s="15"/>
      <c r="L22" s="12">
        <f>'TUSD BE'!$L$22*'TUSD BE'!$L$58</f>
        <v>0</v>
      </c>
      <c r="M22" s="12">
        <f>'TUSD BE'!$M$22*'TUSD BE'!$M$58</f>
        <v>-0.16647987046300847</v>
      </c>
      <c r="N22" s="12">
        <f ca="1">'TUSD BE'!$N$22*'TUSD BE'!$N$58</f>
        <v>0</v>
      </c>
      <c r="O22" s="12">
        <f>'TUSD BE'!$O$22*'TUSD BE'!$O$58</f>
        <v>0</v>
      </c>
      <c r="P22" s="12">
        <f>'TUSD BE'!$P$22*'TUSD BE'!$P$58</f>
        <v>0</v>
      </c>
      <c r="Q22" s="12">
        <f>'TUSD BE'!$Q$22*'TUSD BE'!$Q$58</f>
        <v>0</v>
      </c>
      <c r="R22" s="12">
        <f>'TUSD BE'!$R$22*'TUSD BE'!$R$58</f>
        <v>0</v>
      </c>
      <c r="S22" s="12">
        <f>'TUSD BE'!$R$22*'TUSD BE'!$S$58</f>
        <v>0</v>
      </c>
      <c r="T22" s="12">
        <f ca="1">SUM($L$22:$S$22)</f>
        <v>-0.16647987046300847</v>
      </c>
      <c r="U22" s="12">
        <f>'TUSD BE'!$U$22*'TUSD BE'!$U$58</f>
        <v>0</v>
      </c>
      <c r="V22" s="12">
        <f>'TUSD BE'!$V$22*'TUSD BE'!$V$58</f>
        <v>0</v>
      </c>
      <c r="W22" s="12">
        <f>'TUSD BE'!$W$22*'TUSD BE'!$W$58</f>
        <v>0</v>
      </c>
      <c r="X22" s="12">
        <f>'TUSD BE'!$X$22*'TUSD BE'!$X$58</f>
        <v>0</v>
      </c>
      <c r="Y22" s="12">
        <f>'TUSD BE'!$Y$22*'TUSD BE'!$Y$58</f>
        <v>3.6581073074484158</v>
      </c>
      <c r="Z22" s="12">
        <f>'TUSD BE'!$Z$22*'TUSD BE'!$Z$58</f>
        <v>0</v>
      </c>
      <c r="AA22" s="12">
        <f>'TUSD BE'!$AA$22*'TUSD BE'!$AA$58</f>
        <v>0</v>
      </c>
      <c r="AB22" s="12">
        <f>SUM($U$22:$AA$22)</f>
        <v>3.6581073074484158</v>
      </c>
      <c r="AC22" s="12">
        <f>'TUSD BE'!$AC$22*'TUSD BE'!$AC$58</f>
        <v>-331.60208674643894</v>
      </c>
      <c r="AD22" s="12">
        <f>SUM($AC$22:$AC$22)</f>
        <v>-331.60208674643894</v>
      </c>
      <c r="AE22" s="12">
        <f ca="1">$AO$22*$AO$55</f>
        <v>0</v>
      </c>
      <c r="AF22" s="12">
        <f ca="1">$AP$22*$AP$55</f>
        <v>0</v>
      </c>
      <c r="AG22" s="12">
        <f ca="1">SUM($AE$22:$AF$22)</f>
        <v>0</v>
      </c>
      <c r="AH22" s="12">
        <f>'TUSD BE'!$AH$22*'TUSD BE'!$AH$58</f>
        <v>1.9929542106361611</v>
      </c>
      <c r="AI22" s="12">
        <f>'TUSD BE'!$AI$22*'TUSD BE'!$AI$58</f>
        <v>0</v>
      </c>
      <c r="AJ22" s="12">
        <f ca="1">'TUSD BE'!$AJ$22*'TUSD BE'!$AJ$58</f>
        <v>0</v>
      </c>
      <c r="AK22" s="12">
        <f ca="1">'TUSD BE'!$AK$22*'TUSD BE'!$AK$58</f>
        <v>0</v>
      </c>
      <c r="AL22" s="12">
        <f ca="1">SUM($AH$22:$AK$22)</f>
        <v>1.9929542106361611</v>
      </c>
      <c r="AM22" s="12">
        <f ca="1">SUMIF($L$4:$AL$4,"SUBTOTAL",$L$22:$AL$22)</f>
        <v>-326.11750509881733</v>
      </c>
      <c r="AO22" s="20">
        <f ca="1">+'TUSD BE'!$T$22+'TUSD BE'!$AB$22+'TUSD BE'!$AD$22+'TUSD BE'!$AL$22</f>
        <v>712.58690214295189</v>
      </c>
      <c r="AP22" s="20">
        <f ca="1">+'TUSD BE'!$T$22+'TUSD BE'!$AB$22+'TUSD BE'!$AD$22+'TUSD BE'!$AL$22</f>
        <v>712.58690214295189</v>
      </c>
    </row>
    <row r="23" spans="1:42" ht="11.25" customHeight="1" x14ac:dyDescent="0.25">
      <c r="A23" s="102"/>
      <c r="B23" s="102"/>
      <c r="C23" s="102"/>
      <c r="D23" s="18" t="s">
        <v>31</v>
      </c>
      <c r="E23" s="18" t="s">
        <v>25</v>
      </c>
      <c r="F23" s="18" t="s">
        <v>25</v>
      </c>
      <c r="G23" s="17" t="s">
        <v>77</v>
      </c>
      <c r="H23" s="17" t="s">
        <v>71</v>
      </c>
      <c r="I23" s="17">
        <f>'MERCADO TUSD'!$U$20</f>
        <v>195.72200000000001</v>
      </c>
      <c r="J23" s="15"/>
      <c r="L23" s="12">
        <f>'TUSD BE'!$L$23*'TUSD BE'!$L$58</f>
        <v>0</v>
      </c>
      <c r="M23" s="12">
        <f>'TUSD BE'!$M$23*'TUSD BE'!$M$58</f>
        <v>-0.16647987046300847</v>
      </c>
      <c r="N23" s="12">
        <f ca="1">'TUSD BE'!$N$23*'TUSD BE'!$N$58</f>
        <v>0</v>
      </c>
      <c r="O23" s="12">
        <f>'TUSD BE'!$O$23*'TUSD BE'!$O$58</f>
        <v>0</v>
      </c>
      <c r="P23" s="12">
        <f>'TUSD BE'!$P$23*'TUSD BE'!$P$58</f>
        <v>0</v>
      </c>
      <c r="Q23" s="12">
        <f>'TUSD BE'!$Q$23*'TUSD BE'!$Q$58</f>
        <v>0</v>
      </c>
      <c r="R23" s="12">
        <f>'TUSD BE'!$R$23*'TUSD BE'!$R$58</f>
        <v>0</v>
      </c>
      <c r="S23" s="12">
        <f>'TUSD BE'!$R$23*'TUSD BE'!$S$58</f>
        <v>0</v>
      </c>
      <c r="T23" s="12">
        <f ca="1">SUM($L$23:$S$23)</f>
        <v>-0.16647987046300847</v>
      </c>
      <c r="U23" s="12">
        <f>'TUSD BE'!$U$23*'TUSD BE'!$U$58</f>
        <v>0</v>
      </c>
      <c r="V23" s="12">
        <f>'TUSD BE'!$V$23*'TUSD BE'!$V$58</f>
        <v>0</v>
      </c>
      <c r="W23" s="12">
        <f>'TUSD BE'!$W$23*'TUSD BE'!$W$58</f>
        <v>0</v>
      </c>
      <c r="X23" s="12">
        <f>'TUSD BE'!$X$23*'TUSD BE'!$X$58</f>
        <v>0</v>
      </c>
      <c r="Y23" s="12">
        <f>'TUSD BE'!$Y$23*'TUSD BE'!$Y$58</f>
        <v>3.6581073074484158</v>
      </c>
      <c r="Z23" s="12">
        <f>'TUSD BE'!$Z$23*'TUSD BE'!$Z$58</f>
        <v>0</v>
      </c>
      <c r="AA23" s="12">
        <f>'TUSD BE'!$AA$23*'TUSD BE'!$AA$58</f>
        <v>0</v>
      </c>
      <c r="AB23" s="12">
        <f>SUM($U$23:$AA$23)</f>
        <v>3.6581073074484158</v>
      </c>
      <c r="AC23" s="12">
        <f>'TUSD BE'!$AC$23*'TUSD BE'!$AC$58</f>
        <v>-331.60208674643894</v>
      </c>
      <c r="AD23" s="12">
        <f>SUM($AC$23:$AC$23)</f>
        <v>-331.60208674643894</v>
      </c>
      <c r="AE23" s="12">
        <f ca="1">$AO$23*$AO$55</f>
        <v>0</v>
      </c>
      <c r="AF23" s="12">
        <f ca="1">$AP$23*$AP$55</f>
        <v>0</v>
      </c>
      <c r="AG23" s="12">
        <f ca="1">SUM($AE$23:$AF$23)</f>
        <v>0</v>
      </c>
      <c r="AH23" s="12">
        <f>'TUSD BE'!$AH$23*'TUSD BE'!$AH$58</f>
        <v>1.9929542106361611</v>
      </c>
      <c r="AI23" s="12">
        <f>'TUSD BE'!$AI$23*'TUSD BE'!$AI$58</f>
        <v>0</v>
      </c>
      <c r="AJ23" s="12">
        <f ca="1">'TUSD BE'!$AJ$23*'TUSD BE'!$AJ$58</f>
        <v>0</v>
      </c>
      <c r="AK23" s="12">
        <f ca="1">'TUSD BE'!$AK$23*'TUSD BE'!$AK$58</f>
        <v>0</v>
      </c>
      <c r="AL23" s="12">
        <f ca="1">SUM($AH$23:$AK$23)</f>
        <v>1.9929542106361611</v>
      </c>
      <c r="AM23" s="12">
        <f ca="1">SUMIF($L$4:$AL$4,"SUBTOTAL",$L$23:$AL$23)</f>
        <v>-326.11750509881733</v>
      </c>
      <c r="AO23" s="20">
        <f ca="1">+'TUSD BE'!$T$23+'TUSD BE'!$AB$23+'TUSD BE'!$AD$23+'TUSD BE'!$AL$23</f>
        <v>712.58690214295189</v>
      </c>
      <c r="AP23" s="20">
        <f ca="1">+'TUSD BE'!$T$23+'TUSD BE'!$AB$23+'TUSD BE'!$AD$23+'TUSD BE'!$AL$23</f>
        <v>712.58690214295189</v>
      </c>
    </row>
    <row r="24" spans="1:42" ht="11.25" customHeight="1" x14ac:dyDescent="0.25">
      <c r="A24" s="102"/>
      <c r="B24" s="102"/>
      <c r="C24" s="102"/>
      <c r="D24" s="18" t="s">
        <v>32</v>
      </c>
      <c r="E24" s="18" t="s">
        <v>25</v>
      </c>
      <c r="F24" s="18" t="s">
        <v>25</v>
      </c>
      <c r="G24" s="17" t="s">
        <v>77</v>
      </c>
      <c r="H24" s="17" t="s">
        <v>71</v>
      </c>
      <c r="I24" s="17">
        <f>'MERCADO TUSD'!$U$21</f>
        <v>56.320999999999998</v>
      </c>
      <c r="J24" s="15"/>
      <c r="L24" s="12">
        <f>'TUSD BE'!$L$24*'TUSD BE'!$L$58</f>
        <v>0</v>
      </c>
      <c r="M24" s="12">
        <f>'TUSD BE'!$M$24*'TUSD BE'!$M$58</f>
        <v>-0.16647987046300847</v>
      </c>
      <c r="N24" s="12">
        <f ca="1">'TUSD BE'!$N$24*'TUSD BE'!$N$58</f>
        <v>0</v>
      </c>
      <c r="O24" s="12">
        <f>'TUSD BE'!$O$24*'TUSD BE'!$O$58</f>
        <v>0</v>
      </c>
      <c r="P24" s="12">
        <f>'TUSD BE'!$P$24*'TUSD BE'!$P$58</f>
        <v>0</v>
      </c>
      <c r="Q24" s="12">
        <f>'TUSD BE'!$Q$24*'TUSD BE'!$Q$58</f>
        <v>0</v>
      </c>
      <c r="R24" s="12">
        <f>'TUSD BE'!$R$24*'TUSD BE'!$R$58</f>
        <v>0</v>
      </c>
      <c r="S24" s="12">
        <f>'TUSD BE'!$R$24*'TUSD BE'!$S$58</f>
        <v>0</v>
      </c>
      <c r="T24" s="12">
        <f ca="1">SUM($L$24:$S$24)</f>
        <v>-0.16647987046300847</v>
      </c>
      <c r="U24" s="12">
        <f>'TUSD BE'!$U$24*'TUSD BE'!$U$58</f>
        <v>0</v>
      </c>
      <c r="V24" s="12">
        <f>'TUSD BE'!$V$24*'TUSD BE'!$V$58</f>
        <v>0</v>
      </c>
      <c r="W24" s="12">
        <f>'TUSD BE'!$W$24*'TUSD BE'!$W$58</f>
        <v>0</v>
      </c>
      <c r="X24" s="12">
        <f>'TUSD BE'!$X$24*'TUSD BE'!$X$58</f>
        <v>0</v>
      </c>
      <c r="Y24" s="12">
        <f>'TUSD BE'!$Y$24*'TUSD BE'!$Y$58</f>
        <v>3.6581073074484158</v>
      </c>
      <c r="Z24" s="12">
        <f>'TUSD BE'!$Z$24*'TUSD BE'!$Z$58</f>
        <v>0</v>
      </c>
      <c r="AA24" s="12">
        <f>'TUSD BE'!$AA$24*'TUSD BE'!$AA$58</f>
        <v>0</v>
      </c>
      <c r="AB24" s="12">
        <f>SUM($U$24:$AA$24)</f>
        <v>3.6581073074484158</v>
      </c>
      <c r="AC24" s="12">
        <f>'TUSD BE'!$AC$24*'TUSD BE'!$AC$58</f>
        <v>-331.60208674643894</v>
      </c>
      <c r="AD24" s="12">
        <f>SUM($AC$24:$AC$24)</f>
        <v>-331.60208674643894</v>
      </c>
      <c r="AE24" s="12">
        <f ca="1">$AO$24*$AO$55</f>
        <v>0</v>
      </c>
      <c r="AF24" s="12">
        <f ca="1">$AP$24*$AP$55</f>
        <v>0</v>
      </c>
      <c r="AG24" s="12">
        <f ca="1">SUM($AE$24:$AF$24)</f>
        <v>0</v>
      </c>
      <c r="AH24" s="12">
        <f>'TUSD BE'!$AH$24*'TUSD BE'!$AH$58</f>
        <v>1.9929542106361611</v>
      </c>
      <c r="AI24" s="12">
        <f>'TUSD BE'!$AI$24*'TUSD BE'!$AI$58</f>
        <v>0</v>
      </c>
      <c r="AJ24" s="12">
        <f ca="1">'TUSD BE'!$AJ$24*'TUSD BE'!$AJ$58</f>
        <v>0</v>
      </c>
      <c r="AK24" s="12">
        <f ca="1">'TUSD BE'!$AK$24*'TUSD BE'!$AK$58</f>
        <v>0</v>
      </c>
      <c r="AL24" s="12">
        <f ca="1">SUM($AH$24:$AK$24)</f>
        <v>1.9929542106361611</v>
      </c>
      <c r="AM24" s="12">
        <f ca="1">SUMIF($L$4:$AL$4,"SUBTOTAL",$L$24:$AL$24)</f>
        <v>-326.11750509881733</v>
      </c>
      <c r="AO24" s="20">
        <f ca="1">+'TUSD BE'!$T$24+'TUSD BE'!$AB$24+'TUSD BE'!$AD$24+'TUSD BE'!$AL$24</f>
        <v>712.58690214295189</v>
      </c>
      <c r="AP24" s="20">
        <f ca="1">+'TUSD BE'!$T$24+'TUSD BE'!$AB$24+'TUSD BE'!$AD$24+'TUSD BE'!$AL$24</f>
        <v>712.58690214295189</v>
      </c>
    </row>
    <row r="25" spans="1:42" ht="11.25" customHeight="1" x14ac:dyDescent="0.25">
      <c r="A25" s="102"/>
      <c r="B25" s="102" t="s">
        <v>87</v>
      </c>
      <c r="C25" s="102" t="s">
        <v>24</v>
      </c>
      <c r="D25" s="18" t="s">
        <v>24</v>
      </c>
      <c r="E25" s="18" t="s">
        <v>25</v>
      </c>
      <c r="F25" s="18" t="s">
        <v>25</v>
      </c>
      <c r="G25" s="17" t="s">
        <v>77</v>
      </c>
      <c r="H25" s="17" t="s">
        <v>71</v>
      </c>
      <c r="I25" s="17">
        <f>'MERCADO TUSD'!$U$22</f>
        <v>0</v>
      </c>
      <c r="J25" s="15"/>
      <c r="L25" s="12">
        <f>'TUSD BE'!$L$25*'TUSD BE'!$L$58</f>
        <v>0</v>
      </c>
      <c r="M25" s="12">
        <f>'TUSD BE'!$M$25*'TUSD BE'!$M$58</f>
        <v>-0.16647987046300847</v>
      </c>
      <c r="N25" s="12">
        <f ca="1">'TUSD BE'!$N$25*'TUSD BE'!$N$58</f>
        <v>0</v>
      </c>
      <c r="O25" s="12">
        <f>'TUSD BE'!$O$25*'TUSD BE'!$O$58</f>
        <v>0</v>
      </c>
      <c r="P25" s="12">
        <f>'TUSD BE'!$P$25*'TUSD BE'!$P$58</f>
        <v>0</v>
      </c>
      <c r="Q25" s="12">
        <f>'TUSD BE'!$Q$25*'TUSD BE'!$Q$58</f>
        <v>-4.0501667433336852</v>
      </c>
      <c r="R25" s="12">
        <f>'TUSD BE'!$R$25*'TUSD BE'!$R$58</f>
        <v>-0.62450527845486925</v>
      </c>
      <c r="S25" s="12">
        <f>'TUSD BE'!$R$25*'TUSD BE'!$S$58</f>
        <v>0</v>
      </c>
      <c r="T25" s="12">
        <f ca="1">SUM($L$25:$S$25)</f>
        <v>-4.8411518922515624</v>
      </c>
      <c r="U25" s="12">
        <f>'TUSD BE'!$U$25*'TUSD BE'!$U$58</f>
        <v>0</v>
      </c>
      <c r="V25" s="12">
        <f>'TUSD BE'!$V$25*'TUSD BE'!$V$58</f>
        <v>0</v>
      </c>
      <c r="W25" s="12">
        <f>'TUSD BE'!$W$25*'TUSD BE'!$W$58</f>
        <v>0</v>
      </c>
      <c r="X25" s="12">
        <f>'TUSD BE'!$X$25*'TUSD BE'!$X$58</f>
        <v>0</v>
      </c>
      <c r="Y25" s="12">
        <f>'TUSD BE'!$Y$25*'TUSD BE'!$Y$58</f>
        <v>3.6581073074484158</v>
      </c>
      <c r="Z25" s="12">
        <f>'TUSD BE'!$Z$25*'TUSD BE'!$Z$58</f>
        <v>0</v>
      </c>
      <c r="AA25" s="12">
        <f>'TUSD BE'!$AA$25*'TUSD BE'!$AA$58</f>
        <v>0</v>
      </c>
      <c r="AB25" s="12">
        <f>SUM($U$25:$AA$25)</f>
        <v>3.6581073074484158</v>
      </c>
      <c r="AC25" s="12">
        <f>'TUSD BE'!$AC$25*'TUSD BE'!$AC$58</f>
        <v>-331.60208674643894</v>
      </c>
      <c r="AD25" s="12">
        <f>SUM($AC$25:$AC$25)</f>
        <v>-331.60208674643894</v>
      </c>
      <c r="AE25" s="12">
        <f ca="1">$AO$25*$AO$55</f>
        <v>0</v>
      </c>
      <c r="AF25" s="12">
        <f ca="1">$AP$25*$AP$55</f>
        <v>0</v>
      </c>
      <c r="AG25" s="12">
        <f ca="1">SUM($AE$25:$AF$25)</f>
        <v>0</v>
      </c>
      <c r="AH25" s="12">
        <f>'TUSD BE'!$AH$25*'TUSD BE'!$AH$58</f>
        <v>1.9929542106361611</v>
      </c>
      <c r="AI25" s="12">
        <f>'TUSD BE'!$AI$25*'TUSD BE'!$AI$58</f>
        <v>0</v>
      </c>
      <c r="AJ25" s="12">
        <f ca="1">'TUSD BE'!$AJ$25*'TUSD BE'!$AJ$58</f>
        <v>0</v>
      </c>
      <c r="AK25" s="12">
        <f ca="1">'TUSD BE'!$AK$25*'TUSD BE'!$AK$58</f>
        <v>0</v>
      </c>
      <c r="AL25" s="12">
        <f ca="1">SUM($AH$25:$AK$25)</f>
        <v>1.9929542106361611</v>
      </c>
      <c r="AM25" s="12">
        <f ca="1">SUMIF($L$4:$AL$4,"SUBTOTAL",$L$25:$AL$25)</f>
        <v>-330.79217712060591</v>
      </c>
      <c r="AO25" s="20">
        <f ca="1">+'TUSD BE'!$T$25+'TUSD BE'!$AB$25+'TUSD BE'!$AD$25+'TUSD BE'!$AL$25</f>
        <v>818.64916748970745</v>
      </c>
      <c r="AP25" s="20">
        <f ca="1">+'TUSD BE'!$T$25+'TUSD BE'!$AB$25+'TUSD BE'!$AD$25+'TUSD BE'!$AL$25</f>
        <v>818.64916748970745</v>
      </c>
    </row>
    <row r="26" spans="1:42" ht="11.25" customHeight="1" x14ac:dyDescent="0.25">
      <c r="A26" s="102"/>
      <c r="B26" s="102"/>
      <c r="C26" s="102"/>
      <c r="D26" s="18" t="s">
        <v>29</v>
      </c>
      <c r="E26" s="18" t="s">
        <v>25</v>
      </c>
      <c r="F26" s="18" t="s">
        <v>25</v>
      </c>
      <c r="G26" s="17" t="s">
        <v>77</v>
      </c>
      <c r="H26" s="17" t="s">
        <v>71</v>
      </c>
      <c r="I26" s="17">
        <f>'MERCADO TUSD'!$U$23</f>
        <v>0</v>
      </c>
      <c r="J26" s="15"/>
      <c r="L26" s="12">
        <f>'TUSD BE'!$L$26*'TUSD BE'!$L$58</f>
        <v>0</v>
      </c>
      <c r="M26" s="12">
        <f>'TUSD BE'!$M$26*'TUSD BE'!$M$58</f>
        <v>-0.16647987046300847</v>
      </c>
      <c r="N26" s="12">
        <f ca="1">'TUSD BE'!$N$26*'TUSD BE'!$N$58</f>
        <v>0</v>
      </c>
      <c r="O26" s="12">
        <f>'TUSD BE'!$O$26*'TUSD BE'!$O$58</f>
        <v>0</v>
      </c>
      <c r="P26" s="12">
        <f>'TUSD BE'!$P$26*'TUSD BE'!$P$58</f>
        <v>0</v>
      </c>
      <c r="Q26" s="12">
        <f>'TUSD BE'!$Q$26*'TUSD BE'!$Q$58</f>
        <v>0</v>
      </c>
      <c r="R26" s="12">
        <f>'TUSD BE'!$R$26*'TUSD BE'!$R$58</f>
        <v>0</v>
      </c>
      <c r="S26" s="12">
        <f>'TUSD BE'!$R$26*'TUSD BE'!$S$58</f>
        <v>0</v>
      </c>
      <c r="T26" s="12">
        <f ca="1">SUM($L$26:$S$26)</f>
        <v>-0.16647987046300847</v>
      </c>
      <c r="U26" s="12">
        <f>'TUSD BE'!$U$26*'TUSD BE'!$U$58</f>
        <v>0</v>
      </c>
      <c r="V26" s="12">
        <f>'TUSD BE'!$V$26*'TUSD BE'!$V$58</f>
        <v>0</v>
      </c>
      <c r="W26" s="12">
        <f>'TUSD BE'!$W$26*'TUSD BE'!$W$58</f>
        <v>0</v>
      </c>
      <c r="X26" s="12">
        <f>'TUSD BE'!$X$26*'TUSD BE'!$X$58</f>
        <v>0</v>
      </c>
      <c r="Y26" s="12">
        <f>'TUSD BE'!$Y$26*'TUSD BE'!$Y$58</f>
        <v>3.6581073074484158</v>
      </c>
      <c r="Z26" s="12">
        <f>'TUSD BE'!$Z$26*'TUSD BE'!$Z$58</f>
        <v>0</v>
      </c>
      <c r="AA26" s="12">
        <f>'TUSD BE'!$AA$26*'TUSD BE'!$AA$58</f>
        <v>0</v>
      </c>
      <c r="AB26" s="12">
        <f>SUM($U$26:$AA$26)</f>
        <v>3.6581073074484158</v>
      </c>
      <c r="AC26" s="12">
        <f>'TUSD BE'!$AC$26*'TUSD BE'!$AC$58</f>
        <v>-331.60208674643894</v>
      </c>
      <c r="AD26" s="12">
        <f>SUM($AC$26:$AC$26)</f>
        <v>-331.60208674643894</v>
      </c>
      <c r="AE26" s="12">
        <f ca="1">$AO$26*$AO$55</f>
        <v>0</v>
      </c>
      <c r="AF26" s="12">
        <f ca="1">$AP$26*$AP$55</f>
        <v>0</v>
      </c>
      <c r="AG26" s="12">
        <f ca="1">SUM($AE$26:$AF$26)</f>
        <v>0</v>
      </c>
      <c r="AH26" s="12">
        <f>'TUSD BE'!$AH$26*'TUSD BE'!$AH$58</f>
        <v>1.9929542106361611</v>
      </c>
      <c r="AI26" s="12">
        <f>'TUSD BE'!$AI$26*'TUSD BE'!$AI$58</f>
        <v>0</v>
      </c>
      <c r="AJ26" s="12">
        <f ca="1">'TUSD BE'!$AJ$26*'TUSD BE'!$AJ$58</f>
        <v>0</v>
      </c>
      <c r="AK26" s="12">
        <f ca="1">'TUSD BE'!$AK$26*'TUSD BE'!$AK$58</f>
        <v>0</v>
      </c>
      <c r="AL26" s="12">
        <f ca="1">SUM($AH$26:$AK$26)</f>
        <v>1.9929542106361611</v>
      </c>
      <c r="AM26" s="12">
        <f ca="1">SUMIF($L$4:$AL$4,"SUBTOTAL",$L$26:$AL$26)</f>
        <v>-326.11750509881733</v>
      </c>
      <c r="AO26" s="20">
        <f ca="1">+'TUSD BE'!$T$26+'TUSD BE'!$AB$26+'TUSD BE'!$AD$26+'TUSD BE'!$AL$26</f>
        <v>712.58690214295189</v>
      </c>
      <c r="AP26" s="20">
        <f ca="1">+'TUSD BE'!$T$26+'TUSD BE'!$AB$26+'TUSD BE'!$AD$26+'TUSD BE'!$AL$26</f>
        <v>712.58690214295189</v>
      </c>
    </row>
    <row r="27" spans="1:42" ht="11.25" customHeight="1" x14ac:dyDescent="0.25">
      <c r="A27" s="102"/>
      <c r="B27" s="102"/>
      <c r="C27" s="102"/>
      <c r="D27" s="18" t="s">
        <v>30</v>
      </c>
      <c r="E27" s="18" t="s">
        <v>25</v>
      </c>
      <c r="F27" s="18" t="s">
        <v>25</v>
      </c>
      <c r="G27" s="17" t="s">
        <v>77</v>
      </c>
      <c r="H27" s="17" t="s">
        <v>71</v>
      </c>
      <c r="I27" s="17">
        <f>'MERCADO TUSD'!$U$24</f>
        <v>0</v>
      </c>
      <c r="J27" s="15"/>
      <c r="L27" s="12">
        <f>'TUSD BE'!$L$27*'TUSD BE'!$L$58</f>
        <v>0</v>
      </c>
      <c r="M27" s="12">
        <f>'TUSD BE'!$M$27*'TUSD BE'!$M$58</f>
        <v>-0.16647987046300847</v>
      </c>
      <c r="N27" s="12">
        <f ca="1">'TUSD BE'!$N$27*'TUSD BE'!$N$58</f>
        <v>0</v>
      </c>
      <c r="O27" s="12">
        <f>'TUSD BE'!$O$27*'TUSD BE'!$O$58</f>
        <v>0</v>
      </c>
      <c r="P27" s="12">
        <f>'TUSD BE'!$P$27*'TUSD BE'!$P$58</f>
        <v>0</v>
      </c>
      <c r="Q27" s="12">
        <f>'TUSD BE'!$Q$27*'TUSD BE'!$Q$58</f>
        <v>0</v>
      </c>
      <c r="R27" s="12">
        <f>'TUSD BE'!$R$27*'TUSD BE'!$R$58</f>
        <v>0</v>
      </c>
      <c r="S27" s="12">
        <f>'TUSD BE'!$R$27*'TUSD BE'!$S$58</f>
        <v>0</v>
      </c>
      <c r="T27" s="12">
        <f ca="1">SUM($L$27:$S$27)</f>
        <v>-0.16647987046300847</v>
      </c>
      <c r="U27" s="12">
        <f>'TUSD BE'!$U$27*'TUSD BE'!$U$58</f>
        <v>0</v>
      </c>
      <c r="V27" s="12">
        <f>'TUSD BE'!$V$27*'TUSD BE'!$V$58</f>
        <v>0</v>
      </c>
      <c r="W27" s="12">
        <f>'TUSD BE'!$W$27*'TUSD BE'!$W$58</f>
        <v>0</v>
      </c>
      <c r="X27" s="12">
        <f>'TUSD BE'!$X$27*'TUSD BE'!$X$58</f>
        <v>0</v>
      </c>
      <c r="Y27" s="12">
        <f>'TUSD BE'!$Y$27*'TUSD BE'!$Y$58</f>
        <v>3.6581073074484158</v>
      </c>
      <c r="Z27" s="12">
        <f>'TUSD BE'!$Z$27*'TUSD BE'!$Z$58</f>
        <v>0</v>
      </c>
      <c r="AA27" s="12">
        <f>'TUSD BE'!$AA$27*'TUSD BE'!$AA$58</f>
        <v>0</v>
      </c>
      <c r="AB27" s="12">
        <f>SUM($U$27:$AA$27)</f>
        <v>3.6581073074484158</v>
      </c>
      <c r="AC27" s="12">
        <f>'TUSD BE'!$AC$27*'TUSD BE'!$AC$58</f>
        <v>-331.60208674643894</v>
      </c>
      <c r="AD27" s="12">
        <f>SUM($AC$27:$AC$27)</f>
        <v>-331.60208674643894</v>
      </c>
      <c r="AE27" s="12">
        <f ca="1">$AO$27*$AO$55</f>
        <v>0</v>
      </c>
      <c r="AF27" s="12">
        <f ca="1">$AP$27*$AP$55</f>
        <v>0</v>
      </c>
      <c r="AG27" s="12">
        <f ca="1">SUM($AE$27:$AF$27)</f>
        <v>0</v>
      </c>
      <c r="AH27" s="12">
        <f>'TUSD BE'!$AH$27*'TUSD BE'!$AH$58</f>
        <v>1.9929542106361611</v>
      </c>
      <c r="AI27" s="12">
        <f>'TUSD BE'!$AI$27*'TUSD BE'!$AI$58</f>
        <v>0</v>
      </c>
      <c r="AJ27" s="12">
        <f ca="1">'TUSD BE'!$AJ$27*'TUSD BE'!$AJ$58</f>
        <v>0</v>
      </c>
      <c r="AK27" s="12">
        <f ca="1">'TUSD BE'!$AK$27*'TUSD BE'!$AK$58</f>
        <v>0</v>
      </c>
      <c r="AL27" s="12">
        <f ca="1">SUM($AH$27:$AK$27)</f>
        <v>1.9929542106361611</v>
      </c>
      <c r="AM27" s="12">
        <f ca="1">SUMIF($L$4:$AL$4,"SUBTOTAL",$L$27:$AL$27)</f>
        <v>-326.11750509881733</v>
      </c>
      <c r="AO27" s="20">
        <f ca="1">+'TUSD BE'!$T$27+'TUSD BE'!$AB$27+'TUSD BE'!$AD$27+'TUSD BE'!$AL$27</f>
        <v>712.58690214295189</v>
      </c>
      <c r="AP27" s="20">
        <f ca="1">+'TUSD BE'!$T$27+'TUSD BE'!$AB$27+'TUSD BE'!$AD$27+'TUSD BE'!$AL$27</f>
        <v>712.58690214295189</v>
      </c>
    </row>
    <row r="28" spans="1:42" ht="11.25" customHeight="1" x14ac:dyDescent="0.25">
      <c r="A28" s="102"/>
      <c r="B28" s="102"/>
      <c r="C28" s="102"/>
      <c r="D28" s="18" t="s">
        <v>31</v>
      </c>
      <c r="E28" s="18" t="s">
        <v>25</v>
      </c>
      <c r="F28" s="18" t="s">
        <v>25</v>
      </c>
      <c r="G28" s="17" t="s">
        <v>77</v>
      </c>
      <c r="H28" s="17" t="s">
        <v>71</v>
      </c>
      <c r="I28" s="17">
        <f>'MERCADO TUSD'!$U$25</f>
        <v>0</v>
      </c>
      <c r="J28" s="15"/>
      <c r="L28" s="12">
        <f>'TUSD BE'!$L$28*'TUSD BE'!$L$58</f>
        <v>0</v>
      </c>
      <c r="M28" s="12">
        <f>'TUSD BE'!$M$28*'TUSD BE'!$M$58</f>
        <v>-0.16647987046300847</v>
      </c>
      <c r="N28" s="12">
        <f ca="1">'TUSD BE'!$N$28*'TUSD BE'!$N$58</f>
        <v>0</v>
      </c>
      <c r="O28" s="12">
        <f>'TUSD BE'!$O$28*'TUSD BE'!$O$58</f>
        <v>0</v>
      </c>
      <c r="P28" s="12">
        <f>'TUSD BE'!$P$28*'TUSD BE'!$P$58</f>
        <v>0</v>
      </c>
      <c r="Q28" s="12">
        <f>'TUSD BE'!$Q$28*'TUSD BE'!$Q$58</f>
        <v>0</v>
      </c>
      <c r="R28" s="12">
        <f>'TUSD BE'!$R$28*'TUSD BE'!$R$58</f>
        <v>0</v>
      </c>
      <c r="S28" s="12">
        <f>'TUSD BE'!$R$28*'TUSD BE'!$S$58</f>
        <v>0</v>
      </c>
      <c r="T28" s="12">
        <f ca="1">SUM($L$28:$S$28)</f>
        <v>-0.16647987046300847</v>
      </c>
      <c r="U28" s="12">
        <f>'TUSD BE'!$U$28*'TUSD BE'!$U$58</f>
        <v>0</v>
      </c>
      <c r="V28" s="12">
        <f>'TUSD BE'!$V$28*'TUSD BE'!$V$58</f>
        <v>0</v>
      </c>
      <c r="W28" s="12">
        <f>'TUSD BE'!$W$28*'TUSD BE'!$W$58</f>
        <v>0</v>
      </c>
      <c r="X28" s="12">
        <f>'TUSD BE'!$X$28*'TUSD BE'!$X$58</f>
        <v>0</v>
      </c>
      <c r="Y28" s="12">
        <f>'TUSD BE'!$Y$28*'TUSD BE'!$Y$58</f>
        <v>3.6581073074484158</v>
      </c>
      <c r="Z28" s="12">
        <f>'TUSD BE'!$Z$28*'TUSD BE'!$Z$58</f>
        <v>0</v>
      </c>
      <c r="AA28" s="12">
        <f>'TUSD BE'!$AA$28*'TUSD BE'!$AA$58</f>
        <v>0</v>
      </c>
      <c r="AB28" s="12">
        <f>SUM($U$28:$AA$28)</f>
        <v>3.6581073074484158</v>
      </c>
      <c r="AC28" s="12">
        <f>'TUSD BE'!$AC$28*'TUSD BE'!$AC$58</f>
        <v>-331.60208674643894</v>
      </c>
      <c r="AD28" s="12">
        <f>SUM($AC$28:$AC$28)</f>
        <v>-331.60208674643894</v>
      </c>
      <c r="AE28" s="12">
        <f ca="1">$AO$28*$AO$55</f>
        <v>0</v>
      </c>
      <c r="AF28" s="12">
        <f ca="1">$AP$28*$AP$55</f>
        <v>0</v>
      </c>
      <c r="AG28" s="12">
        <f ca="1">SUM($AE$28:$AF$28)</f>
        <v>0</v>
      </c>
      <c r="AH28" s="12">
        <f>'TUSD BE'!$AH$28*'TUSD BE'!$AH$58</f>
        <v>1.9929542106361611</v>
      </c>
      <c r="AI28" s="12">
        <f>'TUSD BE'!$AI$28*'TUSD BE'!$AI$58</f>
        <v>0</v>
      </c>
      <c r="AJ28" s="12">
        <f ca="1">'TUSD BE'!$AJ$28*'TUSD BE'!$AJ$58</f>
        <v>0</v>
      </c>
      <c r="AK28" s="12">
        <f ca="1">'TUSD BE'!$AK$28*'TUSD BE'!$AK$58</f>
        <v>0</v>
      </c>
      <c r="AL28" s="12">
        <f ca="1">SUM($AH$28:$AK$28)</f>
        <v>1.9929542106361611</v>
      </c>
      <c r="AM28" s="12">
        <f ca="1">SUMIF($L$4:$AL$4,"SUBTOTAL",$L$28:$AL$28)</f>
        <v>-326.11750509881733</v>
      </c>
      <c r="AO28" s="20">
        <f ca="1">+'TUSD BE'!$T$28+'TUSD BE'!$AB$28+'TUSD BE'!$AD$28+'TUSD BE'!$AL$28</f>
        <v>712.58690214295189</v>
      </c>
      <c r="AP28" s="20">
        <f ca="1">+'TUSD BE'!$T$28+'TUSD BE'!$AB$28+'TUSD BE'!$AD$28+'TUSD BE'!$AL$28</f>
        <v>712.58690214295189</v>
      </c>
    </row>
    <row r="29" spans="1:42" ht="11.25" customHeight="1" x14ac:dyDescent="0.25">
      <c r="A29" s="102"/>
      <c r="B29" s="102"/>
      <c r="C29" s="102"/>
      <c r="D29" s="18" t="s">
        <v>32</v>
      </c>
      <c r="E29" s="18" t="s">
        <v>25</v>
      </c>
      <c r="F29" s="18" t="s">
        <v>25</v>
      </c>
      <c r="G29" s="17" t="s">
        <v>77</v>
      </c>
      <c r="H29" s="17" t="s">
        <v>71</v>
      </c>
      <c r="I29" s="17">
        <f>'MERCADO TUSD'!$U$26</f>
        <v>0</v>
      </c>
      <c r="J29" s="15"/>
      <c r="L29" s="12">
        <f>'TUSD BE'!$L$29*'TUSD BE'!$L$58</f>
        <v>0</v>
      </c>
      <c r="M29" s="12">
        <f>'TUSD BE'!$M$29*'TUSD BE'!$M$58</f>
        <v>-0.16647987046300847</v>
      </c>
      <c r="N29" s="12">
        <f ca="1">'TUSD BE'!$N$29*'TUSD BE'!$N$58</f>
        <v>0</v>
      </c>
      <c r="O29" s="12">
        <f>'TUSD BE'!$O$29*'TUSD BE'!$O$58</f>
        <v>0</v>
      </c>
      <c r="P29" s="12">
        <f>'TUSD BE'!$P$29*'TUSD BE'!$P$58</f>
        <v>0</v>
      </c>
      <c r="Q29" s="12">
        <f>'TUSD BE'!$Q$29*'TUSD BE'!$Q$58</f>
        <v>0</v>
      </c>
      <c r="R29" s="12">
        <f>'TUSD BE'!$R$29*'TUSD BE'!$R$58</f>
        <v>0</v>
      </c>
      <c r="S29" s="12">
        <f>'TUSD BE'!$R$29*'TUSD BE'!$S$58</f>
        <v>0</v>
      </c>
      <c r="T29" s="12">
        <f ca="1">SUM($L$29:$S$29)</f>
        <v>-0.16647987046300847</v>
      </c>
      <c r="U29" s="12">
        <f>'TUSD BE'!$U$29*'TUSD BE'!$U$58</f>
        <v>0</v>
      </c>
      <c r="V29" s="12">
        <f>'TUSD BE'!$V$29*'TUSD BE'!$V$58</f>
        <v>0</v>
      </c>
      <c r="W29" s="12">
        <f>'TUSD BE'!$W$29*'TUSD BE'!$W$58</f>
        <v>0</v>
      </c>
      <c r="X29" s="12">
        <f>'TUSD BE'!$X$29*'TUSD BE'!$X$58</f>
        <v>0</v>
      </c>
      <c r="Y29" s="12">
        <f>'TUSD BE'!$Y$29*'TUSD BE'!$Y$58</f>
        <v>3.6581073074484158</v>
      </c>
      <c r="Z29" s="12">
        <f>'TUSD BE'!$Z$29*'TUSD BE'!$Z$58</f>
        <v>0</v>
      </c>
      <c r="AA29" s="12">
        <f>'TUSD BE'!$AA$29*'TUSD BE'!$AA$58</f>
        <v>0</v>
      </c>
      <c r="AB29" s="12">
        <f>SUM($U$29:$AA$29)</f>
        <v>3.6581073074484158</v>
      </c>
      <c r="AC29" s="12">
        <f>'TUSD BE'!$AC$29*'TUSD BE'!$AC$58</f>
        <v>-331.60208674643894</v>
      </c>
      <c r="AD29" s="12">
        <f>SUM($AC$29:$AC$29)</f>
        <v>-331.60208674643894</v>
      </c>
      <c r="AE29" s="12">
        <f ca="1">$AO$29*$AO$55</f>
        <v>0</v>
      </c>
      <c r="AF29" s="12">
        <f ca="1">$AP$29*$AP$55</f>
        <v>0</v>
      </c>
      <c r="AG29" s="12">
        <f ca="1">SUM($AE$29:$AF$29)</f>
        <v>0</v>
      </c>
      <c r="AH29" s="12">
        <f>'TUSD BE'!$AH$29*'TUSD BE'!$AH$58</f>
        <v>1.9929542106361611</v>
      </c>
      <c r="AI29" s="12">
        <f>'TUSD BE'!$AI$29*'TUSD BE'!$AI$58</f>
        <v>0</v>
      </c>
      <c r="AJ29" s="12">
        <f ca="1">'TUSD BE'!$AJ$29*'TUSD BE'!$AJ$58</f>
        <v>0</v>
      </c>
      <c r="AK29" s="12">
        <f ca="1">'TUSD BE'!$AK$29*'TUSD BE'!$AK$58</f>
        <v>0</v>
      </c>
      <c r="AL29" s="12">
        <f ca="1">SUM($AH$29:$AK$29)</f>
        <v>1.9929542106361611</v>
      </c>
      <c r="AM29" s="12">
        <f ca="1">SUMIF($L$4:$AL$4,"SUBTOTAL",$L$29:$AL$29)</f>
        <v>-326.11750509881733</v>
      </c>
      <c r="AO29" s="20">
        <f ca="1">+'TUSD BE'!$T$29+'TUSD BE'!$AB$29+'TUSD BE'!$AD$29+'TUSD BE'!$AL$29</f>
        <v>712.58690214295189</v>
      </c>
      <c r="AP29" s="20">
        <f ca="1">+'TUSD BE'!$T$29+'TUSD BE'!$AB$29+'TUSD BE'!$AD$29+'TUSD BE'!$AL$29</f>
        <v>712.58690214295189</v>
      </c>
    </row>
    <row r="30" spans="1:42" ht="11.25" customHeight="1" x14ac:dyDescent="0.25">
      <c r="A30" s="102" t="s">
        <v>40</v>
      </c>
      <c r="B30" s="102" t="s">
        <v>85</v>
      </c>
      <c r="C30" s="102" t="s">
        <v>41</v>
      </c>
      <c r="D30" s="102" t="s">
        <v>25</v>
      </c>
      <c r="E30" s="102" t="s">
        <v>25</v>
      </c>
      <c r="F30" s="102" t="s">
        <v>25</v>
      </c>
      <c r="G30" s="17" t="s">
        <v>72</v>
      </c>
      <c r="H30" s="17" t="s">
        <v>71</v>
      </c>
      <c r="I30" s="17">
        <f>'MERCADO TUSD'!$U$27</f>
        <v>0</v>
      </c>
      <c r="J30" s="15"/>
      <c r="L30" s="12">
        <f>'TUSD BE'!$L$30*'TUSD BE'!$L$58</f>
        <v>0</v>
      </c>
      <c r="M30" s="12">
        <f>'TUSD BE'!$M$30*'TUSD BE'!$M$58</f>
        <v>-0.16647987046300847</v>
      </c>
      <c r="N30" s="12">
        <f ca="1">'TUSD BE'!$N$30*'TUSD BE'!$N$58</f>
        <v>0</v>
      </c>
      <c r="O30" s="12">
        <f>'TUSD BE'!$O$30*'TUSD BE'!$O$58</f>
        <v>0</v>
      </c>
      <c r="P30" s="12">
        <f>'TUSD BE'!$P$30*'TUSD BE'!$P$58</f>
        <v>0</v>
      </c>
      <c r="Q30" s="12">
        <f>'TUSD BE'!$Q$30*'TUSD BE'!$Q$58</f>
        <v>-4.0501667433336852</v>
      </c>
      <c r="R30" s="12">
        <f>'TUSD BE'!$R$30*'TUSD BE'!$R$58</f>
        <v>-0.62450527845486925</v>
      </c>
      <c r="S30" s="12">
        <f>'TUSD BE'!$R$30*'TUSD BE'!$S$58</f>
        <v>0</v>
      </c>
      <c r="T30" s="12">
        <f ca="1">SUM($L$30:$S$30)</f>
        <v>-4.8411518922515624</v>
      </c>
      <c r="U30" s="12">
        <f>'TUSD BE'!$U$30*'TUSD BE'!$U$58</f>
        <v>0</v>
      </c>
      <c r="V30" s="12">
        <f>'TUSD BE'!$V$30*'TUSD BE'!$V$58</f>
        <v>0</v>
      </c>
      <c r="W30" s="12">
        <f>'TUSD BE'!$W$30*'TUSD BE'!$W$58</f>
        <v>0</v>
      </c>
      <c r="X30" s="12">
        <f>'TUSD BE'!$X$30*'TUSD BE'!$X$58</f>
        <v>0</v>
      </c>
      <c r="Y30" s="12">
        <f>'TUSD BE'!$Y$30*'TUSD BE'!$Y$58</f>
        <v>9.509138358884476</v>
      </c>
      <c r="Z30" s="12">
        <f>'TUSD BE'!$Z$30*'TUSD BE'!$Z$58</f>
        <v>0</v>
      </c>
      <c r="AA30" s="12">
        <f>'TUSD BE'!$AA$30*'TUSD BE'!$AA$58</f>
        <v>0</v>
      </c>
      <c r="AB30" s="12">
        <f>SUM($U$30:$AA$30)</f>
        <v>9.509138358884476</v>
      </c>
      <c r="AC30" s="12">
        <f>'TUSD BE'!$AC$30*'TUSD BE'!$AC$58</f>
        <v>-862.16568996356523</v>
      </c>
      <c r="AD30" s="12">
        <f>SUM($AC$30:$AC$30)</f>
        <v>-862.16568996356523</v>
      </c>
      <c r="AE30" s="12">
        <f ca="1">$AO$30*$AO$55</f>
        <v>0</v>
      </c>
      <c r="AF30" s="12">
        <f ca="1">$AP$30*$AP$55</f>
        <v>0</v>
      </c>
      <c r="AG30" s="12">
        <f ca="1">SUM($AE$30:$AF$30)</f>
        <v>0</v>
      </c>
      <c r="AH30" s="12">
        <f>'TUSD BE'!$AH$30*'TUSD BE'!$AH$58</f>
        <v>1.9929542106361611</v>
      </c>
      <c r="AI30" s="12">
        <f>'TUSD BE'!$AI$30*'TUSD BE'!$AI$58</f>
        <v>0</v>
      </c>
      <c r="AJ30" s="12">
        <f ca="1">'TUSD BE'!$AJ$30*'TUSD BE'!$AJ$58</f>
        <v>0</v>
      </c>
      <c r="AK30" s="12">
        <f ca="1">'TUSD BE'!$AK$30*'TUSD BE'!$AK$58</f>
        <v>0</v>
      </c>
      <c r="AL30" s="12">
        <f ca="1">SUM($AH$30:$AK$30)</f>
        <v>1.9929542106361611</v>
      </c>
      <c r="AM30" s="12">
        <f ca="1">SUMIF($L$4:$AL$4,"SUBTOTAL",$L$30:$AL$30)</f>
        <v>-855.50474928629615</v>
      </c>
      <c r="AO30" s="20">
        <f ca="1">+'TUSD BE'!$T$30+'TUSD BE'!$AB$30+'TUSD BE'!$AD$30+'TUSD BE'!$AL$30</f>
        <v>1910.0588336192943</v>
      </c>
      <c r="AP30" s="20">
        <f ca="1">+'TUSD BE'!$T$30+'TUSD BE'!$AB$30+'TUSD BE'!$AD$30+'TUSD BE'!$AL$30</f>
        <v>1910.0588336192943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17" t="s">
        <v>83</v>
      </c>
      <c r="H31" s="17" t="s">
        <v>71</v>
      </c>
      <c r="I31" s="17">
        <f>'MERCADO TUSD'!$U$28</f>
        <v>0</v>
      </c>
      <c r="J31" s="15"/>
      <c r="L31" s="12">
        <f>'TUSD BE'!$L$31*'TUSD BE'!$L$58</f>
        <v>0</v>
      </c>
      <c r="M31" s="12">
        <f>'TUSD BE'!$M$31*'TUSD BE'!$M$58</f>
        <v>-0.16647987046300847</v>
      </c>
      <c r="N31" s="12">
        <f ca="1">'TUSD BE'!$N$31*'TUSD BE'!$N$58</f>
        <v>0</v>
      </c>
      <c r="O31" s="12">
        <f>'TUSD BE'!$O$31*'TUSD BE'!$O$58</f>
        <v>0</v>
      </c>
      <c r="P31" s="12">
        <f>'TUSD BE'!$P$31*'TUSD BE'!$P$58</f>
        <v>0</v>
      </c>
      <c r="Q31" s="12">
        <f>'TUSD BE'!$Q$31*'TUSD BE'!$Q$58</f>
        <v>-4.0501667433336852</v>
      </c>
      <c r="R31" s="12">
        <f>'TUSD BE'!$R$31*'TUSD BE'!$R$58</f>
        <v>-0.62450527845486925</v>
      </c>
      <c r="S31" s="12">
        <f>'TUSD BE'!$R$31*'TUSD BE'!$S$58</f>
        <v>0</v>
      </c>
      <c r="T31" s="12">
        <f ca="1">SUM($L$31:$S$31)</f>
        <v>-4.8411518922515624</v>
      </c>
      <c r="U31" s="12">
        <f>'TUSD BE'!$U$31*'TUSD BE'!$U$58</f>
        <v>0</v>
      </c>
      <c r="V31" s="12">
        <f>'TUSD BE'!$V$31*'TUSD BE'!$V$58</f>
        <v>0</v>
      </c>
      <c r="W31" s="12">
        <f>'TUSD BE'!$W$31*'TUSD BE'!$W$58</f>
        <v>0</v>
      </c>
      <c r="X31" s="12">
        <f>'TUSD BE'!$X$31*'TUSD BE'!$X$58</f>
        <v>0</v>
      </c>
      <c r="Y31" s="12">
        <f>'TUSD BE'!$Y$31*'TUSD BE'!$Y$58</f>
        <v>5.7054830153306861</v>
      </c>
      <c r="Z31" s="12">
        <f>'TUSD BE'!$Z$31*'TUSD BE'!$Z$58</f>
        <v>0</v>
      </c>
      <c r="AA31" s="12">
        <f>'TUSD BE'!$AA$31*'TUSD BE'!$AA$58</f>
        <v>0</v>
      </c>
      <c r="AB31" s="12">
        <f>SUM($U$31:$AA$31)</f>
        <v>5.7054830153306861</v>
      </c>
      <c r="AC31" s="12">
        <f>'TUSD BE'!$AC$31*'TUSD BE'!$AC$58</f>
        <v>-517.29949330498641</v>
      </c>
      <c r="AD31" s="12">
        <f>SUM($AC$31:$AC$31)</f>
        <v>-517.29949330498641</v>
      </c>
      <c r="AE31" s="12">
        <f ca="1">$AO$31*$AO$55</f>
        <v>0</v>
      </c>
      <c r="AF31" s="12">
        <f ca="1">$AP$31*$AP$55</f>
        <v>0</v>
      </c>
      <c r="AG31" s="12">
        <f ca="1">SUM($AE$31:$AF$31)</f>
        <v>0</v>
      </c>
      <c r="AH31" s="12">
        <f>'TUSD BE'!$AH$31*'TUSD BE'!$AH$58</f>
        <v>1.9929542106361611</v>
      </c>
      <c r="AI31" s="12">
        <f>'TUSD BE'!$AI$31*'TUSD BE'!$AI$58</f>
        <v>0</v>
      </c>
      <c r="AJ31" s="12">
        <f ca="1">'TUSD BE'!$AJ$31*'TUSD BE'!$AJ$58</f>
        <v>0</v>
      </c>
      <c r="AK31" s="12">
        <f ca="1">'TUSD BE'!$AK$31*'TUSD BE'!$AK$58</f>
        <v>0</v>
      </c>
      <c r="AL31" s="12">
        <f ca="1">SUM($AH$31:$AK$31)</f>
        <v>1.9929542106361611</v>
      </c>
      <c r="AM31" s="12">
        <f ca="1">SUMIF($L$4:$AL$4,"SUBTOTAL",$L$31:$AL$31)</f>
        <v>-514.44220797127116</v>
      </c>
      <c r="AO31" s="20">
        <f ca="1">+'TUSD BE'!$T$31+'TUSD BE'!$AB$31+'TUSD BE'!$AD$31+'TUSD BE'!$AL$31</f>
        <v>1200.624040332207</v>
      </c>
      <c r="AP31" s="20">
        <f ca="1">+'TUSD BE'!$T$31+'TUSD BE'!$AB$31+'TUSD BE'!$AD$31+'TUSD BE'!$AL$31</f>
        <v>1200.624040332207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17" t="s">
        <v>73</v>
      </c>
      <c r="H32" s="17" t="s">
        <v>71</v>
      </c>
      <c r="I32" s="17">
        <f>'MERCADO TUSD'!$U$29</f>
        <v>0</v>
      </c>
      <c r="J32" s="15"/>
      <c r="L32" s="12">
        <f>'TUSD BE'!$L$32*'TUSD BE'!$L$58</f>
        <v>0</v>
      </c>
      <c r="M32" s="12">
        <f>'TUSD BE'!$M$32*'TUSD BE'!$M$58</f>
        <v>-0.16647987046300847</v>
      </c>
      <c r="N32" s="12">
        <f ca="1">'TUSD BE'!$N$32*'TUSD BE'!$N$58</f>
        <v>0</v>
      </c>
      <c r="O32" s="12">
        <f>'TUSD BE'!$O$32*'TUSD BE'!$O$58</f>
        <v>0</v>
      </c>
      <c r="P32" s="12">
        <f>'TUSD BE'!$P$32*'TUSD BE'!$P$58</f>
        <v>0</v>
      </c>
      <c r="Q32" s="12">
        <f>'TUSD BE'!$Q$32*'TUSD BE'!$Q$58</f>
        <v>-4.0501667433336852</v>
      </c>
      <c r="R32" s="12">
        <f>'TUSD BE'!$R$32*'TUSD BE'!$R$58</f>
        <v>-0.62450527845486925</v>
      </c>
      <c r="S32" s="12">
        <f>'TUSD BE'!$R$32*'TUSD BE'!$S$58</f>
        <v>0</v>
      </c>
      <c r="T32" s="12">
        <f ca="1">SUM($L$32:$S$32)</f>
        <v>-4.8411518922515624</v>
      </c>
      <c r="U32" s="12">
        <f>'TUSD BE'!$U$32*'TUSD BE'!$U$58</f>
        <v>0</v>
      </c>
      <c r="V32" s="12">
        <f>'TUSD BE'!$V$32*'TUSD BE'!$V$58</f>
        <v>0</v>
      </c>
      <c r="W32" s="12">
        <f>'TUSD BE'!$W$32*'TUSD BE'!$W$58</f>
        <v>0</v>
      </c>
      <c r="X32" s="12">
        <f>'TUSD BE'!$X$32*'TUSD BE'!$X$58</f>
        <v>0</v>
      </c>
      <c r="Y32" s="12">
        <f>'TUSD BE'!$Y$32*'TUSD BE'!$Y$58</f>
        <v>1.9018276717768949</v>
      </c>
      <c r="Z32" s="12">
        <f>'TUSD BE'!$Z$32*'TUSD BE'!$Z$58</f>
        <v>0</v>
      </c>
      <c r="AA32" s="12">
        <f>'TUSD BE'!$AA$32*'TUSD BE'!$AA$58</f>
        <v>0</v>
      </c>
      <c r="AB32" s="12">
        <f>SUM($U$32:$AA$32)</f>
        <v>1.9018276717768949</v>
      </c>
      <c r="AC32" s="12">
        <f>'TUSD BE'!$AC$32*'TUSD BE'!$AC$58</f>
        <v>-172.43303222358347</v>
      </c>
      <c r="AD32" s="12">
        <f>SUM($AC$32:$AC$32)</f>
        <v>-172.43303222358347</v>
      </c>
      <c r="AE32" s="12">
        <f ca="1">$AO$32*$AO$55</f>
        <v>0</v>
      </c>
      <c r="AF32" s="12">
        <f ca="1">$AP$32*$AP$55</f>
        <v>0</v>
      </c>
      <c r="AG32" s="12">
        <f ca="1">SUM($AE$32:$AF$32)</f>
        <v>0</v>
      </c>
      <c r="AH32" s="12">
        <f>'TUSD BE'!$AH$32*'TUSD BE'!$AH$58</f>
        <v>1.9929542106361611</v>
      </c>
      <c r="AI32" s="12">
        <f>'TUSD BE'!$AI$32*'TUSD BE'!$AI$58</f>
        <v>0</v>
      </c>
      <c r="AJ32" s="12">
        <f ca="1">'TUSD BE'!$AJ$32*'TUSD BE'!$AJ$58</f>
        <v>0</v>
      </c>
      <c r="AK32" s="12">
        <f ca="1">'TUSD BE'!$AK$32*'TUSD BE'!$AK$58</f>
        <v>0</v>
      </c>
      <c r="AL32" s="12">
        <f ca="1">SUM($AH$32:$AK$32)</f>
        <v>1.9929542106361611</v>
      </c>
      <c r="AM32" s="12">
        <f ca="1">SUMIF($L$4:$AL$4,"SUBTOTAL",$L$32:$AL$32)</f>
        <v>-173.37940223342198</v>
      </c>
      <c r="AO32" s="20">
        <f ca="1">+'TUSD BE'!$T$32+'TUSD BE'!$AB$32+'TUSD BE'!$AD$32+'TUSD BE'!$AL$32</f>
        <v>491.18881578861135</v>
      </c>
      <c r="AP32" s="20">
        <f ca="1">+'TUSD BE'!$T$32+'TUSD BE'!$AB$32+'TUSD BE'!$AD$32+'TUSD BE'!$AL$32</f>
        <v>491.18881578861135</v>
      </c>
    </row>
    <row r="33" spans="1:42" ht="11.25" customHeight="1" x14ac:dyDescent="0.25">
      <c r="A33" s="102"/>
      <c r="B33" s="18" t="s">
        <v>23</v>
      </c>
      <c r="C33" s="18" t="s">
        <v>41</v>
      </c>
      <c r="D33" s="18" t="s">
        <v>25</v>
      </c>
      <c r="E33" s="18" t="s">
        <v>25</v>
      </c>
      <c r="F33" s="18" t="s">
        <v>25</v>
      </c>
      <c r="G33" s="17" t="s">
        <v>77</v>
      </c>
      <c r="H33" s="17" t="s">
        <v>71</v>
      </c>
      <c r="I33" s="17">
        <f>'MERCADO TUSD'!$U$30</f>
        <v>47790.548000000003</v>
      </c>
      <c r="J33" s="15"/>
      <c r="L33" s="12">
        <f>'TUSD BE'!$L$33*'TUSD BE'!$L$58</f>
        <v>0</v>
      </c>
      <c r="M33" s="12">
        <f>'TUSD BE'!$M$33*'TUSD BE'!$M$58</f>
        <v>-0.16647987046300847</v>
      </c>
      <c r="N33" s="12">
        <f ca="1">'TUSD BE'!$N$33*'TUSD BE'!$N$58</f>
        <v>0</v>
      </c>
      <c r="O33" s="12">
        <f>'TUSD BE'!$O$33*'TUSD BE'!$O$58</f>
        <v>0</v>
      </c>
      <c r="P33" s="12">
        <f>'TUSD BE'!$P$33*'TUSD BE'!$P$58</f>
        <v>0</v>
      </c>
      <c r="Q33" s="12">
        <f>'TUSD BE'!$Q$33*'TUSD BE'!$Q$58</f>
        <v>-4.0501667433336852</v>
      </c>
      <c r="R33" s="12">
        <f>'TUSD BE'!$R$33*'TUSD BE'!$R$58</f>
        <v>-0.62450527845486925</v>
      </c>
      <c r="S33" s="12">
        <f>'TUSD BE'!$R$33*'TUSD BE'!$S$58</f>
        <v>0</v>
      </c>
      <c r="T33" s="12">
        <f ca="1">SUM($L$33:$S$33)</f>
        <v>-4.8411518922515624</v>
      </c>
      <c r="U33" s="12">
        <f>'TUSD BE'!$U$33*'TUSD BE'!$U$58</f>
        <v>0</v>
      </c>
      <c r="V33" s="12">
        <f>'TUSD BE'!$V$33*'TUSD BE'!$V$58</f>
        <v>0</v>
      </c>
      <c r="W33" s="12">
        <f>'TUSD BE'!$W$33*'TUSD BE'!$W$58</f>
        <v>0</v>
      </c>
      <c r="X33" s="12">
        <f>'TUSD BE'!$X$33*'TUSD BE'!$X$58</f>
        <v>0</v>
      </c>
      <c r="Y33" s="12">
        <f>'TUSD BE'!$Y$33*'TUSD BE'!$Y$58</f>
        <v>3.6581073074484158</v>
      </c>
      <c r="Z33" s="12">
        <f>'TUSD BE'!$Z$33*'TUSD BE'!$Z$58</f>
        <v>0</v>
      </c>
      <c r="AA33" s="12">
        <f>'TUSD BE'!$AA$33*'TUSD BE'!$AA$58</f>
        <v>0</v>
      </c>
      <c r="AB33" s="12">
        <f>SUM($U$33:$AA$33)</f>
        <v>3.6581073074484158</v>
      </c>
      <c r="AC33" s="12">
        <f>'TUSD BE'!$AC$33*'TUSD BE'!$AC$58</f>
        <v>-331.60208674643894</v>
      </c>
      <c r="AD33" s="12">
        <f>SUM($AC$33:$AC$33)</f>
        <v>-331.60208674643894</v>
      </c>
      <c r="AE33" s="12">
        <f ca="1">$AO$33*$AO$55</f>
        <v>0</v>
      </c>
      <c r="AF33" s="12">
        <f ca="1">$AP$33*$AP$55</f>
        <v>0</v>
      </c>
      <c r="AG33" s="12">
        <f ca="1">SUM($AE$33:$AF$33)</f>
        <v>0</v>
      </c>
      <c r="AH33" s="12">
        <f>'TUSD BE'!$AH$33*'TUSD BE'!$AH$58</f>
        <v>1.9929542106361611</v>
      </c>
      <c r="AI33" s="12">
        <f>'TUSD BE'!$AI$33*'TUSD BE'!$AI$58</f>
        <v>0</v>
      </c>
      <c r="AJ33" s="12">
        <f ca="1">'TUSD BE'!$AJ$33*'TUSD BE'!$AJ$58</f>
        <v>0</v>
      </c>
      <c r="AK33" s="12">
        <f ca="1">'TUSD BE'!$AK$33*'TUSD BE'!$AK$58</f>
        <v>0</v>
      </c>
      <c r="AL33" s="12">
        <f ca="1">SUM($AH$33:$AK$33)</f>
        <v>1.9929542106361611</v>
      </c>
      <c r="AM33" s="12">
        <f ca="1">SUMIF($L$4:$AL$4,"SUBTOTAL",$L$33:$AL$33)</f>
        <v>-330.79217712060591</v>
      </c>
      <c r="AO33" s="20">
        <f ca="1">+'TUSD BE'!$T$33+'TUSD BE'!$AB$33+'TUSD BE'!$AD$33+'TUSD BE'!$AL$33</f>
        <v>818.64916748970745</v>
      </c>
      <c r="AP33" s="20">
        <f ca="1">+'TUSD BE'!$T$33+'TUSD BE'!$AB$33+'TUSD BE'!$AD$33+'TUSD BE'!$AL$33</f>
        <v>818.64916748970745</v>
      </c>
    </row>
    <row r="34" spans="1:42" ht="11.25" customHeight="1" x14ac:dyDescent="0.25">
      <c r="A34" s="102"/>
      <c r="B34" s="102" t="s">
        <v>85</v>
      </c>
      <c r="C34" s="102" t="s">
        <v>41</v>
      </c>
      <c r="D34" s="102" t="s">
        <v>88</v>
      </c>
      <c r="E34" s="102" t="s">
        <v>25</v>
      </c>
      <c r="F34" s="102" t="s">
        <v>25</v>
      </c>
      <c r="G34" s="17" t="s">
        <v>72</v>
      </c>
      <c r="H34" s="17" t="s">
        <v>71</v>
      </c>
      <c r="I34" s="17">
        <f>'MERCADO TUSD'!$U$31</f>
        <v>0</v>
      </c>
      <c r="J34" s="15"/>
      <c r="L34" s="12">
        <f>'TUSD BE'!$L$34*'TUSD BE'!$L$58</f>
        <v>0</v>
      </c>
      <c r="M34" s="12">
        <f>'TUSD BE'!$M$34*'TUSD BE'!$M$58</f>
        <v>-0.16647987046300847</v>
      </c>
      <c r="N34" s="12">
        <f ca="1">'TUSD BE'!$N$34*'TUSD BE'!$N$58</f>
        <v>0</v>
      </c>
      <c r="O34" s="12">
        <f>'TUSD BE'!$O$34*'TUSD BE'!$O$58</f>
        <v>0</v>
      </c>
      <c r="P34" s="12">
        <f>'TUSD BE'!$P$34*'TUSD BE'!$P$58</f>
        <v>0</v>
      </c>
      <c r="Q34" s="12">
        <f>'TUSD BE'!$Q$34*'TUSD BE'!$Q$58</f>
        <v>-4.0501667433336852</v>
      </c>
      <c r="R34" s="12">
        <f>'TUSD BE'!$R$34*'TUSD BE'!$R$58</f>
        <v>-0.62450527845486925</v>
      </c>
      <c r="S34" s="12">
        <f>'TUSD BE'!$R$34*'TUSD BE'!$S$58</f>
        <v>0</v>
      </c>
      <c r="T34" s="12">
        <f ca="1">SUM($L$34:$S$34)</f>
        <v>-4.8411518922515624</v>
      </c>
      <c r="U34" s="12">
        <f>'TUSD BE'!$U$34*'TUSD BE'!$U$58</f>
        <v>0</v>
      </c>
      <c r="V34" s="12">
        <f>'TUSD BE'!$V$34*'TUSD BE'!$V$58</f>
        <v>0</v>
      </c>
      <c r="W34" s="12">
        <f>'TUSD BE'!$W$34*'TUSD BE'!$W$58</f>
        <v>0</v>
      </c>
      <c r="X34" s="12">
        <f>'TUSD BE'!$X$34*'TUSD BE'!$X$58</f>
        <v>0</v>
      </c>
      <c r="Y34" s="12">
        <f>'TUSD BE'!$Y$34*'TUSD BE'!$Y$58</f>
        <v>9.509138358884476</v>
      </c>
      <c r="Z34" s="12">
        <f>'TUSD BE'!$Z$34*'TUSD BE'!$Z$58</f>
        <v>0</v>
      </c>
      <c r="AA34" s="12">
        <f>'TUSD BE'!$AA$34*'TUSD BE'!$AA$58</f>
        <v>0</v>
      </c>
      <c r="AB34" s="12">
        <f>SUM($U$34:$AA$34)</f>
        <v>9.509138358884476</v>
      </c>
      <c r="AC34" s="12">
        <f>'TUSD BE'!$AC$34*'TUSD BE'!$AC$58</f>
        <v>-862.16568996356523</v>
      </c>
      <c r="AD34" s="12">
        <f>SUM($AC$34:$AC$34)</f>
        <v>-862.16568996356523</v>
      </c>
      <c r="AE34" s="12">
        <f ca="1">$AO$34*$AO$55</f>
        <v>0</v>
      </c>
      <c r="AF34" s="12">
        <f ca="1">$AP$34*$AP$55</f>
        <v>0</v>
      </c>
      <c r="AG34" s="12">
        <f ca="1">SUM($AE$34:$AF$34)</f>
        <v>0</v>
      </c>
      <c r="AH34" s="12">
        <f>'TUSD BE'!$AH$34*'TUSD BE'!$AH$58</f>
        <v>1.9929542106361611</v>
      </c>
      <c r="AI34" s="12">
        <f>'TUSD BE'!$AI$34*'TUSD BE'!$AI$58</f>
        <v>0</v>
      </c>
      <c r="AJ34" s="12">
        <f ca="1">'TUSD BE'!$AJ$34*'TUSD BE'!$AJ$58</f>
        <v>0</v>
      </c>
      <c r="AK34" s="12">
        <f ca="1">'TUSD BE'!$AK$34*'TUSD BE'!$AK$58</f>
        <v>0</v>
      </c>
      <c r="AL34" s="12">
        <f ca="1">SUM($AH$34:$AK$34)</f>
        <v>1.9929542106361611</v>
      </c>
      <c r="AM34" s="12">
        <f ca="1">SUMIF($L$4:$AL$4,"SUBTOTAL",$L$34:$AL$34)</f>
        <v>-855.50474928629615</v>
      </c>
      <c r="AO34" s="20">
        <f ca="1">+'TUSD BE'!$T$34+'TUSD BE'!$AB$34+'TUSD BE'!$AD$34+'TUSD BE'!$AL$34</f>
        <v>1910.0588336192943</v>
      </c>
      <c r="AP34" s="20">
        <f ca="1">+'TUSD BE'!$T$34+'TUSD BE'!$AB$34+'TUSD BE'!$AD$34+'TUSD BE'!$AL$34</f>
        <v>1910.0588336192943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17" t="s">
        <v>83</v>
      </c>
      <c r="H35" s="17" t="s">
        <v>71</v>
      </c>
      <c r="I35" s="17">
        <f>'MERCADO TUSD'!$U$32</f>
        <v>0</v>
      </c>
      <c r="J35" s="15"/>
      <c r="L35" s="12">
        <f>'TUSD BE'!$L$35*'TUSD BE'!$L$58</f>
        <v>0</v>
      </c>
      <c r="M35" s="12">
        <f>'TUSD BE'!$M$35*'TUSD BE'!$M$58</f>
        <v>-0.16647987046300847</v>
      </c>
      <c r="N35" s="12">
        <f ca="1">'TUSD BE'!$N$35*'TUSD BE'!$N$58</f>
        <v>0</v>
      </c>
      <c r="O35" s="12">
        <f>'TUSD BE'!$O$35*'TUSD BE'!$O$58</f>
        <v>0</v>
      </c>
      <c r="P35" s="12">
        <f>'TUSD BE'!$P$35*'TUSD BE'!$P$58</f>
        <v>0</v>
      </c>
      <c r="Q35" s="12">
        <f>'TUSD BE'!$Q$35*'TUSD BE'!$Q$58</f>
        <v>-4.0501667433336852</v>
      </c>
      <c r="R35" s="12">
        <f>'TUSD BE'!$R$35*'TUSD BE'!$R$58</f>
        <v>-0.62450527845486925</v>
      </c>
      <c r="S35" s="12">
        <f>'TUSD BE'!$R$35*'TUSD BE'!$S$58</f>
        <v>0</v>
      </c>
      <c r="T35" s="12">
        <f ca="1">SUM($L$35:$S$35)</f>
        <v>-4.8411518922515624</v>
      </c>
      <c r="U35" s="12">
        <f>'TUSD BE'!$U$35*'TUSD BE'!$U$58</f>
        <v>0</v>
      </c>
      <c r="V35" s="12">
        <f>'TUSD BE'!$V$35*'TUSD BE'!$V$58</f>
        <v>0</v>
      </c>
      <c r="W35" s="12">
        <f>'TUSD BE'!$W$35*'TUSD BE'!$W$58</f>
        <v>0</v>
      </c>
      <c r="X35" s="12">
        <f>'TUSD BE'!$X$35*'TUSD BE'!$X$58</f>
        <v>0</v>
      </c>
      <c r="Y35" s="12">
        <f>'TUSD BE'!$Y$35*'TUSD BE'!$Y$58</f>
        <v>5.7054830153306861</v>
      </c>
      <c r="Z35" s="12">
        <f>'TUSD BE'!$Z$35*'TUSD BE'!$Z$58</f>
        <v>0</v>
      </c>
      <c r="AA35" s="12">
        <f>'TUSD BE'!$AA$35*'TUSD BE'!$AA$58</f>
        <v>0</v>
      </c>
      <c r="AB35" s="12">
        <f>SUM($U$35:$AA$35)</f>
        <v>5.7054830153306861</v>
      </c>
      <c r="AC35" s="12">
        <f>'TUSD BE'!$AC$35*'TUSD BE'!$AC$58</f>
        <v>-517.29949330498641</v>
      </c>
      <c r="AD35" s="12">
        <f>SUM($AC$35:$AC$35)</f>
        <v>-517.29949330498641</v>
      </c>
      <c r="AE35" s="12">
        <f ca="1">$AO$35*$AO$55</f>
        <v>0</v>
      </c>
      <c r="AF35" s="12">
        <f ca="1">$AP$35*$AP$55</f>
        <v>0</v>
      </c>
      <c r="AG35" s="12">
        <f ca="1">SUM($AE$35:$AF$35)</f>
        <v>0</v>
      </c>
      <c r="AH35" s="12">
        <f>'TUSD BE'!$AH$35*'TUSD BE'!$AH$58</f>
        <v>1.9929542106361611</v>
      </c>
      <c r="AI35" s="12">
        <f>'TUSD BE'!$AI$35*'TUSD BE'!$AI$58</f>
        <v>0</v>
      </c>
      <c r="AJ35" s="12">
        <f ca="1">'TUSD BE'!$AJ$35*'TUSD BE'!$AJ$58</f>
        <v>0</v>
      </c>
      <c r="AK35" s="12">
        <f ca="1">'TUSD BE'!$AK$35*'TUSD BE'!$AK$58</f>
        <v>0</v>
      </c>
      <c r="AL35" s="12">
        <f ca="1">SUM($AH$35:$AK$35)</f>
        <v>1.9929542106361611</v>
      </c>
      <c r="AM35" s="12">
        <f ca="1">SUMIF($L$4:$AL$4,"SUBTOTAL",$L$35:$AL$35)</f>
        <v>-514.44220797127116</v>
      </c>
      <c r="AO35" s="20">
        <f ca="1">+'TUSD BE'!$T$35+'TUSD BE'!$AB$35+'TUSD BE'!$AD$35+'TUSD BE'!$AL$35</f>
        <v>1200.624040332207</v>
      </c>
      <c r="AP35" s="20">
        <f ca="1">+'TUSD BE'!$T$35+'TUSD BE'!$AB$35+'TUSD BE'!$AD$35+'TUSD BE'!$AL$35</f>
        <v>1200.624040332207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17" t="s">
        <v>73</v>
      </c>
      <c r="H36" s="17" t="s">
        <v>71</v>
      </c>
      <c r="I36" s="17">
        <f>'MERCADO TUSD'!$U$33</f>
        <v>0</v>
      </c>
      <c r="J36" s="15"/>
      <c r="L36" s="12">
        <f>'TUSD BE'!$L$36*'TUSD BE'!$L$58</f>
        <v>0</v>
      </c>
      <c r="M36" s="12">
        <f>'TUSD BE'!$M$36*'TUSD BE'!$M$58</f>
        <v>-0.16647987046300847</v>
      </c>
      <c r="N36" s="12">
        <f ca="1">'TUSD BE'!$N$36*'TUSD BE'!$N$58</f>
        <v>0</v>
      </c>
      <c r="O36" s="12">
        <f>'TUSD BE'!$O$36*'TUSD BE'!$O$58</f>
        <v>0</v>
      </c>
      <c r="P36" s="12">
        <f>'TUSD BE'!$P$36*'TUSD BE'!$P$58</f>
        <v>0</v>
      </c>
      <c r="Q36" s="12">
        <f>'TUSD BE'!$Q$36*'TUSD BE'!$Q$58</f>
        <v>-4.0501667433336852</v>
      </c>
      <c r="R36" s="12">
        <f>'TUSD BE'!$R$36*'TUSD BE'!$R$58</f>
        <v>-0.62450527845486925</v>
      </c>
      <c r="S36" s="12">
        <f>'TUSD BE'!$R$36*'TUSD BE'!$S$58</f>
        <v>0</v>
      </c>
      <c r="T36" s="12">
        <f ca="1">SUM($L$36:$S$36)</f>
        <v>-4.8411518922515624</v>
      </c>
      <c r="U36" s="12">
        <f>'TUSD BE'!$U$36*'TUSD BE'!$U$58</f>
        <v>0</v>
      </c>
      <c r="V36" s="12">
        <f>'TUSD BE'!$V$36*'TUSD BE'!$V$58</f>
        <v>0</v>
      </c>
      <c r="W36" s="12">
        <f>'TUSD BE'!$W$36*'TUSD BE'!$W$58</f>
        <v>0</v>
      </c>
      <c r="X36" s="12">
        <f>'TUSD BE'!$X$36*'TUSD BE'!$X$58</f>
        <v>0</v>
      </c>
      <c r="Y36" s="12">
        <f>'TUSD BE'!$Y$36*'TUSD BE'!$Y$58</f>
        <v>1.9018276717768949</v>
      </c>
      <c r="Z36" s="12">
        <f>'TUSD BE'!$Z$36*'TUSD BE'!$Z$58</f>
        <v>0</v>
      </c>
      <c r="AA36" s="12">
        <f>'TUSD BE'!$AA$36*'TUSD BE'!$AA$58</f>
        <v>0</v>
      </c>
      <c r="AB36" s="12">
        <f>SUM($U$36:$AA$36)</f>
        <v>1.9018276717768949</v>
      </c>
      <c r="AC36" s="12">
        <f>'TUSD BE'!$AC$36*'TUSD BE'!$AC$58</f>
        <v>-172.43303222358347</v>
      </c>
      <c r="AD36" s="12">
        <f>SUM($AC$36:$AC$36)</f>
        <v>-172.43303222358347</v>
      </c>
      <c r="AE36" s="12">
        <f ca="1">$AO$36*$AO$55</f>
        <v>0</v>
      </c>
      <c r="AF36" s="12">
        <f ca="1">$AP$36*$AP$55</f>
        <v>0</v>
      </c>
      <c r="AG36" s="12">
        <f ca="1">SUM($AE$36:$AF$36)</f>
        <v>0</v>
      </c>
      <c r="AH36" s="12">
        <f>'TUSD BE'!$AH$36*'TUSD BE'!$AH$58</f>
        <v>1.9929542106361611</v>
      </c>
      <c r="AI36" s="12">
        <f>'TUSD BE'!$AI$36*'TUSD BE'!$AI$58</f>
        <v>0</v>
      </c>
      <c r="AJ36" s="12">
        <f ca="1">'TUSD BE'!$AJ$36*'TUSD BE'!$AJ$58</f>
        <v>0</v>
      </c>
      <c r="AK36" s="12">
        <f ca="1">'TUSD BE'!$AK$36*'TUSD BE'!$AK$58</f>
        <v>0</v>
      </c>
      <c r="AL36" s="12">
        <f ca="1">SUM($AH$36:$AK$36)</f>
        <v>1.9929542106361611</v>
      </c>
      <c r="AM36" s="12">
        <f ca="1">SUMIF($L$4:$AL$4,"SUBTOTAL",$L$36:$AL$36)</f>
        <v>-173.37940223342198</v>
      </c>
      <c r="AO36" s="20">
        <f ca="1">+'TUSD BE'!$T$36+'TUSD BE'!$AB$36+'TUSD BE'!$AD$36+'TUSD BE'!$AL$36</f>
        <v>491.18881578861135</v>
      </c>
      <c r="AP36" s="20">
        <f ca="1">+'TUSD BE'!$T$36+'TUSD BE'!$AB$36+'TUSD BE'!$AD$36+'TUSD BE'!$AL$36</f>
        <v>491.18881578861135</v>
      </c>
    </row>
    <row r="37" spans="1:42" ht="11.25" customHeight="1" x14ac:dyDescent="0.25">
      <c r="A37" s="102"/>
      <c r="B37" s="18" t="s">
        <v>23</v>
      </c>
      <c r="C37" s="18" t="s">
        <v>41</v>
      </c>
      <c r="D37" s="18" t="s">
        <v>88</v>
      </c>
      <c r="E37" s="18" t="s">
        <v>25</v>
      </c>
      <c r="F37" s="18" t="s">
        <v>25</v>
      </c>
      <c r="G37" s="17" t="s">
        <v>77</v>
      </c>
      <c r="H37" s="17" t="s">
        <v>71</v>
      </c>
      <c r="I37" s="17">
        <f>'MERCADO TUSD'!$U$34</f>
        <v>0</v>
      </c>
      <c r="J37" s="15"/>
      <c r="L37" s="12">
        <f>'TUSD BE'!$L$37*'TUSD BE'!$L$58</f>
        <v>0</v>
      </c>
      <c r="M37" s="12">
        <f>'TUSD BE'!$M$37*'TUSD BE'!$M$58</f>
        <v>-0.16647987046300847</v>
      </c>
      <c r="N37" s="12">
        <f ca="1">'TUSD BE'!$N$37*'TUSD BE'!$N$58</f>
        <v>0</v>
      </c>
      <c r="O37" s="12">
        <f>'TUSD BE'!$O$37*'TUSD BE'!$O$58</f>
        <v>0</v>
      </c>
      <c r="P37" s="12">
        <f>'TUSD BE'!$P$37*'TUSD BE'!$P$58</f>
        <v>0</v>
      </c>
      <c r="Q37" s="12">
        <f>'TUSD BE'!$Q$37*'TUSD BE'!$Q$58</f>
        <v>-4.0501667433336852</v>
      </c>
      <c r="R37" s="12">
        <f>'TUSD BE'!$R$37*'TUSD BE'!$R$58</f>
        <v>-0.62450527845486925</v>
      </c>
      <c r="S37" s="12">
        <f>'TUSD BE'!$R$37*'TUSD BE'!$S$58</f>
        <v>0</v>
      </c>
      <c r="T37" s="12">
        <f ca="1">SUM($L$37:$S$37)</f>
        <v>-4.8411518922515624</v>
      </c>
      <c r="U37" s="12">
        <f>'TUSD BE'!$U$37*'TUSD BE'!$U$58</f>
        <v>0</v>
      </c>
      <c r="V37" s="12">
        <f>'TUSD BE'!$V$37*'TUSD BE'!$V$58</f>
        <v>0</v>
      </c>
      <c r="W37" s="12">
        <f>'TUSD BE'!$W$37*'TUSD BE'!$W$58</f>
        <v>0</v>
      </c>
      <c r="X37" s="12">
        <f>'TUSD BE'!$X$37*'TUSD BE'!$X$58</f>
        <v>0</v>
      </c>
      <c r="Y37" s="12">
        <f>'TUSD BE'!$Y$37*'TUSD BE'!$Y$58</f>
        <v>3.6581073074484158</v>
      </c>
      <c r="Z37" s="12">
        <f>'TUSD BE'!$Z$37*'TUSD BE'!$Z$58</f>
        <v>0</v>
      </c>
      <c r="AA37" s="12">
        <f>'TUSD BE'!$AA$37*'TUSD BE'!$AA$58</f>
        <v>0</v>
      </c>
      <c r="AB37" s="12">
        <f>SUM($U$37:$AA$37)</f>
        <v>3.6581073074484158</v>
      </c>
      <c r="AC37" s="12">
        <f>'TUSD BE'!$AC$37*'TUSD BE'!$AC$58</f>
        <v>-331.60208674643894</v>
      </c>
      <c r="AD37" s="12">
        <f>SUM($AC$37:$AC$37)</f>
        <v>-331.60208674643894</v>
      </c>
      <c r="AE37" s="12">
        <f ca="1">$AO$37*$AO$55</f>
        <v>0</v>
      </c>
      <c r="AF37" s="12">
        <f ca="1">$AP$37*$AP$55</f>
        <v>0</v>
      </c>
      <c r="AG37" s="12">
        <f ca="1">SUM($AE$37:$AF$37)</f>
        <v>0</v>
      </c>
      <c r="AH37" s="12">
        <f>'TUSD BE'!$AH$37*'TUSD BE'!$AH$58</f>
        <v>1.9929542106361611</v>
      </c>
      <c r="AI37" s="12">
        <f>'TUSD BE'!$AI$37*'TUSD BE'!$AI$58</f>
        <v>0</v>
      </c>
      <c r="AJ37" s="12">
        <f ca="1">'TUSD BE'!$AJ$37*'TUSD BE'!$AJ$58</f>
        <v>0</v>
      </c>
      <c r="AK37" s="12">
        <f ca="1">'TUSD BE'!$AK$37*'TUSD BE'!$AK$58</f>
        <v>0</v>
      </c>
      <c r="AL37" s="12">
        <f ca="1">SUM($AH$37:$AK$37)</f>
        <v>1.9929542106361611</v>
      </c>
      <c r="AM37" s="12">
        <f ca="1">SUMIF($L$4:$AL$4,"SUBTOTAL",$L$37:$AL$37)</f>
        <v>-330.79217712060591</v>
      </c>
      <c r="AO37" s="20">
        <f ca="1">+'TUSD BE'!$T$37+'TUSD BE'!$AB$37+'TUSD BE'!$AD$37+'TUSD BE'!$AL$37</f>
        <v>818.64916748970745</v>
      </c>
      <c r="AP37" s="20">
        <f ca="1">+'TUSD BE'!$T$37+'TUSD BE'!$AB$37+'TUSD BE'!$AD$37+'TUSD BE'!$AL$37</f>
        <v>818.64916748970745</v>
      </c>
    </row>
    <row r="38" spans="1:42" ht="11.25" customHeight="1" x14ac:dyDescent="0.25">
      <c r="A38" s="102"/>
      <c r="B38" s="102" t="s">
        <v>85</v>
      </c>
      <c r="C38" s="102" t="s">
        <v>41</v>
      </c>
      <c r="D38" s="102" t="s">
        <v>89</v>
      </c>
      <c r="E38" s="102" t="s">
        <v>25</v>
      </c>
      <c r="F38" s="102" t="s">
        <v>25</v>
      </c>
      <c r="G38" s="17" t="s">
        <v>72</v>
      </c>
      <c r="H38" s="17" t="s">
        <v>71</v>
      </c>
      <c r="I38" s="17">
        <f>'MERCADO TUSD'!$U$35</f>
        <v>0</v>
      </c>
      <c r="J38" s="15"/>
      <c r="L38" s="12">
        <f>'TUSD BE'!$L$38*'TUSD BE'!$L$58</f>
        <v>0</v>
      </c>
      <c r="M38" s="12">
        <f>'TUSD BE'!$M$38*'TUSD BE'!$M$58</f>
        <v>-0.16647987046300847</v>
      </c>
      <c r="N38" s="12">
        <f ca="1">'TUSD BE'!$N$38*'TUSD BE'!$N$58</f>
        <v>0</v>
      </c>
      <c r="O38" s="12">
        <f>'TUSD BE'!$O$38*'TUSD BE'!$O$58</f>
        <v>0</v>
      </c>
      <c r="P38" s="12">
        <f>'TUSD BE'!$P$38*'TUSD BE'!$P$58</f>
        <v>0</v>
      </c>
      <c r="Q38" s="12">
        <f>'TUSD BE'!$Q$38*'TUSD BE'!$Q$58</f>
        <v>-4.0501667433336852</v>
      </c>
      <c r="R38" s="12">
        <f>'TUSD BE'!$R$38*'TUSD BE'!$R$58</f>
        <v>-0.62450527845486925</v>
      </c>
      <c r="S38" s="12">
        <f>'TUSD BE'!$R$38*'TUSD BE'!$S$58</f>
        <v>0</v>
      </c>
      <c r="T38" s="12">
        <f ca="1">SUM($L$38:$S$38)</f>
        <v>-4.8411518922515624</v>
      </c>
      <c r="U38" s="12">
        <f>'TUSD BE'!$U$38*'TUSD BE'!$U$58</f>
        <v>0</v>
      </c>
      <c r="V38" s="12">
        <f>'TUSD BE'!$V$38*'TUSD BE'!$V$58</f>
        <v>0</v>
      </c>
      <c r="W38" s="12">
        <f>'TUSD BE'!$W$38*'TUSD BE'!$W$58</f>
        <v>0</v>
      </c>
      <c r="X38" s="12">
        <f>'TUSD BE'!$X$38*'TUSD BE'!$X$58</f>
        <v>0</v>
      </c>
      <c r="Y38" s="12">
        <f>'TUSD BE'!$Y$38*'TUSD BE'!$Y$58</f>
        <v>9.509138358884476</v>
      </c>
      <c r="Z38" s="12">
        <f>'TUSD BE'!$Z$38*'TUSD BE'!$Z$58</f>
        <v>0</v>
      </c>
      <c r="AA38" s="12">
        <f>'TUSD BE'!$AA$38*'TUSD BE'!$AA$58</f>
        <v>0</v>
      </c>
      <c r="AB38" s="12">
        <f>SUM($U$38:$AA$38)</f>
        <v>9.509138358884476</v>
      </c>
      <c r="AC38" s="12">
        <f>'TUSD BE'!$AC$38*'TUSD BE'!$AC$58</f>
        <v>-862.16568996356523</v>
      </c>
      <c r="AD38" s="12">
        <f>SUM($AC$38:$AC$38)</f>
        <v>-862.16568996356523</v>
      </c>
      <c r="AE38" s="12">
        <f ca="1">$AO$38*$AO$55</f>
        <v>0</v>
      </c>
      <c r="AF38" s="12">
        <f ca="1">$AP$38*$AP$55</f>
        <v>0</v>
      </c>
      <c r="AG38" s="12">
        <f ca="1">SUM($AE$38:$AF$38)</f>
        <v>0</v>
      </c>
      <c r="AH38" s="12">
        <f>'TUSD BE'!$AH$38*'TUSD BE'!$AH$58</f>
        <v>1.9929542106361611</v>
      </c>
      <c r="AI38" s="12">
        <f>'TUSD BE'!$AI$38*'TUSD BE'!$AI$58</f>
        <v>0</v>
      </c>
      <c r="AJ38" s="12">
        <f ca="1">'TUSD BE'!$AJ$38*'TUSD BE'!$AJ$58</f>
        <v>0</v>
      </c>
      <c r="AK38" s="12">
        <f ca="1">'TUSD BE'!$AK$38*'TUSD BE'!$AK$58</f>
        <v>0</v>
      </c>
      <c r="AL38" s="12">
        <f ca="1">SUM($AH$38:$AK$38)</f>
        <v>1.9929542106361611</v>
      </c>
      <c r="AM38" s="12">
        <f ca="1">SUMIF($L$4:$AL$4,"SUBTOTAL",$L$38:$AL$38)</f>
        <v>-855.50474928629615</v>
      </c>
      <c r="AO38" s="20">
        <f ca="1">+'TUSD BE'!$T$38+'TUSD BE'!$AB$38+'TUSD BE'!$AD$38+'TUSD BE'!$AL$38</f>
        <v>1910.0588336192943</v>
      </c>
      <c r="AP38" s="20">
        <f ca="1">+'TUSD BE'!$T$38+'TUSD BE'!$AB$38+'TUSD BE'!$AD$38+'TUSD BE'!$AL$38</f>
        <v>1910.0588336192943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17" t="s">
        <v>83</v>
      </c>
      <c r="H39" s="17" t="s">
        <v>71</v>
      </c>
      <c r="I39" s="17">
        <f>'MERCADO TUSD'!$U$36</f>
        <v>0</v>
      </c>
      <c r="J39" s="15"/>
      <c r="L39" s="12">
        <f>'TUSD BE'!$L$39*'TUSD BE'!$L$58</f>
        <v>0</v>
      </c>
      <c r="M39" s="12">
        <f>'TUSD BE'!$M$39*'TUSD BE'!$M$58</f>
        <v>-0.16647987046300847</v>
      </c>
      <c r="N39" s="12">
        <f ca="1">'TUSD BE'!$N$39*'TUSD BE'!$N$58</f>
        <v>0</v>
      </c>
      <c r="O39" s="12">
        <f>'TUSD BE'!$O$39*'TUSD BE'!$O$58</f>
        <v>0</v>
      </c>
      <c r="P39" s="12">
        <f>'TUSD BE'!$P$39*'TUSD BE'!$P$58</f>
        <v>0</v>
      </c>
      <c r="Q39" s="12">
        <f>'TUSD BE'!$Q$39*'TUSD BE'!$Q$58</f>
        <v>-4.0501667433336852</v>
      </c>
      <c r="R39" s="12">
        <f>'TUSD BE'!$R$39*'TUSD BE'!$R$58</f>
        <v>-0.62450527845486925</v>
      </c>
      <c r="S39" s="12">
        <f>'TUSD BE'!$R$39*'TUSD BE'!$S$58</f>
        <v>0</v>
      </c>
      <c r="T39" s="12">
        <f ca="1">SUM($L$39:$S$39)</f>
        <v>-4.8411518922515624</v>
      </c>
      <c r="U39" s="12">
        <f>'TUSD BE'!$U$39*'TUSD BE'!$U$58</f>
        <v>0</v>
      </c>
      <c r="V39" s="12">
        <f>'TUSD BE'!$V$39*'TUSD BE'!$V$58</f>
        <v>0</v>
      </c>
      <c r="W39" s="12">
        <f>'TUSD BE'!$W$39*'TUSD BE'!$W$58</f>
        <v>0</v>
      </c>
      <c r="X39" s="12">
        <f>'TUSD BE'!$X$39*'TUSD BE'!$X$58</f>
        <v>0</v>
      </c>
      <c r="Y39" s="12">
        <f>'TUSD BE'!$Y$39*'TUSD BE'!$Y$58</f>
        <v>5.7054830153306861</v>
      </c>
      <c r="Z39" s="12">
        <f>'TUSD BE'!$Z$39*'TUSD BE'!$Z$58</f>
        <v>0</v>
      </c>
      <c r="AA39" s="12">
        <f>'TUSD BE'!$AA$39*'TUSD BE'!$AA$58</f>
        <v>0</v>
      </c>
      <c r="AB39" s="12">
        <f>SUM($U$39:$AA$39)</f>
        <v>5.7054830153306861</v>
      </c>
      <c r="AC39" s="12">
        <f>'TUSD BE'!$AC$39*'TUSD BE'!$AC$58</f>
        <v>-517.29949330498641</v>
      </c>
      <c r="AD39" s="12">
        <f>SUM($AC$39:$AC$39)</f>
        <v>-517.29949330498641</v>
      </c>
      <c r="AE39" s="12">
        <f ca="1">$AO$39*$AO$55</f>
        <v>0</v>
      </c>
      <c r="AF39" s="12">
        <f ca="1">$AP$39*$AP$55</f>
        <v>0</v>
      </c>
      <c r="AG39" s="12">
        <f ca="1">SUM($AE$39:$AF$39)</f>
        <v>0</v>
      </c>
      <c r="AH39" s="12">
        <f>'TUSD BE'!$AH$39*'TUSD BE'!$AH$58</f>
        <v>1.9929542106361611</v>
      </c>
      <c r="AI39" s="12">
        <f>'TUSD BE'!$AI$39*'TUSD BE'!$AI$58</f>
        <v>0</v>
      </c>
      <c r="AJ39" s="12">
        <f ca="1">'TUSD BE'!$AJ$39*'TUSD BE'!$AJ$58</f>
        <v>0</v>
      </c>
      <c r="AK39" s="12">
        <f ca="1">'TUSD BE'!$AK$39*'TUSD BE'!$AK$58</f>
        <v>0</v>
      </c>
      <c r="AL39" s="12">
        <f ca="1">SUM($AH$39:$AK$39)</f>
        <v>1.9929542106361611</v>
      </c>
      <c r="AM39" s="12">
        <f ca="1">SUMIF($L$4:$AL$4,"SUBTOTAL",$L$39:$AL$39)</f>
        <v>-514.44220797127116</v>
      </c>
      <c r="AO39" s="20">
        <f ca="1">+'TUSD BE'!$T$39+'TUSD BE'!$AB$39+'TUSD BE'!$AD$39+'TUSD BE'!$AL$39</f>
        <v>1200.624040332207</v>
      </c>
      <c r="AP39" s="20">
        <f ca="1">+'TUSD BE'!$T$39+'TUSD BE'!$AB$39+'TUSD BE'!$AD$39+'TUSD BE'!$AL$39</f>
        <v>1200.624040332207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17" t="s">
        <v>73</v>
      </c>
      <c r="H40" s="17" t="s">
        <v>71</v>
      </c>
      <c r="I40" s="17">
        <f>'MERCADO TUSD'!$U$37</f>
        <v>0</v>
      </c>
      <c r="J40" s="15"/>
      <c r="L40" s="12">
        <f>'TUSD BE'!$L$40*'TUSD BE'!$L$58</f>
        <v>0</v>
      </c>
      <c r="M40" s="12">
        <f>'TUSD BE'!$M$40*'TUSD BE'!$M$58</f>
        <v>-0.16647987046300847</v>
      </c>
      <c r="N40" s="12">
        <f ca="1">'TUSD BE'!$N$40*'TUSD BE'!$N$58</f>
        <v>0</v>
      </c>
      <c r="O40" s="12">
        <f>'TUSD BE'!$O$40*'TUSD BE'!$O$58</f>
        <v>0</v>
      </c>
      <c r="P40" s="12">
        <f>'TUSD BE'!$P$40*'TUSD BE'!$P$58</f>
        <v>0</v>
      </c>
      <c r="Q40" s="12">
        <f>'TUSD BE'!$Q$40*'TUSD BE'!$Q$58</f>
        <v>-4.0501667433336852</v>
      </c>
      <c r="R40" s="12">
        <f>'TUSD BE'!$R$40*'TUSD BE'!$R$58</f>
        <v>-0.62450527845486925</v>
      </c>
      <c r="S40" s="12">
        <f>'TUSD BE'!$R$40*'TUSD BE'!$S$58</f>
        <v>0</v>
      </c>
      <c r="T40" s="12">
        <f ca="1">SUM($L$40:$S$40)</f>
        <v>-4.8411518922515624</v>
      </c>
      <c r="U40" s="12">
        <f>'TUSD BE'!$U$40*'TUSD BE'!$U$58</f>
        <v>0</v>
      </c>
      <c r="V40" s="12">
        <f>'TUSD BE'!$V$40*'TUSD BE'!$V$58</f>
        <v>0</v>
      </c>
      <c r="W40" s="12">
        <f>'TUSD BE'!$W$40*'TUSD BE'!$W$58</f>
        <v>0</v>
      </c>
      <c r="X40" s="12">
        <f>'TUSD BE'!$X$40*'TUSD BE'!$X$58</f>
        <v>0</v>
      </c>
      <c r="Y40" s="12">
        <f>'TUSD BE'!$Y$40*'TUSD BE'!$Y$58</f>
        <v>1.9018276717768949</v>
      </c>
      <c r="Z40" s="12">
        <f>'TUSD BE'!$Z$40*'TUSD BE'!$Z$58</f>
        <v>0</v>
      </c>
      <c r="AA40" s="12">
        <f>'TUSD BE'!$AA$40*'TUSD BE'!$AA$58</f>
        <v>0</v>
      </c>
      <c r="AB40" s="12">
        <f>SUM($U$40:$AA$40)</f>
        <v>1.9018276717768949</v>
      </c>
      <c r="AC40" s="12">
        <f>'TUSD BE'!$AC$40*'TUSD BE'!$AC$58</f>
        <v>-172.43303222358347</v>
      </c>
      <c r="AD40" s="12">
        <f>SUM($AC$40:$AC$40)</f>
        <v>-172.43303222358347</v>
      </c>
      <c r="AE40" s="12">
        <f ca="1">$AO$40*$AO$55</f>
        <v>0</v>
      </c>
      <c r="AF40" s="12">
        <f ca="1">$AP$40*$AP$55</f>
        <v>0</v>
      </c>
      <c r="AG40" s="12">
        <f ca="1">SUM($AE$40:$AF$40)</f>
        <v>0</v>
      </c>
      <c r="AH40" s="12">
        <f>'TUSD BE'!$AH$40*'TUSD BE'!$AH$58</f>
        <v>1.9929542106361611</v>
      </c>
      <c r="AI40" s="12">
        <f>'TUSD BE'!$AI$40*'TUSD BE'!$AI$58</f>
        <v>0</v>
      </c>
      <c r="AJ40" s="12">
        <f ca="1">'TUSD BE'!$AJ$40*'TUSD BE'!$AJ$58</f>
        <v>0</v>
      </c>
      <c r="AK40" s="12">
        <f ca="1">'TUSD BE'!$AK$40*'TUSD BE'!$AK$58</f>
        <v>0</v>
      </c>
      <c r="AL40" s="12">
        <f ca="1">SUM($AH$40:$AK$40)</f>
        <v>1.9929542106361611</v>
      </c>
      <c r="AM40" s="12">
        <f ca="1">SUMIF($L$4:$AL$4,"SUBTOTAL",$L$40:$AL$40)</f>
        <v>-173.37940223342198</v>
      </c>
      <c r="AO40" s="20">
        <f ca="1">+'TUSD BE'!$T$40+'TUSD BE'!$AB$40+'TUSD BE'!$AD$40+'TUSD BE'!$AL$40</f>
        <v>491.18881578861135</v>
      </c>
      <c r="AP40" s="20">
        <f ca="1">+'TUSD BE'!$T$40+'TUSD BE'!$AB$40+'TUSD BE'!$AD$40+'TUSD BE'!$AL$40</f>
        <v>491.18881578861135</v>
      </c>
    </row>
    <row r="41" spans="1:42" ht="11.25" customHeight="1" x14ac:dyDescent="0.25">
      <c r="A41" s="102"/>
      <c r="B41" s="18" t="s">
        <v>23</v>
      </c>
      <c r="C41" s="18" t="s">
        <v>41</v>
      </c>
      <c r="D41" s="18" t="s">
        <v>89</v>
      </c>
      <c r="E41" s="18" t="s">
        <v>25</v>
      </c>
      <c r="F41" s="18" t="s">
        <v>25</v>
      </c>
      <c r="G41" s="17" t="s">
        <v>77</v>
      </c>
      <c r="H41" s="17" t="s">
        <v>71</v>
      </c>
      <c r="I41" s="17">
        <f>'MERCADO TUSD'!$U$38</f>
        <v>0</v>
      </c>
      <c r="J41" s="15"/>
      <c r="L41" s="12">
        <f>'TUSD BE'!$L$41*'TUSD BE'!$L$58</f>
        <v>0</v>
      </c>
      <c r="M41" s="12">
        <f>'TUSD BE'!$M$41*'TUSD BE'!$M$58</f>
        <v>-0.16647987046300847</v>
      </c>
      <c r="N41" s="12">
        <f ca="1">'TUSD BE'!$N$41*'TUSD BE'!$N$58</f>
        <v>0</v>
      </c>
      <c r="O41" s="12">
        <f>'TUSD BE'!$O$41*'TUSD BE'!$O$58</f>
        <v>0</v>
      </c>
      <c r="P41" s="12">
        <f>'TUSD BE'!$P$41*'TUSD BE'!$P$58</f>
        <v>0</v>
      </c>
      <c r="Q41" s="12">
        <f>'TUSD BE'!$Q$41*'TUSD BE'!$Q$58</f>
        <v>-4.0501667433336852</v>
      </c>
      <c r="R41" s="12">
        <f>'TUSD BE'!$R$41*'TUSD BE'!$R$58</f>
        <v>-0.62450527845486925</v>
      </c>
      <c r="S41" s="12">
        <f>'TUSD BE'!$R$41*'TUSD BE'!$S$58</f>
        <v>0</v>
      </c>
      <c r="T41" s="12">
        <f ca="1">SUM($L$41:$S$41)</f>
        <v>-4.8411518922515624</v>
      </c>
      <c r="U41" s="12">
        <f>'TUSD BE'!$U$41*'TUSD BE'!$U$58</f>
        <v>0</v>
      </c>
      <c r="V41" s="12">
        <f>'TUSD BE'!$V$41*'TUSD BE'!$V$58</f>
        <v>0</v>
      </c>
      <c r="W41" s="12">
        <f>'TUSD BE'!$W$41*'TUSD BE'!$W$58</f>
        <v>0</v>
      </c>
      <c r="X41" s="12">
        <f>'TUSD BE'!$X$41*'TUSD BE'!$X$58</f>
        <v>0</v>
      </c>
      <c r="Y41" s="12">
        <f>'TUSD BE'!$Y$41*'TUSD BE'!$Y$58</f>
        <v>3.6581073074484158</v>
      </c>
      <c r="Z41" s="12">
        <f>'TUSD BE'!$Z$41*'TUSD BE'!$Z$58</f>
        <v>0</v>
      </c>
      <c r="AA41" s="12">
        <f>'TUSD BE'!$AA$41*'TUSD BE'!$AA$58</f>
        <v>0</v>
      </c>
      <c r="AB41" s="12">
        <f>SUM($U$41:$AA$41)</f>
        <v>3.6581073074484158</v>
      </c>
      <c r="AC41" s="12">
        <f>'TUSD BE'!$AC$41*'TUSD BE'!$AC$58</f>
        <v>-331.60208674643894</v>
      </c>
      <c r="AD41" s="12">
        <f>SUM($AC$41:$AC$41)</f>
        <v>-331.60208674643894</v>
      </c>
      <c r="AE41" s="12">
        <f ca="1">$AO$41*$AO$55</f>
        <v>0</v>
      </c>
      <c r="AF41" s="12">
        <f ca="1">$AP$41*$AP$55</f>
        <v>0</v>
      </c>
      <c r="AG41" s="12">
        <f ca="1">SUM($AE$41:$AF$41)</f>
        <v>0</v>
      </c>
      <c r="AH41" s="12">
        <f>'TUSD BE'!$AH$41*'TUSD BE'!$AH$58</f>
        <v>1.9929542106361611</v>
      </c>
      <c r="AI41" s="12">
        <f>'TUSD BE'!$AI$41*'TUSD BE'!$AI$58</f>
        <v>0</v>
      </c>
      <c r="AJ41" s="12">
        <f ca="1">'TUSD BE'!$AJ$41*'TUSD BE'!$AJ$58</f>
        <v>0</v>
      </c>
      <c r="AK41" s="12">
        <f ca="1">'TUSD BE'!$AK$41*'TUSD BE'!$AK$58</f>
        <v>0</v>
      </c>
      <c r="AL41" s="12">
        <f ca="1">SUM($AH$41:$AK$41)</f>
        <v>1.9929542106361611</v>
      </c>
      <c r="AM41" s="12">
        <f ca="1">SUMIF($L$4:$AL$4,"SUBTOTAL",$L$41:$AL$41)</f>
        <v>-330.79217712060591</v>
      </c>
      <c r="AO41" s="20">
        <f ca="1">+'TUSD BE'!$T$41+'TUSD BE'!$AB$41+'TUSD BE'!$AD$41+'TUSD BE'!$AL$41</f>
        <v>818.64916748970745</v>
      </c>
      <c r="AP41" s="20">
        <f ca="1">+'TUSD BE'!$T$41+'TUSD BE'!$AB$41+'TUSD BE'!$AD$41+'TUSD BE'!$AL$41</f>
        <v>818.64916748970745</v>
      </c>
    </row>
    <row r="42" spans="1:42" ht="11.25" customHeight="1" x14ac:dyDescent="0.25">
      <c r="A42" s="102"/>
      <c r="B42" s="102" t="s">
        <v>87</v>
      </c>
      <c r="C42" s="102" t="s">
        <v>41</v>
      </c>
      <c r="D42" s="18" t="s">
        <v>25</v>
      </c>
      <c r="E42" s="18" t="s">
        <v>25</v>
      </c>
      <c r="F42" s="18" t="s">
        <v>25</v>
      </c>
      <c r="G42" s="17" t="s">
        <v>77</v>
      </c>
      <c r="H42" s="17" t="s">
        <v>71</v>
      </c>
      <c r="I42" s="17">
        <f>'MERCADO TUSD'!$U$39</f>
        <v>0</v>
      </c>
      <c r="J42" s="15"/>
      <c r="L42" s="12">
        <f>'TUSD BE'!$L$42*'TUSD BE'!$L$58</f>
        <v>0</v>
      </c>
      <c r="M42" s="12">
        <f>'TUSD BE'!$M$42*'TUSD BE'!$M$58</f>
        <v>-0.16647987046300847</v>
      </c>
      <c r="N42" s="12">
        <f ca="1">'TUSD BE'!$N$42*'TUSD BE'!$N$58</f>
        <v>0</v>
      </c>
      <c r="O42" s="12">
        <f>'TUSD BE'!$O$42*'TUSD BE'!$O$58</f>
        <v>0</v>
      </c>
      <c r="P42" s="12">
        <f>'TUSD BE'!$P$42*'TUSD BE'!$P$58</f>
        <v>0</v>
      </c>
      <c r="Q42" s="12">
        <f>'TUSD BE'!$Q$42*'TUSD BE'!$Q$58</f>
        <v>-4.0501667433336852</v>
      </c>
      <c r="R42" s="12">
        <f>'TUSD BE'!$R$42*'TUSD BE'!$R$58</f>
        <v>-0.62450527845486925</v>
      </c>
      <c r="S42" s="12">
        <f>'TUSD BE'!$R$42*'TUSD BE'!$S$58</f>
        <v>0</v>
      </c>
      <c r="T42" s="12">
        <f ca="1">SUM($L$42:$S$42)</f>
        <v>-4.8411518922515624</v>
      </c>
      <c r="U42" s="12">
        <f>'TUSD BE'!$U$42*'TUSD BE'!$U$58</f>
        <v>0</v>
      </c>
      <c r="V42" s="12">
        <f>'TUSD BE'!$V$42*'TUSD BE'!$V$58</f>
        <v>0</v>
      </c>
      <c r="W42" s="12">
        <f>'TUSD BE'!$W$42*'TUSD BE'!$W$58</f>
        <v>0</v>
      </c>
      <c r="X42" s="12">
        <f>'TUSD BE'!$X$42*'TUSD BE'!$X$58</f>
        <v>0</v>
      </c>
      <c r="Y42" s="12">
        <f>'TUSD BE'!$Y$42*'TUSD BE'!$Y$58</f>
        <v>3.6581073074484158</v>
      </c>
      <c r="Z42" s="12">
        <f>'TUSD BE'!$Z$42*'TUSD BE'!$Z$58</f>
        <v>0</v>
      </c>
      <c r="AA42" s="12">
        <f>'TUSD BE'!$AA$42*'TUSD BE'!$AA$58</f>
        <v>0</v>
      </c>
      <c r="AB42" s="12">
        <f>SUM($U$42:$AA$42)</f>
        <v>3.6581073074484158</v>
      </c>
      <c r="AC42" s="12">
        <f>'TUSD BE'!$AC$42*'TUSD BE'!$AC$58</f>
        <v>-331.60208674643894</v>
      </c>
      <c r="AD42" s="12">
        <f>SUM($AC$42:$AC$42)</f>
        <v>-331.60208674643894</v>
      </c>
      <c r="AE42" s="12">
        <f ca="1">$AO$42*$AO$55</f>
        <v>0</v>
      </c>
      <c r="AF42" s="12">
        <f ca="1">$AP$42*$AP$55</f>
        <v>0</v>
      </c>
      <c r="AG42" s="12">
        <f ca="1">SUM($AE$42:$AF$42)</f>
        <v>0</v>
      </c>
      <c r="AH42" s="12">
        <f>'TUSD BE'!$AH$42*'TUSD BE'!$AH$58</f>
        <v>1.9929542106361611</v>
      </c>
      <c r="AI42" s="12">
        <f>'TUSD BE'!$AI$42*'TUSD BE'!$AI$58</f>
        <v>0</v>
      </c>
      <c r="AJ42" s="12">
        <f ca="1">'TUSD BE'!$AJ$42*'TUSD BE'!$AJ$58</f>
        <v>0</v>
      </c>
      <c r="AK42" s="12">
        <f ca="1">'TUSD BE'!$AK$42*'TUSD BE'!$AK$58</f>
        <v>0</v>
      </c>
      <c r="AL42" s="12">
        <f ca="1">SUM($AH$42:$AK$42)</f>
        <v>1.9929542106361611</v>
      </c>
      <c r="AM42" s="12">
        <f ca="1">SUMIF($L$4:$AL$4,"SUBTOTAL",$L$42:$AL$42)</f>
        <v>-330.79217712060591</v>
      </c>
      <c r="AO42" s="20">
        <f ca="1">+'TUSD BE'!$T$42+'TUSD BE'!$AB$42+'TUSD BE'!$AD$42+'TUSD BE'!$AL$42</f>
        <v>818.64916748970745</v>
      </c>
      <c r="AP42" s="20">
        <f ca="1">+'TUSD BE'!$T$42+'TUSD BE'!$AB$42+'TUSD BE'!$AD$42+'TUSD BE'!$AL$42</f>
        <v>818.64916748970745</v>
      </c>
    </row>
    <row r="43" spans="1:42" ht="11.25" customHeight="1" x14ac:dyDescent="0.25">
      <c r="A43" s="102"/>
      <c r="B43" s="102"/>
      <c r="C43" s="102"/>
      <c r="D43" s="18" t="s">
        <v>88</v>
      </c>
      <c r="E43" s="18" t="s">
        <v>25</v>
      </c>
      <c r="F43" s="18" t="s">
        <v>25</v>
      </c>
      <c r="G43" s="17" t="s">
        <v>77</v>
      </c>
      <c r="H43" s="17" t="s">
        <v>71</v>
      </c>
      <c r="I43" s="17">
        <f>'MERCADO TUSD'!$U$40</f>
        <v>0</v>
      </c>
      <c r="J43" s="15"/>
      <c r="L43" s="12">
        <f>'TUSD BE'!$L$43*'TUSD BE'!$L$58</f>
        <v>0</v>
      </c>
      <c r="M43" s="12">
        <f>'TUSD BE'!$M$43*'TUSD BE'!$M$58</f>
        <v>-0.16647987046300847</v>
      </c>
      <c r="N43" s="12">
        <f ca="1">'TUSD BE'!$N$43*'TUSD BE'!$N$58</f>
        <v>0</v>
      </c>
      <c r="O43" s="12">
        <f>'TUSD BE'!$O$43*'TUSD BE'!$O$58</f>
        <v>0</v>
      </c>
      <c r="P43" s="12">
        <f>'TUSD BE'!$P$43*'TUSD BE'!$P$58</f>
        <v>0</v>
      </c>
      <c r="Q43" s="12">
        <f>'TUSD BE'!$Q$43*'TUSD BE'!$Q$58</f>
        <v>-4.0501667433336852</v>
      </c>
      <c r="R43" s="12">
        <f>'TUSD BE'!$R$43*'TUSD BE'!$R$58</f>
        <v>-0.62450527845486925</v>
      </c>
      <c r="S43" s="12">
        <f>'TUSD BE'!$R$43*'TUSD BE'!$S$58</f>
        <v>0</v>
      </c>
      <c r="T43" s="12">
        <f ca="1">SUM($L$43:$S$43)</f>
        <v>-4.8411518922515624</v>
      </c>
      <c r="U43" s="12">
        <f>'TUSD BE'!$U$43*'TUSD BE'!$U$58</f>
        <v>0</v>
      </c>
      <c r="V43" s="12">
        <f>'TUSD BE'!$V$43*'TUSD BE'!$V$58</f>
        <v>0</v>
      </c>
      <c r="W43" s="12">
        <f>'TUSD BE'!$W$43*'TUSD BE'!$W$58</f>
        <v>0</v>
      </c>
      <c r="X43" s="12">
        <f>'TUSD BE'!$X$43*'TUSD BE'!$X$58</f>
        <v>0</v>
      </c>
      <c r="Y43" s="12">
        <f>'TUSD BE'!$Y$43*'TUSD BE'!$Y$58</f>
        <v>3.6581073074484158</v>
      </c>
      <c r="Z43" s="12">
        <f>'TUSD BE'!$Z$43*'TUSD BE'!$Z$58</f>
        <v>0</v>
      </c>
      <c r="AA43" s="12">
        <f>'TUSD BE'!$AA$43*'TUSD BE'!$AA$58</f>
        <v>0</v>
      </c>
      <c r="AB43" s="12">
        <f>SUM($U$43:$AA$43)</f>
        <v>3.6581073074484158</v>
      </c>
      <c r="AC43" s="12">
        <f>'TUSD BE'!$AC$43*'TUSD BE'!$AC$58</f>
        <v>-331.60208674643894</v>
      </c>
      <c r="AD43" s="12">
        <f>SUM($AC$43:$AC$43)</f>
        <v>-331.60208674643894</v>
      </c>
      <c r="AE43" s="12">
        <f ca="1">$AO$43*$AO$55</f>
        <v>0</v>
      </c>
      <c r="AF43" s="12">
        <f ca="1">$AP$43*$AP$55</f>
        <v>0</v>
      </c>
      <c r="AG43" s="12">
        <f ca="1">SUM($AE$43:$AF$43)</f>
        <v>0</v>
      </c>
      <c r="AH43" s="12">
        <f>'TUSD BE'!$AH$43*'TUSD BE'!$AH$58</f>
        <v>1.9929542106361611</v>
      </c>
      <c r="AI43" s="12">
        <f>'TUSD BE'!$AI$43*'TUSD BE'!$AI$58</f>
        <v>0</v>
      </c>
      <c r="AJ43" s="12">
        <f ca="1">'TUSD BE'!$AJ$43*'TUSD BE'!$AJ$58</f>
        <v>0</v>
      </c>
      <c r="AK43" s="12">
        <f ca="1">'TUSD BE'!$AK$43*'TUSD BE'!$AK$58</f>
        <v>0</v>
      </c>
      <c r="AL43" s="12">
        <f ca="1">SUM($AH$43:$AK$43)</f>
        <v>1.9929542106361611</v>
      </c>
      <c r="AM43" s="12">
        <f ca="1">SUMIF($L$4:$AL$4,"SUBTOTAL",$L$43:$AL$43)</f>
        <v>-330.79217712060591</v>
      </c>
      <c r="AO43" s="20">
        <f ca="1">+'TUSD BE'!$T$43+'TUSD BE'!$AB$43+'TUSD BE'!$AD$43+'TUSD BE'!$AL$43</f>
        <v>818.64916748970745</v>
      </c>
      <c r="AP43" s="20">
        <f ca="1">+'TUSD BE'!$T$43+'TUSD BE'!$AB$43+'TUSD BE'!$AD$43+'TUSD BE'!$AL$43</f>
        <v>818.64916748970745</v>
      </c>
    </row>
    <row r="44" spans="1:42" ht="11.25" customHeight="1" x14ac:dyDescent="0.25">
      <c r="A44" s="102"/>
      <c r="B44" s="102"/>
      <c r="C44" s="102"/>
      <c r="D44" s="18" t="s">
        <v>89</v>
      </c>
      <c r="E44" s="18" t="s">
        <v>25</v>
      </c>
      <c r="F44" s="18" t="s">
        <v>25</v>
      </c>
      <c r="G44" s="17" t="s">
        <v>77</v>
      </c>
      <c r="H44" s="17" t="s">
        <v>71</v>
      </c>
      <c r="I44" s="17">
        <f>'MERCADO TUSD'!$U$41</f>
        <v>0</v>
      </c>
      <c r="J44" s="15"/>
      <c r="L44" s="12">
        <f>'TUSD BE'!$L$44*'TUSD BE'!$L$58</f>
        <v>0</v>
      </c>
      <c r="M44" s="12">
        <f>'TUSD BE'!$M$44*'TUSD BE'!$M$58</f>
        <v>-0.16647987046300847</v>
      </c>
      <c r="N44" s="12">
        <f ca="1">'TUSD BE'!$N$44*'TUSD BE'!$N$58</f>
        <v>0</v>
      </c>
      <c r="O44" s="12">
        <f>'TUSD BE'!$O$44*'TUSD BE'!$O$58</f>
        <v>0</v>
      </c>
      <c r="P44" s="12">
        <f>'TUSD BE'!$P$44*'TUSD BE'!$P$58</f>
        <v>0</v>
      </c>
      <c r="Q44" s="12">
        <f>'TUSD BE'!$Q$44*'TUSD BE'!$Q$58</f>
        <v>-4.0501667433336852</v>
      </c>
      <c r="R44" s="12">
        <f>'TUSD BE'!$R$44*'TUSD BE'!$R$58</f>
        <v>-0.62450527845486925</v>
      </c>
      <c r="S44" s="12">
        <f>'TUSD BE'!$R$44*'TUSD BE'!$S$58</f>
        <v>0</v>
      </c>
      <c r="T44" s="12">
        <f ca="1">SUM($L$44:$S$44)</f>
        <v>-4.8411518922515624</v>
      </c>
      <c r="U44" s="12">
        <f>'TUSD BE'!$U$44*'TUSD BE'!$U$58</f>
        <v>0</v>
      </c>
      <c r="V44" s="12">
        <f>'TUSD BE'!$V$44*'TUSD BE'!$V$58</f>
        <v>0</v>
      </c>
      <c r="W44" s="12">
        <f>'TUSD BE'!$W$44*'TUSD BE'!$W$58</f>
        <v>0</v>
      </c>
      <c r="X44" s="12">
        <f>'TUSD BE'!$X$44*'TUSD BE'!$X$58</f>
        <v>0</v>
      </c>
      <c r="Y44" s="12">
        <f>'TUSD BE'!$Y$44*'TUSD BE'!$Y$58</f>
        <v>3.6581073074484158</v>
      </c>
      <c r="Z44" s="12">
        <f>'TUSD BE'!$Z$44*'TUSD BE'!$Z$58</f>
        <v>0</v>
      </c>
      <c r="AA44" s="12">
        <f>'TUSD BE'!$AA$44*'TUSD BE'!$AA$58</f>
        <v>0</v>
      </c>
      <c r="AB44" s="12">
        <f>SUM($U$44:$AA$44)</f>
        <v>3.6581073074484158</v>
      </c>
      <c r="AC44" s="12">
        <f>'TUSD BE'!$AC$44*'TUSD BE'!$AC$58</f>
        <v>-331.60208674643894</v>
      </c>
      <c r="AD44" s="12">
        <f>SUM($AC$44:$AC$44)</f>
        <v>-331.60208674643894</v>
      </c>
      <c r="AE44" s="12">
        <f ca="1">$AO$44*$AO$55</f>
        <v>0</v>
      </c>
      <c r="AF44" s="12">
        <f ca="1">$AP$44*$AP$55</f>
        <v>0</v>
      </c>
      <c r="AG44" s="12">
        <f ca="1">SUM($AE$44:$AF$44)</f>
        <v>0</v>
      </c>
      <c r="AH44" s="12">
        <f>'TUSD BE'!$AH$44*'TUSD BE'!$AH$58</f>
        <v>1.9929542106361611</v>
      </c>
      <c r="AI44" s="12">
        <f>'TUSD BE'!$AI$44*'TUSD BE'!$AI$58</f>
        <v>0</v>
      </c>
      <c r="AJ44" s="12">
        <f ca="1">'TUSD BE'!$AJ$44*'TUSD BE'!$AJ$58</f>
        <v>0</v>
      </c>
      <c r="AK44" s="12">
        <f ca="1">'TUSD BE'!$AK$44*'TUSD BE'!$AK$58</f>
        <v>0</v>
      </c>
      <c r="AL44" s="12">
        <f ca="1">SUM($AH$44:$AK$44)</f>
        <v>1.9929542106361611</v>
      </c>
      <c r="AM44" s="12">
        <f ca="1">SUMIF($L$4:$AL$4,"SUBTOTAL",$L$44:$AL$44)</f>
        <v>-330.79217712060591</v>
      </c>
      <c r="AO44" s="20">
        <f ca="1">+'TUSD BE'!$T$44+'TUSD BE'!$AB$44+'TUSD BE'!$AD$44+'TUSD BE'!$AL$44</f>
        <v>818.64916748970745</v>
      </c>
      <c r="AP44" s="20">
        <f ca="1">+'TUSD BE'!$T$44+'TUSD BE'!$AB$44+'TUSD BE'!$AD$44+'TUSD BE'!$AL$44</f>
        <v>818.64916748970745</v>
      </c>
    </row>
    <row r="45" spans="1:42" ht="11.25" customHeight="1" x14ac:dyDescent="0.25">
      <c r="A45" s="102" t="s">
        <v>33</v>
      </c>
      <c r="B45" s="102" t="s">
        <v>85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17" t="s">
        <v>72</v>
      </c>
      <c r="H45" s="17" t="s">
        <v>71</v>
      </c>
      <c r="I45" s="17">
        <f>'MERCADO TUSD'!$U$42</f>
        <v>0</v>
      </c>
      <c r="J45" s="15"/>
      <c r="L45" s="12">
        <f>'TUSD BE'!$L$45*'TUSD BE'!$L$58</f>
        <v>0</v>
      </c>
      <c r="M45" s="12">
        <f>'TUSD BE'!$M$45*'TUSD BE'!$M$58</f>
        <v>-0.16647987046300847</v>
      </c>
      <c r="N45" s="12">
        <f ca="1">'TUSD BE'!$N$45*'TUSD BE'!$N$58</f>
        <v>0</v>
      </c>
      <c r="O45" s="12">
        <f>'TUSD BE'!$O$45*'TUSD BE'!$O$58</f>
        <v>0</v>
      </c>
      <c r="P45" s="12">
        <f>'TUSD BE'!$P$45*'TUSD BE'!$P$58</f>
        <v>0</v>
      </c>
      <c r="Q45" s="12">
        <f>'TUSD BE'!$Q$45*'TUSD BE'!$Q$58</f>
        <v>-4.0501667433336852</v>
      </c>
      <c r="R45" s="12">
        <f>'TUSD BE'!$R$45*'TUSD BE'!$R$58</f>
        <v>-0.62450527845486925</v>
      </c>
      <c r="S45" s="12">
        <f>'TUSD BE'!$R$45*'TUSD BE'!$S$58</f>
        <v>0</v>
      </c>
      <c r="T45" s="12">
        <f ca="1">SUM($L$45:$S$45)</f>
        <v>-4.8411518922515624</v>
      </c>
      <c r="U45" s="12">
        <f>'TUSD BE'!$U$45*'TUSD BE'!$U$58</f>
        <v>0</v>
      </c>
      <c r="V45" s="12">
        <f>'TUSD BE'!$V$45*'TUSD BE'!$V$58</f>
        <v>0</v>
      </c>
      <c r="W45" s="12">
        <f>'TUSD BE'!$W$45*'TUSD BE'!$W$58</f>
        <v>0</v>
      </c>
      <c r="X45" s="12">
        <f>'TUSD BE'!$X$45*'TUSD BE'!$X$58</f>
        <v>0</v>
      </c>
      <c r="Y45" s="12">
        <f>'TUSD BE'!$Y$45*'TUSD BE'!$Y$58</f>
        <v>10.972704721944076</v>
      </c>
      <c r="Z45" s="12">
        <f>'TUSD BE'!$Z$45*'TUSD BE'!$Z$58</f>
        <v>0</v>
      </c>
      <c r="AA45" s="12">
        <f>'TUSD BE'!$AA$45*'TUSD BE'!$AA$58</f>
        <v>0</v>
      </c>
      <c r="AB45" s="12">
        <f>SUM($U$45:$AA$45)</f>
        <v>10.972704721944076</v>
      </c>
      <c r="AC45" s="12">
        <f>'TUSD BE'!$AC$45*'TUSD BE'!$AC$58</f>
        <v>-994.80665687355281</v>
      </c>
      <c r="AD45" s="12">
        <f>SUM($AC$45:$AC$45)</f>
        <v>-994.80665687355281</v>
      </c>
      <c r="AE45" s="12">
        <f ca="1">$AO$45*$AO$55</f>
        <v>0</v>
      </c>
      <c r="AF45" s="12">
        <f ca="1">$AP$45*$AP$55</f>
        <v>0</v>
      </c>
      <c r="AG45" s="12">
        <f ca="1">SUM($AE$45:$AF$45)</f>
        <v>0</v>
      </c>
      <c r="AH45" s="12">
        <f>'TUSD BE'!$AH$45*'TUSD BE'!$AH$58</f>
        <v>1.9929542106361611</v>
      </c>
      <c r="AI45" s="12">
        <f>'TUSD BE'!$AI$45*'TUSD BE'!$AI$58</f>
        <v>0</v>
      </c>
      <c r="AJ45" s="12">
        <f ca="1">'TUSD BE'!$AJ$45*'TUSD BE'!$AJ$58</f>
        <v>0</v>
      </c>
      <c r="AK45" s="12">
        <f ca="1">'TUSD BE'!$AK$45*'TUSD BE'!$AK$58</f>
        <v>0</v>
      </c>
      <c r="AL45" s="12">
        <f ca="1">SUM($AH$45:$AK$45)</f>
        <v>1.9929542106361611</v>
      </c>
      <c r="AM45" s="12">
        <f ca="1">SUMIF($L$4:$AL$4,"SUBTOTAL",$L$45:$AL$45)</f>
        <v>-986.68214983322412</v>
      </c>
      <c r="AO45" s="20">
        <f ca="1">+'TUSD BE'!$T$45+'TUSD BE'!$AB$45+'TUSD BE'!$AD$45+'TUSD BE'!$AL$45</f>
        <v>2182.9426037890435</v>
      </c>
      <c r="AP45" s="20">
        <f ca="1">+'TUSD BE'!$T$45+'TUSD BE'!$AB$45+'TUSD BE'!$AD$45+'TUSD BE'!$AL$45</f>
        <v>2182.9426037890435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17" t="s">
        <v>83</v>
      </c>
      <c r="H46" s="17" t="s">
        <v>71</v>
      </c>
      <c r="I46" s="17">
        <f>'MERCADO TUSD'!$U$43</f>
        <v>0</v>
      </c>
      <c r="J46" s="15"/>
      <c r="L46" s="12">
        <f>'TUSD BE'!$L$46*'TUSD BE'!$L$58</f>
        <v>0</v>
      </c>
      <c r="M46" s="12">
        <f>'TUSD BE'!$M$46*'TUSD BE'!$M$58</f>
        <v>-0.16647987046300847</v>
      </c>
      <c r="N46" s="12">
        <f ca="1">'TUSD BE'!$N$46*'TUSD BE'!$N$58</f>
        <v>0</v>
      </c>
      <c r="O46" s="12">
        <f>'TUSD BE'!$O$46*'TUSD BE'!$O$58</f>
        <v>0</v>
      </c>
      <c r="P46" s="12">
        <f>'TUSD BE'!$P$46*'TUSD BE'!$P$58</f>
        <v>0</v>
      </c>
      <c r="Q46" s="12">
        <f>'TUSD BE'!$Q$46*'TUSD BE'!$Q$58</f>
        <v>-4.0501667433336852</v>
      </c>
      <c r="R46" s="12">
        <f>'TUSD BE'!$R$46*'TUSD BE'!$R$58</f>
        <v>-0.62450527845486925</v>
      </c>
      <c r="S46" s="12">
        <f>'TUSD BE'!$R$46*'TUSD BE'!$S$58</f>
        <v>0</v>
      </c>
      <c r="T46" s="12">
        <f ca="1">SUM($L$46:$S$46)</f>
        <v>-4.8411518922515624</v>
      </c>
      <c r="U46" s="12">
        <f>'TUSD BE'!$U$46*'TUSD BE'!$U$58</f>
        <v>0</v>
      </c>
      <c r="V46" s="12">
        <f>'TUSD BE'!$V$46*'TUSD BE'!$V$58</f>
        <v>0</v>
      </c>
      <c r="W46" s="12">
        <f>'TUSD BE'!$W$46*'TUSD BE'!$W$58</f>
        <v>0</v>
      </c>
      <c r="X46" s="12">
        <f>'TUSD BE'!$X$46*'TUSD BE'!$X$58</f>
        <v>0</v>
      </c>
      <c r="Y46" s="12">
        <f>'TUSD BE'!$Y$46*'TUSD BE'!$Y$58</f>
        <v>6.5836228331664461</v>
      </c>
      <c r="Z46" s="12">
        <f>'TUSD BE'!$Z$46*'TUSD BE'!$Z$58</f>
        <v>0</v>
      </c>
      <c r="AA46" s="12">
        <f>'TUSD BE'!$AA$46*'TUSD BE'!$AA$58</f>
        <v>0</v>
      </c>
      <c r="AB46" s="12">
        <f>SUM($U$46:$AA$46)</f>
        <v>6.5836228331664461</v>
      </c>
      <c r="AC46" s="12">
        <f>'TUSD BE'!$AC$46*'TUSD BE'!$AC$58</f>
        <v>-596.88388835500211</v>
      </c>
      <c r="AD46" s="12">
        <f>SUM($AC$46:$AC$46)</f>
        <v>-596.88388835500211</v>
      </c>
      <c r="AE46" s="12">
        <f ca="1">$AO$46*$AO$55</f>
        <v>0</v>
      </c>
      <c r="AF46" s="12">
        <f ca="1">$AP$46*$AP$55</f>
        <v>0</v>
      </c>
      <c r="AG46" s="12">
        <f ca="1">SUM($AE$46:$AF$46)</f>
        <v>0</v>
      </c>
      <c r="AH46" s="12">
        <f>'TUSD BE'!$AH$46*'TUSD BE'!$AH$58</f>
        <v>1.9929542106361611</v>
      </c>
      <c r="AI46" s="12">
        <f>'TUSD BE'!$AI$46*'TUSD BE'!$AI$58</f>
        <v>0</v>
      </c>
      <c r="AJ46" s="12">
        <f ca="1">'TUSD BE'!$AJ$46*'TUSD BE'!$AJ$58</f>
        <v>0</v>
      </c>
      <c r="AK46" s="12">
        <f ca="1">'TUSD BE'!$AK$46*'TUSD BE'!$AK$58</f>
        <v>0</v>
      </c>
      <c r="AL46" s="12">
        <f ca="1">SUM($AH$46:$AK$46)</f>
        <v>1.9929542106361611</v>
      </c>
      <c r="AM46" s="12">
        <f ca="1">SUMIF($L$4:$AL$4,"SUBTOTAL",$L$46:$AL$46)</f>
        <v>-593.148463203451</v>
      </c>
      <c r="AO46" s="20">
        <f ca="1">+'TUSD BE'!$T$46+'TUSD BE'!$AB$46+'TUSD BE'!$AD$46+'TUSD BE'!$AL$46</f>
        <v>1364.3540005545008</v>
      </c>
      <c r="AP46" s="20">
        <f ca="1">+'TUSD BE'!$T$46+'TUSD BE'!$AB$46+'TUSD BE'!$AD$46+'TUSD BE'!$AL$46</f>
        <v>1364.3540005545008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17" t="s">
        <v>73</v>
      </c>
      <c r="H47" s="17" t="s">
        <v>71</v>
      </c>
      <c r="I47" s="17">
        <f>'MERCADO TUSD'!$U$44</f>
        <v>0</v>
      </c>
      <c r="J47" s="15"/>
      <c r="L47" s="12">
        <f>'TUSD BE'!$L$47*'TUSD BE'!$L$58</f>
        <v>0</v>
      </c>
      <c r="M47" s="12">
        <f>'TUSD BE'!$M$47*'TUSD BE'!$M$58</f>
        <v>-0.16647987046300847</v>
      </c>
      <c r="N47" s="12">
        <f ca="1">'TUSD BE'!$N$47*'TUSD BE'!$N$58</f>
        <v>0</v>
      </c>
      <c r="O47" s="12">
        <f>'TUSD BE'!$O$47*'TUSD BE'!$O$58</f>
        <v>0</v>
      </c>
      <c r="P47" s="12">
        <f>'TUSD BE'!$P$47*'TUSD BE'!$P$58</f>
        <v>0</v>
      </c>
      <c r="Q47" s="12">
        <f>'TUSD BE'!$Q$47*'TUSD BE'!$Q$58</f>
        <v>-4.0501667433336852</v>
      </c>
      <c r="R47" s="12">
        <f>'TUSD BE'!$R$47*'TUSD BE'!$R$58</f>
        <v>-0.62450527845486925</v>
      </c>
      <c r="S47" s="12">
        <f>'TUSD BE'!$R$47*'TUSD BE'!$S$58</f>
        <v>0</v>
      </c>
      <c r="T47" s="12">
        <f ca="1">SUM($L$47:$S$47)</f>
        <v>-4.8411518922515624</v>
      </c>
      <c r="U47" s="12">
        <f>'TUSD BE'!$U$47*'TUSD BE'!$U$58</f>
        <v>0</v>
      </c>
      <c r="V47" s="12">
        <f>'TUSD BE'!$V$47*'TUSD BE'!$V$58</f>
        <v>0</v>
      </c>
      <c r="W47" s="12">
        <f>'TUSD BE'!$W$47*'TUSD BE'!$W$58</f>
        <v>0</v>
      </c>
      <c r="X47" s="12">
        <f>'TUSD BE'!$X$47*'TUSD BE'!$X$58</f>
        <v>0</v>
      </c>
      <c r="Y47" s="12">
        <f>'TUSD BE'!$Y$47*'TUSD BE'!$Y$58</f>
        <v>2.1945409443888151</v>
      </c>
      <c r="Z47" s="12">
        <f>'TUSD BE'!$Z$47*'TUSD BE'!$Z$58</f>
        <v>0</v>
      </c>
      <c r="AA47" s="12">
        <f>'TUSD BE'!$AA$47*'TUSD BE'!$AA$58</f>
        <v>0</v>
      </c>
      <c r="AB47" s="12">
        <f>SUM($U$47:$AA$47)</f>
        <v>2.1945409443888151</v>
      </c>
      <c r="AC47" s="12">
        <f>'TUSD BE'!$AC$47*'TUSD BE'!$AC$58</f>
        <v>-198.96138425927538</v>
      </c>
      <c r="AD47" s="12">
        <f>SUM($AC$47:$AC$47)</f>
        <v>-198.96138425927538</v>
      </c>
      <c r="AE47" s="12">
        <f ca="1">$AO$47*$AO$55</f>
        <v>0</v>
      </c>
      <c r="AF47" s="12">
        <f ca="1">$AP$47*$AP$55</f>
        <v>0</v>
      </c>
      <c r="AG47" s="12">
        <f ca="1">SUM($AE$47:$AF$47)</f>
        <v>0</v>
      </c>
      <c r="AH47" s="12">
        <f>'TUSD BE'!$AH$47*'TUSD BE'!$AH$58</f>
        <v>1.9929542106361611</v>
      </c>
      <c r="AI47" s="12">
        <f>'TUSD BE'!$AI$47*'TUSD BE'!$AI$58</f>
        <v>0</v>
      </c>
      <c r="AJ47" s="12">
        <f ca="1">'TUSD BE'!$AJ$47*'TUSD BE'!$AJ$58</f>
        <v>0</v>
      </c>
      <c r="AK47" s="12">
        <f ca="1">'TUSD BE'!$AK$47*'TUSD BE'!$AK$58</f>
        <v>0</v>
      </c>
      <c r="AL47" s="12">
        <f ca="1">SUM($AH$47:$AK$47)</f>
        <v>1.9929542106361611</v>
      </c>
      <c r="AM47" s="12">
        <f ca="1">SUMIF($L$4:$AL$4,"SUBTOTAL",$L$47:$AL$47)</f>
        <v>-199.61504099650196</v>
      </c>
      <c r="AO47" s="20">
        <f ca="1">+'TUSD BE'!$T$47+'TUSD BE'!$AB$47+'TUSD BE'!$AD$47+'TUSD BE'!$AL$47</f>
        <v>545.76582857646599</v>
      </c>
      <c r="AP47" s="20">
        <f ca="1">+'TUSD BE'!$T$47+'TUSD BE'!$AB$47+'TUSD BE'!$AD$47+'TUSD BE'!$AL$47</f>
        <v>545.76582857646599</v>
      </c>
    </row>
    <row r="48" spans="1:42" ht="11.25" customHeight="1" x14ac:dyDescent="0.25">
      <c r="A48" s="102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77</v>
      </c>
      <c r="H48" s="17" t="s">
        <v>71</v>
      </c>
      <c r="I48" s="17">
        <f>'MERCADO TUSD'!$U$45</f>
        <v>9552.121000000001</v>
      </c>
      <c r="J48" s="15"/>
      <c r="L48" s="12">
        <f>'TUSD BE'!$L$48*'TUSD BE'!$L$58</f>
        <v>0</v>
      </c>
      <c r="M48" s="12">
        <f>'TUSD BE'!$M$48*'TUSD BE'!$M$58</f>
        <v>-0.16647987046300847</v>
      </c>
      <c r="N48" s="12">
        <f ca="1">'TUSD BE'!$N$48*'TUSD BE'!$N$58</f>
        <v>0</v>
      </c>
      <c r="O48" s="12">
        <f>'TUSD BE'!$O$48*'TUSD BE'!$O$58</f>
        <v>0</v>
      </c>
      <c r="P48" s="12">
        <f>'TUSD BE'!$P$48*'TUSD BE'!$P$58</f>
        <v>0</v>
      </c>
      <c r="Q48" s="12">
        <f>'TUSD BE'!$Q$48*'TUSD BE'!$Q$58</f>
        <v>-4.0501667433336852</v>
      </c>
      <c r="R48" s="12">
        <f>'TUSD BE'!$R$48*'TUSD BE'!$R$58</f>
        <v>-0.62450527845486925</v>
      </c>
      <c r="S48" s="12">
        <f>'TUSD BE'!$R$48*'TUSD BE'!$S$58</f>
        <v>0</v>
      </c>
      <c r="T48" s="12">
        <f ca="1">SUM($L$48:$S$48)</f>
        <v>-4.8411518922515624</v>
      </c>
      <c r="U48" s="12">
        <f>'TUSD BE'!$U$48*'TUSD BE'!$U$58</f>
        <v>0</v>
      </c>
      <c r="V48" s="12">
        <f>'TUSD BE'!$V$48*'TUSD BE'!$V$58</f>
        <v>0</v>
      </c>
      <c r="W48" s="12">
        <f>'TUSD BE'!$W$48*'TUSD BE'!$W$58</f>
        <v>0</v>
      </c>
      <c r="X48" s="12">
        <f>'TUSD BE'!$X$48*'TUSD BE'!$X$58</f>
        <v>0</v>
      </c>
      <c r="Y48" s="12">
        <f>'TUSD BE'!$Y$48*'TUSD BE'!$Y$58</f>
        <v>3.6581073074484158</v>
      </c>
      <c r="Z48" s="12">
        <f>'TUSD BE'!$Z$48*'TUSD BE'!$Z$58</f>
        <v>0</v>
      </c>
      <c r="AA48" s="12">
        <f>'TUSD BE'!$AA$48*'TUSD BE'!$AA$58</f>
        <v>0</v>
      </c>
      <c r="AB48" s="12">
        <f>SUM($U$48:$AA$48)</f>
        <v>3.6581073074484158</v>
      </c>
      <c r="AC48" s="12">
        <f>'TUSD BE'!$AC$48*'TUSD BE'!$AC$58</f>
        <v>-331.60208674643894</v>
      </c>
      <c r="AD48" s="12">
        <f>SUM($AC$48:$AC$48)</f>
        <v>-331.60208674643894</v>
      </c>
      <c r="AE48" s="12">
        <f ca="1">$AO$48*$AO$55</f>
        <v>0</v>
      </c>
      <c r="AF48" s="12">
        <f ca="1">$AP$48*$AP$55</f>
        <v>0</v>
      </c>
      <c r="AG48" s="12">
        <f ca="1">SUM($AE$48:$AF$48)</f>
        <v>0</v>
      </c>
      <c r="AH48" s="12">
        <f>'TUSD BE'!$AH$48*'TUSD BE'!$AH$58</f>
        <v>1.9929542106361611</v>
      </c>
      <c r="AI48" s="12">
        <f>'TUSD BE'!$AI$48*'TUSD BE'!$AI$58</f>
        <v>0</v>
      </c>
      <c r="AJ48" s="12">
        <f ca="1">'TUSD BE'!$AJ$48*'TUSD BE'!$AJ$58</f>
        <v>0</v>
      </c>
      <c r="AK48" s="12">
        <f ca="1">'TUSD BE'!$AK$48*'TUSD BE'!$AK$58</f>
        <v>0</v>
      </c>
      <c r="AL48" s="12">
        <f ca="1">SUM($AH$48:$AK$48)</f>
        <v>1.9929542106361611</v>
      </c>
      <c r="AM48" s="12">
        <f ca="1">SUMIF($L$4:$AL$4,"SUBTOTAL",$L$48:$AL$48)</f>
        <v>-330.79217712060591</v>
      </c>
      <c r="AO48" s="20">
        <f ca="1">+'TUSD BE'!$T$48+'TUSD BE'!$AB$48+'TUSD BE'!$AD$48+'TUSD BE'!$AL$48</f>
        <v>818.64916748970745</v>
      </c>
      <c r="AP48" s="20">
        <f ca="1">+'TUSD BE'!$T$48+'TUSD BE'!$AB$48+'TUSD BE'!$AD$48+'TUSD BE'!$AL$48</f>
        <v>818.64916748970745</v>
      </c>
    </row>
    <row r="49" spans="1:42" ht="11.25" customHeight="1" x14ac:dyDescent="0.25">
      <c r="A49" s="102"/>
      <c r="B49" s="18" t="s">
        <v>87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77</v>
      </c>
      <c r="H49" s="17" t="s">
        <v>71</v>
      </c>
      <c r="I49" s="17">
        <f>'MERCADO TUSD'!$U$46</f>
        <v>0</v>
      </c>
      <c r="J49" s="15"/>
      <c r="L49" s="12">
        <f>'TUSD BE'!$L$49*'TUSD BE'!$L$58</f>
        <v>0</v>
      </c>
      <c r="M49" s="12">
        <f>'TUSD BE'!$M$49*'TUSD BE'!$M$58</f>
        <v>-0.16647987046300847</v>
      </c>
      <c r="N49" s="12">
        <f ca="1">'TUSD BE'!$N$49*'TUSD BE'!$N$58</f>
        <v>0</v>
      </c>
      <c r="O49" s="12">
        <f>'TUSD BE'!$O$49*'TUSD BE'!$O$58</f>
        <v>0</v>
      </c>
      <c r="P49" s="12">
        <f>'TUSD BE'!$P$49*'TUSD BE'!$P$58</f>
        <v>0</v>
      </c>
      <c r="Q49" s="12">
        <f>'TUSD BE'!$Q$49*'TUSD BE'!$Q$58</f>
        <v>-4.0501667433336852</v>
      </c>
      <c r="R49" s="12">
        <f>'TUSD BE'!$R$49*'TUSD BE'!$R$58</f>
        <v>-0.62450527845486925</v>
      </c>
      <c r="S49" s="12">
        <f>'TUSD BE'!$R$49*'TUSD BE'!$S$58</f>
        <v>0</v>
      </c>
      <c r="T49" s="12">
        <f ca="1">SUM($L$49:$S$49)</f>
        <v>-4.8411518922515624</v>
      </c>
      <c r="U49" s="12">
        <f>'TUSD BE'!$U$49*'TUSD BE'!$U$58</f>
        <v>0</v>
      </c>
      <c r="V49" s="12">
        <f>'TUSD BE'!$V$49*'TUSD BE'!$V$58</f>
        <v>0</v>
      </c>
      <c r="W49" s="12">
        <f>'TUSD BE'!$W$49*'TUSD BE'!$W$58</f>
        <v>0</v>
      </c>
      <c r="X49" s="12">
        <f>'TUSD BE'!$X$49*'TUSD BE'!$X$58</f>
        <v>0</v>
      </c>
      <c r="Y49" s="12">
        <f>'TUSD BE'!$Y$49*'TUSD BE'!$Y$58</f>
        <v>3.6581073074484158</v>
      </c>
      <c r="Z49" s="12">
        <f>'TUSD BE'!$Z$49*'TUSD BE'!$Z$58</f>
        <v>0</v>
      </c>
      <c r="AA49" s="12">
        <f>'TUSD BE'!$AA$49*'TUSD BE'!$AA$58</f>
        <v>0</v>
      </c>
      <c r="AB49" s="12">
        <f>SUM($U$49:$AA$49)</f>
        <v>3.6581073074484158</v>
      </c>
      <c r="AC49" s="12">
        <f>'TUSD BE'!$AC$49*'TUSD BE'!$AC$58</f>
        <v>-331.60208674643894</v>
      </c>
      <c r="AD49" s="12">
        <f>SUM($AC$49:$AC$49)</f>
        <v>-331.60208674643894</v>
      </c>
      <c r="AE49" s="12">
        <f ca="1">$AO$49*$AO$55</f>
        <v>0</v>
      </c>
      <c r="AF49" s="12">
        <f ca="1">$AP$49*$AP$55</f>
        <v>0</v>
      </c>
      <c r="AG49" s="12">
        <f ca="1">SUM($AE$49:$AF$49)</f>
        <v>0</v>
      </c>
      <c r="AH49" s="12">
        <f>'TUSD BE'!$AH$49*'TUSD BE'!$AH$58</f>
        <v>1.9929542106361611</v>
      </c>
      <c r="AI49" s="12">
        <f>'TUSD BE'!$AI$49*'TUSD BE'!$AI$58</f>
        <v>0</v>
      </c>
      <c r="AJ49" s="12">
        <f ca="1">'TUSD BE'!$AJ$49*'TUSD BE'!$AJ$58</f>
        <v>0</v>
      </c>
      <c r="AK49" s="12">
        <f ca="1">'TUSD BE'!$AK$49*'TUSD BE'!$AK$58</f>
        <v>0</v>
      </c>
      <c r="AL49" s="12">
        <f ca="1">SUM($AH$49:$AK$49)</f>
        <v>1.9929542106361611</v>
      </c>
      <c r="AM49" s="12">
        <f ca="1">SUMIF($L$4:$AL$4,"SUBTOTAL",$L$49:$AL$49)</f>
        <v>-330.79217712060591</v>
      </c>
      <c r="AO49" s="20">
        <f ca="1">+'TUSD BE'!$T$49+'TUSD BE'!$AB$49+'TUSD BE'!$AD$49+'TUSD BE'!$AL$49</f>
        <v>818.64916748970745</v>
      </c>
      <c r="AP49" s="20">
        <f ca="1">+'TUSD BE'!$T$49+'TUSD BE'!$AB$49+'TUSD BE'!$AD$49+'TUSD BE'!$AL$49</f>
        <v>818.64916748970745</v>
      </c>
    </row>
    <row r="50" spans="1:42" ht="11.25" customHeight="1" x14ac:dyDescent="0.25">
      <c r="A50" s="102" t="s">
        <v>43</v>
      </c>
      <c r="B50" s="102" t="s">
        <v>23</v>
      </c>
      <c r="C50" s="102" t="s">
        <v>44</v>
      </c>
      <c r="D50" s="18" t="s">
        <v>45</v>
      </c>
      <c r="E50" s="18" t="s">
        <v>25</v>
      </c>
      <c r="F50" s="18" t="s">
        <v>25</v>
      </c>
      <c r="G50" s="17" t="s">
        <v>77</v>
      </c>
      <c r="H50" s="17" t="s">
        <v>71</v>
      </c>
      <c r="I50" s="17">
        <f>'MERCADO TUSD'!$U$47</f>
        <v>4840.4129999999996</v>
      </c>
      <c r="J50" s="15"/>
      <c r="L50" s="12">
        <f>'TUSD BE'!$L$50*'TUSD BE'!$L$58</f>
        <v>0</v>
      </c>
      <c r="M50" s="12">
        <f>'TUSD BE'!$M$50*'TUSD BE'!$M$58</f>
        <v>-9.1563928754654661E-2</v>
      </c>
      <c r="N50" s="12">
        <f ca="1">'TUSD BE'!$N$50*'TUSD BE'!$N$58</f>
        <v>0</v>
      </c>
      <c r="O50" s="12">
        <f>'TUSD BE'!$O$50*'TUSD BE'!$O$58</f>
        <v>0</v>
      </c>
      <c r="P50" s="12">
        <f>'TUSD BE'!$P$50*'TUSD BE'!$P$58</f>
        <v>0</v>
      </c>
      <c r="Q50" s="12">
        <f>'TUSD BE'!$Q$50*'TUSD BE'!$Q$58</f>
        <v>-2.2275917088335273</v>
      </c>
      <c r="R50" s="12">
        <f>'TUSD BE'!$R$50*'TUSD BE'!$R$58</f>
        <v>-0.34347790315017812</v>
      </c>
      <c r="S50" s="12">
        <f>'TUSD BE'!$R$50*'TUSD BE'!$S$58</f>
        <v>0</v>
      </c>
      <c r="T50" s="12">
        <f ca="1">SUM($L$50:$S$50)</f>
        <v>-2.6626335407383603</v>
      </c>
      <c r="U50" s="12">
        <f>'TUSD BE'!$U$50*'TUSD BE'!$U$58</f>
        <v>0</v>
      </c>
      <c r="V50" s="12">
        <f>'TUSD BE'!$V$50*'TUSD BE'!$V$58</f>
        <v>0</v>
      </c>
      <c r="W50" s="12">
        <f>'TUSD BE'!$W$50*'TUSD BE'!$W$58</f>
        <v>0</v>
      </c>
      <c r="X50" s="12">
        <f>'TUSD BE'!$X$50*'TUSD BE'!$X$58</f>
        <v>0</v>
      </c>
      <c r="Y50" s="12">
        <f>'TUSD BE'!$Y$50*'TUSD BE'!$Y$58</f>
        <v>2.0119590190966288</v>
      </c>
      <c r="Z50" s="12">
        <f>'TUSD BE'!$Z$50*'TUSD BE'!$Z$58</f>
        <v>0</v>
      </c>
      <c r="AA50" s="12">
        <f>'TUSD BE'!$AA$50*'TUSD BE'!$AA$58</f>
        <v>0</v>
      </c>
      <c r="AB50" s="12">
        <f>SUM($U$50:$AA$50)</f>
        <v>2.0119590190966288</v>
      </c>
      <c r="AC50" s="12">
        <f>'TUSD BE'!$AC$50*'TUSD BE'!$AC$58</f>
        <v>-182.38114771054143</v>
      </c>
      <c r="AD50" s="12">
        <f>SUM($AC$50:$AC$50)</f>
        <v>-182.38114771054143</v>
      </c>
      <c r="AE50" s="12">
        <f ca="1">$AO$50*$AO$55</f>
        <v>0</v>
      </c>
      <c r="AF50" s="12">
        <f ca="1">$AP$50*$AP$55</f>
        <v>0</v>
      </c>
      <c r="AG50" s="12">
        <f ca="1">SUM($AE$50:$AF$50)</f>
        <v>0</v>
      </c>
      <c r="AH50" s="12">
        <f>'TUSD BE'!$AH$50*'TUSD BE'!$AH$58</f>
        <v>1.0961248158498886</v>
      </c>
      <c r="AI50" s="12">
        <f>'TUSD BE'!$AI$50*'TUSD BE'!$AI$58</f>
        <v>0</v>
      </c>
      <c r="AJ50" s="12">
        <f ca="1">'TUSD BE'!$AJ$50*'TUSD BE'!$AJ$58</f>
        <v>0</v>
      </c>
      <c r="AK50" s="12">
        <f ca="1">'TUSD BE'!$AK$50*'TUSD BE'!$AK$58</f>
        <v>0</v>
      </c>
      <c r="AL50" s="12">
        <f ca="1">SUM($AH$50:$AK$50)</f>
        <v>1.0961248158498886</v>
      </c>
      <c r="AM50" s="12">
        <f ca="1">SUMIF($L$4:$AL$4,"SUBTOTAL",$L$50:$AL$50)</f>
        <v>-181.93569741633326</v>
      </c>
      <c r="AO50" s="20">
        <f ca="1">+'TUSD BE'!$T$50+'TUSD BE'!$AB$50+'TUSD BE'!$AD$50+'TUSD BE'!$AL$50</f>
        <v>450.25704211933908</v>
      </c>
      <c r="AP50" s="20">
        <f ca="1">+'TUSD BE'!$T$50+'TUSD BE'!$AB$50+'TUSD BE'!$AD$50+'TUSD BE'!$AL$50</f>
        <v>450.25704211933908</v>
      </c>
    </row>
    <row r="51" spans="1:42" ht="11.25" customHeight="1" x14ac:dyDescent="0.25">
      <c r="A51" s="102"/>
      <c r="B51" s="102"/>
      <c r="C51" s="102"/>
      <c r="D51" s="17" t="s">
        <v>90</v>
      </c>
      <c r="E51" s="17" t="s">
        <v>25</v>
      </c>
      <c r="F51" s="17" t="s">
        <v>25</v>
      </c>
      <c r="G51" s="17" t="s">
        <v>77</v>
      </c>
      <c r="H51" s="17" t="s">
        <v>71</v>
      </c>
      <c r="I51" s="17">
        <f>'MERCADO TUSD'!$U$48</f>
        <v>0</v>
      </c>
      <c r="J51" s="15"/>
      <c r="L51" s="12">
        <f>'TUSD BE'!$L$51*'TUSD BE'!$L$58</f>
        <v>0</v>
      </c>
      <c r="M51" s="12">
        <f>'TUSD BE'!$M$51*'TUSD BE'!$M$58</f>
        <v>-9.9887922277805075E-2</v>
      </c>
      <c r="N51" s="12">
        <f ca="1">'TUSD BE'!$N$51*'TUSD BE'!$N$58</f>
        <v>0</v>
      </c>
      <c r="O51" s="12">
        <f>'TUSD BE'!$O$51*'TUSD BE'!$O$58</f>
        <v>0</v>
      </c>
      <c r="P51" s="12">
        <f>'TUSD BE'!$P$51*'TUSD BE'!$P$58</f>
        <v>0</v>
      </c>
      <c r="Q51" s="12">
        <f>'TUSD BE'!$Q$51*'TUSD BE'!$Q$58</f>
        <v>-2.4301000460002111</v>
      </c>
      <c r="R51" s="12">
        <f>'TUSD BE'!$R$51*'TUSD BE'!$R$58</f>
        <v>-0.37470316707292151</v>
      </c>
      <c r="S51" s="12">
        <f>'TUSD BE'!$R$51*'TUSD BE'!$S$58</f>
        <v>0</v>
      </c>
      <c r="T51" s="12">
        <f ca="1">SUM($L$51:$S$51)</f>
        <v>-2.9046911353509377</v>
      </c>
      <c r="U51" s="12">
        <f>'TUSD BE'!$U$51*'TUSD BE'!$U$58</f>
        <v>0</v>
      </c>
      <c r="V51" s="12">
        <f>'TUSD BE'!$V$51*'TUSD BE'!$V$58</f>
        <v>0</v>
      </c>
      <c r="W51" s="12">
        <f>'TUSD BE'!$W$51*'TUSD BE'!$W$58</f>
        <v>0</v>
      </c>
      <c r="X51" s="12">
        <f>'TUSD BE'!$X$51*'TUSD BE'!$X$58</f>
        <v>0</v>
      </c>
      <c r="Y51" s="12">
        <f>'TUSD BE'!$Y$51*'TUSD BE'!$Y$58</f>
        <v>2.1948643844690499</v>
      </c>
      <c r="Z51" s="12">
        <f>'TUSD BE'!$Z$51*'TUSD BE'!$Z$58</f>
        <v>0</v>
      </c>
      <c r="AA51" s="12">
        <f>'TUSD BE'!$AA$51*'TUSD BE'!$AA$58</f>
        <v>0</v>
      </c>
      <c r="AB51" s="12">
        <f>SUM($U$51:$AA$51)</f>
        <v>2.1948643844690499</v>
      </c>
      <c r="AC51" s="12">
        <f>'TUSD BE'!$AC$51*'TUSD BE'!$AC$58</f>
        <v>-198.96125204786338</v>
      </c>
      <c r="AD51" s="12">
        <f>SUM($AC$51:$AC$51)</f>
        <v>-198.96125204786338</v>
      </c>
      <c r="AE51" s="12">
        <f ca="1">$AO$51*$AO$55</f>
        <v>0</v>
      </c>
      <c r="AF51" s="12">
        <f ca="1">$AP$51*$AP$55</f>
        <v>0</v>
      </c>
      <c r="AG51" s="12">
        <f ca="1">SUM($AE$51:$AF$51)</f>
        <v>0</v>
      </c>
      <c r="AH51" s="12">
        <f>'TUSD BE'!$AH$51*'TUSD BE'!$AH$58</f>
        <v>1.1957725263816965</v>
      </c>
      <c r="AI51" s="12">
        <f>'TUSD BE'!$AI$51*'TUSD BE'!$AI$58</f>
        <v>0</v>
      </c>
      <c r="AJ51" s="12">
        <f ca="1">'TUSD BE'!$AJ$51*'TUSD BE'!$AJ$58</f>
        <v>0</v>
      </c>
      <c r="AK51" s="12">
        <f ca="1">'TUSD BE'!$AK$51*'TUSD BE'!$AK$58</f>
        <v>0</v>
      </c>
      <c r="AL51" s="12">
        <f ca="1">SUM($AH$51:$AK$51)</f>
        <v>1.1957725263816965</v>
      </c>
      <c r="AM51" s="12">
        <f ca="1">SUMIF($L$4:$AL$4,"SUBTOTAL",$L$51:$AL$51)</f>
        <v>-198.47530627236358</v>
      </c>
      <c r="AO51" s="20">
        <f ca="1">+'TUSD BE'!$T$51+'TUSD BE'!$AB$51+'TUSD BE'!$AD$51+'TUSD BE'!$AL$51</f>
        <v>491.18950049382443</v>
      </c>
      <c r="AP51" s="20">
        <f ca="1">+'TUSD BE'!$T$51+'TUSD BE'!$AB$51+'TUSD BE'!$AD$51+'TUSD BE'!$AL$51</f>
        <v>491.18950049382443</v>
      </c>
    </row>
    <row r="53" spans="1:42" ht="11.25" customHeight="1" x14ac:dyDescent="0.25">
      <c r="K53" s="16" t="s">
        <v>469</v>
      </c>
      <c r="L53" s="12">
        <f>SUMPRODUCT($I$5:$I51,$L$5:$L51)</f>
        <v>0</v>
      </c>
      <c r="M53" s="12">
        <f>SUMPRODUCT($I$5:$I51,$M$5:$M51)</f>
        <v>-14709.601146487978</v>
      </c>
      <c r="N53" s="12">
        <f ca="1">SUMPRODUCT($I$5:$I51,$N$5:$N51)</f>
        <v>0</v>
      </c>
      <c r="O53" s="12">
        <f>SUMPRODUCT($I$5:$I51,$O$5:$O51)</f>
        <v>0</v>
      </c>
      <c r="P53" s="12">
        <f>SUMPRODUCT($I$5:$I51,$P$5:$P51)</f>
        <v>0</v>
      </c>
      <c r="Q53" s="12">
        <f>SUMPRODUCT($I$5:$I51,$Q$5:$Q51)</f>
        <v>-352322.36415854463</v>
      </c>
      <c r="R53" s="12">
        <f>SUMPRODUCT($I$5:$I51,$R$5:$R51)</f>
        <v>-55891.756176992785</v>
      </c>
      <c r="S53" s="12">
        <f>SUMPRODUCT($I$5:$I51,$S$5:$S51)</f>
        <v>0</v>
      </c>
      <c r="T53" s="12">
        <f ca="1">SUMPRODUCT($I$5:$I51,$T$5:$T51)</f>
        <v>-422923.72148202528</v>
      </c>
      <c r="U53" s="12">
        <f>SUMPRODUCT($I$5:$I51,$U$5:$U51)</f>
        <v>0</v>
      </c>
      <c r="V53" s="12">
        <f>SUMPRODUCT($I$5:$I51,$V$5:$V51)</f>
        <v>0</v>
      </c>
      <c r="W53" s="12">
        <f>SUMPRODUCT($I$5:$I51,$W$5:$W51)</f>
        <v>0</v>
      </c>
      <c r="X53" s="12">
        <f>SUMPRODUCT($I$5:$I51,$X$5:$X51)</f>
        <v>0</v>
      </c>
      <c r="Y53" s="12">
        <f>SUMPRODUCT($I$5:$I51,$Y$5:$Y51)</f>
        <v>379960.11212711205</v>
      </c>
      <c r="Z53" s="12">
        <f>SUMPRODUCT($I$5:$I51,$Z$5:$Z51)</f>
        <v>0</v>
      </c>
      <c r="AA53" s="12">
        <f>SUMPRODUCT($I$5:$I51,$AA$5:$AA51)</f>
        <v>0</v>
      </c>
      <c r="AB53" s="12">
        <f>SUMPRODUCT($I$5:$I51,$AB$5:$AB51)</f>
        <v>379960.11212711205</v>
      </c>
      <c r="AC53" s="12">
        <f>SUMPRODUCT($I$5:$I51,$AC$5:$AC51)</f>
        <v>-29299244.5381983</v>
      </c>
      <c r="AD53" s="12">
        <f>SUMPRODUCT($I$5:$I51,$AD$5:$AD51)</f>
        <v>-29299244.5381983</v>
      </c>
      <c r="AE53" s="12">
        <f ca="1">SUMPRODUCT($I$5:$I51,$AE$5:$AE51)</f>
        <v>0</v>
      </c>
      <c r="AF53" s="12">
        <f ca="1">SUMPRODUCT($I$5:$I51,$AF$5:$AF51)</f>
        <v>0</v>
      </c>
      <c r="AG53" s="12">
        <f ca="1">SUMPRODUCT($I$5:$I51,$AG$5:$AG51)</f>
        <v>0</v>
      </c>
      <c r="AH53" s="12">
        <f>SUMPRODUCT($I$5:$I51,$AH$5:$AH51)</f>
        <v>162319.00512850608</v>
      </c>
      <c r="AI53" s="12">
        <f>SUMPRODUCT($I$5:$I51,$AI$5:$AI51)</f>
        <v>0</v>
      </c>
      <c r="AJ53" s="12">
        <f ca="1">SUMPRODUCT($I$5:$I51,$AJ$5:$AJ51)</f>
        <v>0</v>
      </c>
      <c r="AK53" s="12">
        <f ca="1">SUMPRODUCT($I$5:$I51,$AK$5:$AK51)</f>
        <v>0</v>
      </c>
      <c r="AL53" s="12">
        <f ca="1">SUMPRODUCT($I$5:$I51,$AL$5:$AL51)</f>
        <v>162319.00512850608</v>
      </c>
      <c r="AM53" s="12">
        <f ca="1">SUMPRODUCT($I$5:$I51,$AM$5:$AM51)</f>
        <v>-29179889.142424706</v>
      </c>
      <c r="AO53" s="17">
        <f ca="1">SUMPRODUCT($I$5:$I51,$AO$5:$AO51)</f>
        <v>74224429.213411957</v>
      </c>
      <c r="AP53" s="17">
        <f ca="1">SUMPRODUCT($I$5:$I51,$AP$5:$AP51)</f>
        <v>74224429.213411957</v>
      </c>
    </row>
    <row r="54" spans="1:42" ht="11.25" customHeight="1" x14ac:dyDescent="0.25">
      <c r="K54" s="16" t="s">
        <v>402</v>
      </c>
      <c r="L54" s="12">
        <f>'TR TUSD'!$L$56</f>
        <v>0</v>
      </c>
      <c r="M54" s="12">
        <f>'TR TUSD'!$M$56</f>
        <v>224382.49700997537</v>
      </c>
      <c r="N54" s="12">
        <f>'TR TUSD'!$N$56</f>
        <v>0</v>
      </c>
      <c r="O54" s="12">
        <f>'TR TUSD'!$O$56</f>
        <v>0</v>
      </c>
      <c r="P54" s="12">
        <f>'TR TUSD'!$P$56</f>
        <v>0</v>
      </c>
      <c r="Q54" s="12">
        <f>'TR TUSD'!$Q$56</f>
        <v>7967235.2594800005</v>
      </c>
      <c r="R54" s="12">
        <f>'TR TUSD'!$R$56</f>
        <v>1295379.5909400003</v>
      </c>
      <c r="S54" s="12">
        <f>'TR TUSD'!$S$56</f>
        <v>0</v>
      </c>
      <c r="T54" s="12">
        <f>'TR TUSD'!$T$56</f>
        <v>9486997.3474299759</v>
      </c>
      <c r="U54" s="12">
        <f>'TR TUSD'!$U$56</f>
        <v>0</v>
      </c>
      <c r="V54" s="12">
        <f>'TR TUSD'!$V$56</f>
        <v>0</v>
      </c>
      <c r="W54" s="12">
        <f>'TR TUSD'!$W$56</f>
        <v>0</v>
      </c>
      <c r="X54" s="12">
        <f>'TR TUSD'!$X$56</f>
        <v>0</v>
      </c>
      <c r="Y54" s="12">
        <f>'TR TUSD'!$Y$56</f>
        <v>14682368.972575199</v>
      </c>
      <c r="Z54" s="12">
        <f>'TR TUSD'!$Z$56</f>
        <v>0</v>
      </c>
      <c r="AA54" s="12">
        <f>'TR TUSD'!$AA$56</f>
        <v>0</v>
      </c>
      <c r="AB54" s="12">
        <f>'TR TUSD'!$AB$56</f>
        <v>14682368.972575199</v>
      </c>
      <c r="AC54" s="12">
        <f>'TR TUSD'!$AC$56</f>
        <v>47785171.07</v>
      </c>
      <c r="AD54" s="12">
        <f>'TR TUSD'!$AD$56</f>
        <v>47785171.07</v>
      </c>
      <c r="AE54" s="12">
        <f>'TR TUSD'!$AE$56</f>
        <v>0</v>
      </c>
      <c r="AF54" s="12">
        <f>'TR TUSD'!$AF$56</f>
        <v>0</v>
      </c>
      <c r="AG54" s="12">
        <f>'TR TUSD'!$AG$56</f>
        <v>0</v>
      </c>
      <c r="AH54" s="12">
        <f>'TR TUSD'!$AH$56</f>
        <v>2269891.8234067685</v>
      </c>
      <c r="AI54" s="12">
        <f>'TR TUSD'!$AI$56</f>
        <v>0</v>
      </c>
      <c r="AJ54" s="12">
        <f>'TR TUSD'!$AJ$56</f>
        <v>0</v>
      </c>
      <c r="AK54" s="12">
        <f>'TR TUSD'!$AK$56</f>
        <v>0</v>
      </c>
      <c r="AL54" s="12">
        <f>'TR TUSD'!$AL$56</f>
        <v>2269891.8234067685</v>
      </c>
      <c r="AM54" s="12">
        <f>'TUSD BE'!$AM$54</f>
        <v>74224429.213411942</v>
      </c>
      <c r="AO54" s="17">
        <f>$AE$55</f>
        <v>0</v>
      </c>
      <c r="AP54" s="17">
        <f>$AF$55</f>
        <v>0</v>
      </c>
    </row>
    <row r="55" spans="1:42" ht="11.25" customHeight="1" x14ac:dyDescent="0.25">
      <c r="K55" s="16" t="s">
        <v>403</v>
      </c>
      <c r="L55" s="12">
        <f>CUSTOS!$E$2</f>
        <v>0</v>
      </c>
      <c r="M55" s="12">
        <f>CUSTOS!$E$3</f>
        <v>-14709.601146487978</v>
      </c>
      <c r="N55" s="12">
        <f>CUSTOS!$E$4</f>
        <v>0</v>
      </c>
      <c r="O55" s="12">
        <f>CUSTOS!$E$5</f>
        <v>0</v>
      </c>
      <c r="P55" s="12">
        <f>CUSTOS!$E$6</f>
        <v>0</v>
      </c>
      <c r="Q55" s="12">
        <f>CUSTOS!$E$7</f>
        <v>-352322.36415854463</v>
      </c>
      <c r="R55" s="12">
        <f>CUSTOS!$E$8</f>
        <v>-55891.756176992785</v>
      </c>
      <c r="S55" s="12">
        <f>CUSTOS!$E$9</f>
        <v>0</v>
      </c>
      <c r="T55" s="12">
        <f>CUSTOS!$E$10</f>
        <v>-422923.7214820254</v>
      </c>
      <c r="U55" s="12">
        <f>CUSTOS!$E$11</f>
        <v>0</v>
      </c>
      <c r="V55" s="12">
        <f>CUSTOS!$E$12</f>
        <v>0</v>
      </c>
      <c r="W55" s="12">
        <f>CUSTOS!$E$13</f>
        <v>0</v>
      </c>
      <c r="X55" s="12">
        <f>CUSTOS!$E$14</f>
        <v>0</v>
      </c>
      <c r="Y55" s="12">
        <f>CUSTOS!$E$15</f>
        <v>379960.11212711188</v>
      </c>
      <c r="Z55" s="12">
        <f>CUSTOS!$E$16</f>
        <v>0</v>
      </c>
      <c r="AA55" s="12">
        <f>CUSTOS!$E$17</f>
        <v>0</v>
      </c>
      <c r="AB55" s="12">
        <f>CUSTOS!$E$18</f>
        <v>379960.11212711188</v>
      </c>
      <c r="AC55" s="12">
        <f>CUSTOS!$E$19</f>
        <v>-29299244.538198307</v>
      </c>
      <c r="AD55" s="12">
        <f>CUSTOS!$E$20</f>
        <v>-29299244.538198307</v>
      </c>
      <c r="AE55" s="12">
        <f>CUSTOS!$E$21</f>
        <v>0</v>
      </c>
      <c r="AF55" s="12">
        <f>CUSTOS!$E$22</f>
        <v>0</v>
      </c>
      <c r="AG55" s="12">
        <f>CUSTOS!$E$23</f>
        <v>0</v>
      </c>
      <c r="AH55" s="12">
        <f>CUSTOS!$E$24</f>
        <v>162319.00512850611</v>
      </c>
      <c r="AI55" s="12">
        <f>CUSTOS!$E$25</f>
        <v>0</v>
      </c>
      <c r="AJ55" s="12">
        <f>CUSTOS!$E$26</f>
        <v>0</v>
      </c>
      <c r="AK55" s="12">
        <f>CUSTOS!$E$27</f>
        <v>0</v>
      </c>
      <c r="AL55" s="12">
        <f>CUSTOS!$E$28</f>
        <v>162319.00512850611</v>
      </c>
      <c r="AM55" s="12">
        <f>CUSTOS!$E$29</f>
        <v>-29179889.142424714</v>
      </c>
      <c r="AO55" s="17">
        <f ca="1">IF(AO53&lt;&gt;0,AO54/AO53,0)</f>
        <v>0</v>
      </c>
      <c r="AP55" s="17">
        <f ca="1">IF(AP53&lt;&gt;0,AP54/AP53,0)</f>
        <v>0</v>
      </c>
    </row>
    <row r="56" spans="1:42" ht="11.25" customHeight="1" x14ac:dyDescent="0.25">
      <c r="K56" s="16" t="s">
        <v>404</v>
      </c>
      <c r="L56" s="12">
        <f>CUSTOS!$F$2</f>
        <v>0</v>
      </c>
      <c r="M56" s="12">
        <f>CUSTOS!$F$3</f>
        <v>0</v>
      </c>
      <c r="N56" s="12">
        <f>CUSTOS!$F$4</f>
        <v>0</v>
      </c>
      <c r="O56" s="12">
        <f>CUSTOS!$F$5</f>
        <v>0</v>
      </c>
      <c r="P56" s="12">
        <f>CUSTOS!$F$6</f>
        <v>0</v>
      </c>
      <c r="Q56" s="12">
        <f>CUSTOS!$F$7</f>
        <v>0</v>
      </c>
      <c r="R56" s="12">
        <f>CUSTOS!$F$8</f>
        <v>0</v>
      </c>
      <c r="S56" s="12">
        <f>CUSTOS!$F$9</f>
        <v>0</v>
      </c>
      <c r="T56" s="12">
        <f>CUSTOS!$F$10</f>
        <v>0</v>
      </c>
      <c r="U56" s="12">
        <f>CUSTOS!$F$11</f>
        <v>0</v>
      </c>
      <c r="V56" s="12">
        <f>CUSTOS!$F$12</f>
        <v>0</v>
      </c>
      <c r="W56" s="12">
        <f>CUSTOS!$F$13</f>
        <v>0</v>
      </c>
      <c r="X56" s="12">
        <f>CUSTOS!$F$14</f>
        <v>0</v>
      </c>
      <c r="Y56" s="12">
        <f>CUSTOS!$F$15</f>
        <v>0</v>
      </c>
      <c r="Z56" s="12">
        <f>CUSTOS!$F$16</f>
        <v>0</v>
      </c>
      <c r="AA56" s="12">
        <f>CUSTOS!$F$17</f>
        <v>0</v>
      </c>
      <c r="AB56" s="12">
        <f>CUSTOS!$F$18</f>
        <v>0</v>
      </c>
      <c r="AC56" s="12">
        <f>CUSTOS!$F$19</f>
        <v>0</v>
      </c>
      <c r="AD56" s="12">
        <f>CUSTOS!$F$20</f>
        <v>0</v>
      </c>
      <c r="AE56" s="12">
        <f>CUSTOS!$F$21</f>
        <v>0</v>
      </c>
      <c r="AF56" s="12">
        <f>CUSTOS!$F$22</f>
        <v>0</v>
      </c>
      <c r="AG56" s="12">
        <f>CUSTOS!$F$23</f>
        <v>0</v>
      </c>
      <c r="AH56" s="12">
        <f>CUSTOS!$F$24</f>
        <v>0</v>
      </c>
      <c r="AI56" s="12">
        <f>CUSTOS!$F$25</f>
        <v>0</v>
      </c>
      <c r="AJ56" s="12">
        <f>CUSTOS!$F$26</f>
        <v>0</v>
      </c>
      <c r="AK56" s="12">
        <f>CUSTOS!$F$27</f>
        <v>0</v>
      </c>
      <c r="AL56" s="12">
        <f>CUSTOS!$F$28</f>
        <v>0</v>
      </c>
      <c r="AM56" s="12">
        <f>CUSTOS!$F$29</f>
        <v>0</v>
      </c>
    </row>
    <row r="57" spans="1:42" ht="11.25" customHeight="1" x14ac:dyDescent="0.25">
      <c r="K57" s="16" t="s">
        <v>466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f>SUM($L$57:$S$57)</f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f>SUM($U$57:$AA$57)</f>
        <v>0</v>
      </c>
      <c r="AC57" s="12">
        <v>0</v>
      </c>
      <c r="AD57" s="12">
        <f>SUM($AC$57:$AC$57)</f>
        <v>0</v>
      </c>
      <c r="AE57" s="12">
        <v>0</v>
      </c>
      <c r="AF57" s="12">
        <v>0</v>
      </c>
      <c r="AG57" s="12">
        <f>SUM($AE$57:$AF$57)</f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f>SUM($AH$57:$AK$57)</f>
        <v>0</v>
      </c>
      <c r="AM57" s="12"/>
    </row>
    <row r="58" spans="1:42" ht="11.25" customHeight="1" x14ac:dyDescent="0.25">
      <c r="K58" s="16" t="s">
        <v>478</v>
      </c>
      <c r="L58" s="12">
        <f t="shared" ref="L58:R58" si="0">IF((L54-(0))&lt;&gt;0,(L56)/(L54-(0)),0)</f>
        <v>0</v>
      </c>
      <c r="M58" s="12">
        <f t="shared" si="0"/>
        <v>0</v>
      </c>
      <c r="N58" s="12">
        <f t="shared" si="0"/>
        <v>0</v>
      </c>
      <c r="O58" s="12">
        <f t="shared" si="0"/>
        <v>0</v>
      </c>
      <c r="P58" s="12">
        <f t="shared" si="0"/>
        <v>0</v>
      </c>
      <c r="Q58" s="12">
        <f t="shared" si="0"/>
        <v>0</v>
      </c>
      <c r="R58" s="12">
        <f t="shared" si="0"/>
        <v>0</v>
      </c>
      <c r="S58" s="12">
        <f>IF((R53-(0)&lt;&gt;0),(S55)/(R53-(0)),0)</f>
        <v>0</v>
      </c>
      <c r="T58" s="12"/>
      <c r="U58" s="12">
        <f t="shared" ref="U58:AA58" si="1">IF((U54-(0))&lt;&gt;0,(U56)/(U54-(0)),0)</f>
        <v>0</v>
      </c>
      <c r="V58" s="12">
        <f t="shared" si="1"/>
        <v>0</v>
      </c>
      <c r="W58" s="12">
        <f t="shared" si="1"/>
        <v>0</v>
      </c>
      <c r="X58" s="12">
        <f t="shared" si="1"/>
        <v>0</v>
      </c>
      <c r="Y58" s="12">
        <f t="shared" si="1"/>
        <v>0</v>
      </c>
      <c r="Z58" s="12">
        <f t="shared" si="1"/>
        <v>0</v>
      </c>
      <c r="AA58" s="12">
        <f t="shared" si="1"/>
        <v>0</v>
      </c>
      <c r="AB58" s="12"/>
      <c r="AC58" s="12">
        <f>IF((AC54-(0))&lt;&gt;0,(AC56)/(AC54-(0)),0)</f>
        <v>0</v>
      </c>
      <c r="AD58" s="12"/>
      <c r="AE58" s="12">
        <f ca="1">IF(($AM53-(0))&lt;&gt;0,(AE55)/($AM53-(0)),0)</f>
        <v>0</v>
      </c>
      <c r="AF58" s="12">
        <f ca="1">IF(($AM53-(0))&lt;&gt;0,(AF55)/($AM53-(0)),0)</f>
        <v>0</v>
      </c>
      <c r="AG58" s="12"/>
      <c r="AH58" s="12">
        <f>IF((AH54-(0))&lt;&gt;0,(AH56)/(AH54-(0)),0)</f>
        <v>0</v>
      </c>
      <c r="AI58" s="12">
        <f>IF((AI54-(0))&lt;&gt;0,(AI56)/(AI54-(0)),0)</f>
        <v>0</v>
      </c>
      <c r="AJ58" s="12">
        <f>IF((AJ54-(0))&lt;&gt;0,(AJ56)/(AJ54-(0)),0)</f>
        <v>0</v>
      </c>
      <c r="AK58" s="12">
        <f>IF((AK54-(0))&lt;&gt;0,(AK56)/(AK54-(0)),0)</f>
        <v>0</v>
      </c>
      <c r="AL58" s="12"/>
      <c r="AM58" s="12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02" priority="55" operator="notEqual">
      <formula>$L$55</formula>
    </cfRule>
    <cfRule type="cellIs" dxfId="901" priority="56" operator="equal">
      <formula>$L$55</formula>
    </cfRule>
  </conditionalFormatting>
  <conditionalFormatting sqref="M53">
    <cfRule type="cellIs" dxfId="900" priority="53" operator="notEqual">
      <formula>$M$55</formula>
    </cfRule>
    <cfRule type="cellIs" dxfId="899" priority="54" operator="equal">
      <formula>$M$55</formula>
    </cfRule>
  </conditionalFormatting>
  <conditionalFormatting sqref="N53">
    <cfRule type="cellIs" dxfId="898" priority="51" operator="notEqual">
      <formula>$N$55</formula>
    </cfRule>
    <cfRule type="cellIs" dxfId="897" priority="52" operator="equal">
      <formula>$N$55</formula>
    </cfRule>
  </conditionalFormatting>
  <conditionalFormatting sqref="O53">
    <cfRule type="cellIs" dxfId="896" priority="49" operator="notEqual">
      <formula>$O$55</formula>
    </cfRule>
    <cfRule type="cellIs" dxfId="895" priority="50" operator="equal">
      <formula>$O$55</formula>
    </cfRule>
  </conditionalFormatting>
  <conditionalFormatting sqref="P53">
    <cfRule type="cellIs" dxfId="894" priority="47" operator="notEqual">
      <formula>$P$55</formula>
    </cfRule>
    <cfRule type="cellIs" dxfId="893" priority="48" operator="equal">
      <formula>$P$55</formula>
    </cfRule>
  </conditionalFormatting>
  <conditionalFormatting sqref="Q53">
    <cfRule type="cellIs" dxfId="892" priority="45" operator="notEqual">
      <formula>$Q$55</formula>
    </cfRule>
    <cfRule type="cellIs" dxfId="891" priority="46" operator="equal">
      <formula>$Q$55</formula>
    </cfRule>
  </conditionalFormatting>
  <conditionalFormatting sqref="R53">
    <cfRule type="cellIs" dxfId="890" priority="43" operator="notEqual">
      <formula>$R$55</formula>
    </cfRule>
    <cfRule type="cellIs" dxfId="889" priority="44" operator="equal">
      <formula>$R$55</formula>
    </cfRule>
  </conditionalFormatting>
  <conditionalFormatting sqref="S53">
    <cfRule type="cellIs" dxfId="888" priority="41" operator="notEqual">
      <formula>$S$55</formula>
    </cfRule>
    <cfRule type="cellIs" dxfId="887" priority="42" operator="equal">
      <formula>$S$55</formula>
    </cfRule>
  </conditionalFormatting>
  <conditionalFormatting sqref="T53">
    <cfRule type="cellIs" dxfId="886" priority="39" operator="notEqual">
      <formula>$T$55</formula>
    </cfRule>
    <cfRule type="cellIs" dxfId="885" priority="40" operator="equal">
      <formula>$T$55</formula>
    </cfRule>
  </conditionalFormatting>
  <conditionalFormatting sqref="U53">
    <cfRule type="cellIs" dxfId="884" priority="37" operator="notEqual">
      <formula>$U$55</formula>
    </cfRule>
    <cfRule type="cellIs" dxfId="883" priority="38" operator="equal">
      <formula>$U$55</formula>
    </cfRule>
  </conditionalFormatting>
  <conditionalFormatting sqref="V53">
    <cfRule type="cellIs" dxfId="882" priority="35" operator="notEqual">
      <formula>$V$55</formula>
    </cfRule>
    <cfRule type="cellIs" dxfId="881" priority="36" operator="equal">
      <formula>$V$55</formula>
    </cfRule>
  </conditionalFormatting>
  <conditionalFormatting sqref="W53">
    <cfRule type="cellIs" dxfId="880" priority="33" operator="notEqual">
      <formula>$W$55</formula>
    </cfRule>
    <cfRule type="cellIs" dxfId="879" priority="34" operator="equal">
      <formula>$W$55</formula>
    </cfRule>
  </conditionalFormatting>
  <conditionalFormatting sqref="X53">
    <cfRule type="cellIs" dxfId="878" priority="31" operator="notEqual">
      <formula>$X$55</formula>
    </cfRule>
    <cfRule type="cellIs" dxfId="877" priority="32" operator="equal">
      <formula>$X$55</formula>
    </cfRule>
  </conditionalFormatting>
  <conditionalFormatting sqref="Y53">
    <cfRule type="cellIs" dxfId="876" priority="29" operator="notEqual">
      <formula>$Y$55</formula>
    </cfRule>
    <cfRule type="cellIs" dxfId="875" priority="30" operator="equal">
      <formula>$Y$55</formula>
    </cfRule>
  </conditionalFormatting>
  <conditionalFormatting sqref="Z53">
    <cfRule type="cellIs" dxfId="874" priority="27" operator="notEqual">
      <formula>$Z$55</formula>
    </cfRule>
    <cfRule type="cellIs" dxfId="873" priority="28" operator="equal">
      <formula>$Z$55</formula>
    </cfRule>
  </conditionalFormatting>
  <conditionalFormatting sqref="AA53">
    <cfRule type="cellIs" dxfId="872" priority="25" operator="notEqual">
      <formula>$AA$55</formula>
    </cfRule>
    <cfRule type="cellIs" dxfId="871" priority="26" operator="equal">
      <formula>$AA$55</formula>
    </cfRule>
  </conditionalFormatting>
  <conditionalFormatting sqref="AB53">
    <cfRule type="cellIs" dxfId="870" priority="23" operator="notEqual">
      <formula>$AB$55</formula>
    </cfRule>
    <cfRule type="cellIs" dxfId="869" priority="24" operator="equal">
      <formula>$AB$55</formula>
    </cfRule>
  </conditionalFormatting>
  <conditionalFormatting sqref="AC53">
    <cfRule type="cellIs" dxfId="868" priority="21" operator="notEqual">
      <formula>$AC$55</formula>
    </cfRule>
    <cfRule type="cellIs" dxfId="867" priority="22" operator="equal">
      <formula>$AC$55</formula>
    </cfRule>
  </conditionalFormatting>
  <conditionalFormatting sqref="AD53">
    <cfRule type="cellIs" dxfId="866" priority="19" operator="notEqual">
      <formula>$AD$55</formula>
    </cfRule>
    <cfRule type="cellIs" dxfId="865" priority="20" operator="equal">
      <formula>$AD$55</formula>
    </cfRule>
  </conditionalFormatting>
  <conditionalFormatting sqref="AE53">
    <cfRule type="cellIs" dxfId="864" priority="17" operator="notEqual">
      <formula>$AE$55</formula>
    </cfRule>
    <cfRule type="cellIs" dxfId="863" priority="18" operator="equal">
      <formula>$AE$55</formula>
    </cfRule>
  </conditionalFormatting>
  <conditionalFormatting sqref="AF53">
    <cfRule type="cellIs" dxfId="862" priority="16" operator="equal">
      <formula>$AF$55</formula>
    </cfRule>
  </conditionalFormatting>
  <conditionalFormatting sqref="AF53">
    <cfRule type="cellIs" dxfId="861" priority="15" operator="notEqual">
      <formula>$AF$55</formula>
    </cfRule>
  </conditionalFormatting>
  <conditionalFormatting sqref="AG53">
    <cfRule type="cellIs" dxfId="860" priority="14" operator="equal">
      <formula>$AG$55</formula>
    </cfRule>
  </conditionalFormatting>
  <conditionalFormatting sqref="AG53">
    <cfRule type="cellIs" dxfId="859" priority="13" operator="notEqual">
      <formula>$AG$55</formula>
    </cfRule>
  </conditionalFormatting>
  <conditionalFormatting sqref="AH53">
    <cfRule type="cellIs" dxfId="858" priority="12" operator="equal">
      <formula>$AH$55</formula>
    </cfRule>
  </conditionalFormatting>
  <conditionalFormatting sqref="AH53">
    <cfRule type="cellIs" dxfId="857" priority="11" operator="notEqual">
      <formula>$AH$55</formula>
    </cfRule>
  </conditionalFormatting>
  <conditionalFormatting sqref="AI53">
    <cfRule type="cellIs" dxfId="856" priority="10" operator="equal">
      <formula>$AI$55</formula>
    </cfRule>
  </conditionalFormatting>
  <conditionalFormatting sqref="AI53">
    <cfRule type="cellIs" dxfId="855" priority="9" operator="notEqual">
      <formula>$AI$55</formula>
    </cfRule>
  </conditionalFormatting>
  <conditionalFormatting sqref="AJ53">
    <cfRule type="cellIs" dxfId="854" priority="8" operator="equal">
      <formula>$AJ$55</formula>
    </cfRule>
  </conditionalFormatting>
  <conditionalFormatting sqref="AJ53">
    <cfRule type="cellIs" dxfId="853" priority="7" operator="notEqual">
      <formula>$AJ$55</formula>
    </cfRule>
  </conditionalFormatting>
  <conditionalFormatting sqref="AK53">
    <cfRule type="cellIs" dxfId="852" priority="6" operator="equal">
      <formula>$AK$55</formula>
    </cfRule>
  </conditionalFormatting>
  <conditionalFormatting sqref="AK53">
    <cfRule type="cellIs" dxfId="851" priority="5" operator="notEqual">
      <formula>$AK$55</formula>
    </cfRule>
  </conditionalFormatting>
  <conditionalFormatting sqref="AL53">
    <cfRule type="cellIs" dxfId="850" priority="4" operator="equal">
      <formula>$AL$55</formula>
    </cfRule>
  </conditionalFormatting>
  <conditionalFormatting sqref="AL53">
    <cfRule type="cellIs" dxfId="849" priority="3" operator="notEqual">
      <formula>$AL$55</formula>
    </cfRule>
  </conditionalFormatting>
  <conditionalFormatting sqref="AM53">
    <cfRule type="cellIs" dxfId="848" priority="2" operator="equal">
      <formula>$AM$55</formula>
    </cfRule>
  </conditionalFormatting>
  <conditionalFormatting sqref="AM53">
    <cfRule type="cellIs" dxfId="847" priority="1" operator="notEqual">
      <formula>$AM$55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A50B-DF3F-40EA-9A4D-EAE184E596B0}">
  <sheetPr codeName="Planilha11"/>
  <dimension ref="A1:AP57"/>
  <sheetViews>
    <sheetView showGridLines="0" topLeftCell="AH40" workbookViewId="0">
      <selection activeCell="AO53" sqref="AO53:AP55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4" width="4.140625" style="9" bestFit="1" customWidth="1"/>
    <col min="15" max="16" width="4.8554687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460</v>
      </c>
      <c r="J1" s="100"/>
      <c r="L1" s="104" t="s">
        <v>480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O1" s="20"/>
      <c r="AP1" s="107" t="s">
        <v>462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0"/>
      <c r="L2" s="104" t="s">
        <v>360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O2" s="20"/>
      <c r="AP2" s="108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0"/>
      <c r="L3" s="104" t="s">
        <v>361</v>
      </c>
      <c r="M3" s="104"/>
      <c r="N3" s="104"/>
      <c r="O3" s="104"/>
      <c r="P3" s="104"/>
      <c r="Q3" s="104"/>
      <c r="R3" s="104"/>
      <c r="S3" s="104"/>
      <c r="T3" s="104"/>
      <c r="U3" s="104" t="s">
        <v>370</v>
      </c>
      <c r="V3" s="104"/>
      <c r="W3" s="104"/>
      <c r="X3" s="104"/>
      <c r="Y3" s="104"/>
      <c r="Z3" s="104"/>
      <c r="AA3" s="104"/>
      <c r="AB3" s="104"/>
      <c r="AC3" s="104" t="s">
        <v>378</v>
      </c>
      <c r="AD3" s="104"/>
      <c r="AE3" s="104" t="s">
        <v>380</v>
      </c>
      <c r="AF3" s="104"/>
      <c r="AG3" s="104"/>
      <c r="AH3" s="104" t="s">
        <v>383</v>
      </c>
      <c r="AI3" s="104"/>
      <c r="AJ3" s="104"/>
      <c r="AK3" s="104"/>
      <c r="AL3" s="104"/>
      <c r="AM3" s="104" t="s">
        <v>369</v>
      </c>
      <c r="AO3" s="20"/>
      <c r="AP3" s="108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100"/>
      <c r="L4" s="10" t="s">
        <v>446</v>
      </c>
      <c r="M4" s="10" t="s">
        <v>362</v>
      </c>
      <c r="N4" s="10" t="s">
        <v>363</v>
      </c>
      <c r="O4" s="10" t="s">
        <v>364</v>
      </c>
      <c r="P4" s="10" t="s">
        <v>365</v>
      </c>
      <c r="Q4" s="10" t="s">
        <v>366</v>
      </c>
      <c r="R4" s="10" t="s">
        <v>367</v>
      </c>
      <c r="S4" s="10" t="s">
        <v>368</v>
      </c>
      <c r="T4" s="10" t="s">
        <v>369</v>
      </c>
      <c r="U4" s="10" t="s">
        <v>371</v>
      </c>
      <c r="V4" s="10" t="s">
        <v>372</v>
      </c>
      <c r="W4" s="10" t="s">
        <v>373</v>
      </c>
      <c r="X4" s="10" t="s">
        <v>374</v>
      </c>
      <c r="Y4" s="10" t="s">
        <v>375</v>
      </c>
      <c r="Z4" s="10" t="s">
        <v>376</v>
      </c>
      <c r="AA4" s="10" t="s">
        <v>377</v>
      </c>
      <c r="AB4" s="10" t="s">
        <v>369</v>
      </c>
      <c r="AC4" s="10" t="s">
        <v>379</v>
      </c>
      <c r="AD4" s="10" t="s">
        <v>369</v>
      </c>
      <c r="AE4" s="10" t="s">
        <v>381</v>
      </c>
      <c r="AF4" s="10" t="s">
        <v>382</v>
      </c>
      <c r="AG4" s="10" t="s">
        <v>369</v>
      </c>
      <c r="AH4" s="10" t="s">
        <v>384</v>
      </c>
      <c r="AI4" s="10" t="s">
        <v>385</v>
      </c>
      <c r="AJ4" s="10" t="s">
        <v>386</v>
      </c>
      <c r="AK4" s="10" t="s">
        <v>387</v>
      </c>
      <c r="AL4" s="10" t="s">
        <v>369</v>
      </c>
      <c r="AM4" s="106"/>
      <c r="AO4" s="21" t="s">
        <v>479</v>
      </c>
      <c r="AP4" s="109"/>
    </row>
    <row r="5" spans="1:42" ht="11.25" customHeight="1" x14ac:dyDescent="0.25">
      <c r="A5" s="102" t="s">
        <v>35</v>
      </c>
      <c r="B5" s="102" t="s">
        <v>52</v>
      </c>
      <c r="C5" s="102" t="s">
        <v>25</v>
      </c>
      <c r="D5" s="102" t="s">
        <v>25</v>
      </c>
      <c r="E5" s="102" t="s">
        <v>25</v>
      </c>
      <c r="F5" s="102" t="s">
        <v>25</v>
      </c>
      <c r="G5" s="17" t="s">
        <v>75</v>
      </c>
      <c r="H5" s="17" t="s">
        <v>74</v>
      </c>
      <c r="I5" s="17">
        <f>'MERCADO TUSD'!$U$2</f>
        <v>450</v>
      </c>
      <c r="J5" s="15"/>
      <c r="L5" s="12">
        <f>'TUSD BE'!$L$5*'TUSD BF'!$L$58</f>
        <v>0</v>
      </c>
      <c r="M5" s="12">
        <f>'TUSD BE'!$M$5*'TUSD BF'!$M$58</f>
        <v>0</v>
      </c>
      <c r="N5" s="12">
        <f ca="1">'TUSD BE'!$N$5*'TUSD BF'!$N$58</f>
        <v>0</v>
      </c>
      <c r="O5" s="12">
        <f>'TUSD BE'!$O$5*'TUSD BF'!$O$58</f>
        <v>0</v>
      </c>
      <c r="P5" s="12">
        <f>'TUSD BE'!$P$5*'TUSD BF'!$P$58</f>
        <v>0</v>
      </c>
      <c r="Q5" s="12">
        <f>'TUSD BE'!$Q$5*'TUSD BF'!$Q$58</f>
        <v>0</v>
      </c>
      <c r="R5" s="12">
        <f>'TUSD BE'!$R$5*'TUSD BF'!$R$58</f>
        <v>0</v>
      </c>
      <c r="S5" s="12">
        <f>'TUSD BE'!$R$5*'TUSD BF'!$S$58</f>
        <v>0</v>
      </c>
      <c r="T5" s="12">
        <f ca="1">SUM($L$5:$S$5)</f>
        <v>0</v>
      </c>
      <c r="U5" s="12">
        <f>'TUSD BE'!$U$5*'TUSD BF'!$U$58</f>
        <v>0</v>
      </c>
      <c r="V5" s="12">
        <f>'TUSD BE'!$V$5*'TUSD BF'!$V$58</f>
        <v>0</v>
      </c>
      <c r="W5" s="12">
        <f>'TUSD BE'!$W$5*'TUSD BF'!$W$58</f>
        <v>0</v>
      </c>
      <c r="X5" s="12">
        <f>'TUSD BE'!$X$5*'TUSD BF'!$X$58</f>
        <v>0</v>
      </c>
      <c r="Y5" s="12">
        <f>'TUSD BE'!$Y$5*'TUSD BF'!$Y$58</f>
        <v>0</v>
      </c>
      <c r="Z5" s="12">
        <f>'TUSD BE'!$Z$5*'TUSD BF'!$Z$58</f>
        <v>0</v>
      </c>
      <c r="AA5" s="12">
        <f>'TUSD BE'!$AA$5*'TUSD BF'!$AA$58</f>
        <v>0</v>
      </c>
      <c r="AB5" s="12">
        <f>SUM($U$5:$AA$5)</f>
        <v>0</v>
      </c>
      <c r="AC5" s="12">
        <f>'TUSD BE'!$AC$5*'TUSD BF'!$AC$58</f>
        <v>0</v>
      </c>
      <c r="AD5" s="12">
        <f>SUM($AC$5:$AC$5)</f>
        <v>0</v>
      </c>
      <c r="AE5" s="12">
        <f ca="1">$AO$5*$AO$55</f>
        <v>0</v>
      </c>
      <c r="AF5" s="12">
        <f ca="1">$AP$5*$AP$55</f>
        <v>0</v>
      </c>
      <c r="AG5" s="12">
        <f ca="1">SUM($AE$5:$AF$5)</f>
        <v>0</v>
      </c>
      <c r="AH5" s="12">
        <f>'TUSD BE'!$AH$5*'TUSD BF'!$AH$58</f>
        <v>0</v>
      </c>
      <c r="AI5" s="12">
        <f>'TUSD BE'!$AI$5*'TUSD BF'!$AI$58</f>
        <v>0</v>
      </c>
      <c r="AJ5" s="12">
        <f ca="1">'TUSD BE'!$AJ$5*'TUSD BF'!$AJ$58</f>
        <v>0</v>
      </c>
      <c r="AK5" s="12">
        <f ca="1">'TUSD BE'!$AK$5*'TUSD BF'!$AK$58</f>
        <v>0</v>
      </c>
      <c r="AL5" s="12">
        <f ca="1">SUM($AH$5:$AK$5)</f>
        <v>0</v>
      </c>
      <c r="AM5" s="12">
        <f ca="1">SUMIF($L$4:$AL$4,"SUBTOTAL",$L$5:$AL$5)</f>
        <v>0</v>
      </c>
      <c r="AO5" s="20">
        <f ca="1">+'TUSD BE'!$T$5+'TUSD BE'!$AB$5+'TUSD BE'!$AD$5+'TUSD BE'!$AL$5</f>
        <v>115.61907090965127</v>
      </c>
      <c r="AP5" s="20">
        <f ca="1">+'TUSD BE'!$T$5+'TUSD BE'!$AB$5+'TUSD BE'!$AD$5+'TUSD BE'!$AL$5</f>
        <v>115.61907090965127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17" t="s">
        <v>76</v>
      </c>
      <c r="H6" s="17" t="s">
        <v>74</v>
      </c>
      <c r="I6" s="17">
        <f>'MERCADO TUSD'!$U$3</f>
        <v>953</v>
      </c>
      <c r="J6" s="15"/>
      <c r="L6" s="12">
        <f>'TUSD BE'!$L$6*'TUSD BF'!$L$58</f>
        <v>0</v>
      </c>
      <c r="M6" s="12">
        <f>'TUSD BE'!$M$6*'TUSD BF'!$M$58</f>
        <v>0</v>
      </c>
      <c r="N6" s="12">
        <f ca="1">'TUSD BE'!$N$6*'TUSD BF'!$N$58</f>
        <v>0</v>
      </c>
      <c r="O6" s="12">
        <f>'TUSD BE'!$O$6*'TUSD BF'!$O$58</f>
        <v>0</v>
      </c>
      <c r="P6" s="12">
        <f>'TUSD BE'!$P$6*'TUSD BF'!$P$58</f>
        <v>0</v>
      </c>
      <c r="Q6" s="12">
        <f>'TUSD BE'!$Q$6*'TUSD BF'!$Q$58</f>
        <v>0</v>
      </c>
      <c r="R6" s="12">
        <f>'TUSD BE'!$R$6*'TUSD BF'!$R$58</f>
        <v>0</v>
      </c>
      <c r="S6" s="12">
        <f>'TUSD BE'!$R$6*'TUSD BF'!$S$58</f>
        <v>0</v>
      </c>
      <c r="T6" s="12">
        <f ca="1">SUM($L$6:$S$6)</f>
        <v>0</v>
      </c>
      <c r="U6" s="12">
        <f>'TUSD BE'!$U$6*'TUSD BF'!$U$58</f>
        <v>0</v>
      </c>
      <c r="V6" s="12">
        <f>'TUSD BE'!$V$6*'TUSD BF'!$V$58</f>
        <v>0</v>
      </c>
      <c r="W6" s="12">
        <f>'TUSD BE'!$W$6*'TUSD BF'!$W$58</f>
        <v>0</v>
      </c>
      <c r="X6" s="12">
        <f>'TUSD BE'!$X$6*'TUSD BF'!$X$58</f>
        <v>0</v>
      </c>
      <c r="Y6" s="12">
        <f>'TUSD BE'!$Y$6*'TUSD BF'!$Y$58</f>
        <v>0</v>
      </c>
      <c r="Z6" s="12">
        <f>'TUSD BE'!$Z$6*'TUSD BF'!$Z$58</f>
        <v>0</v>
      </c>
      <c r="AA6" s="12">
        <f>'TUSD BE'!$AA$6*'TUSD BF'!$AA$58</f>
        <v>0</v>
      </c>
      <c r="AB6" s="12">
        <f>SUM($U$6:$AA$6)</f>
        <v>0</v>
      </c>
      <c r="AC6" s="12">
        <f>'TUSD BE'!$AC$6*'TUSD BF'!$AC$58</f>
        <v>0</v>
      </c>
      <c r="AD6" s="12">
        <f>SUM($AC$6:$AC$6)</f>
        <v>0</v>
      </c>
      <c r="AE6" s="12">
        <f ca="1">$AO$6*$AO$55</f>
        <v>0</v>
      </c>
      <c r="AF6" s="12">
        <f ca="1">$AP$6*$AP$55</f>
        <v>0</v>
      </c>
      <c r="AG6" s="12">
        <f ca="1">SUM($AE$6:$AF$6)</f>
        <v>0</v>
      </c>
      <c r="AH6" s="12">
        <f>'TUSD BE'!$AH$6*'TUSD BF'!$AH$58</f>
        <v>0</v>
      </c>
      <c r="AI6" s="12">
        <f>'TUSD BE'!$AI$6*'TUSD BF'!$AI$58</f>
        <v>0</v>
      </c>
      <c r="AJ6" s="12">
        <f ca="1">'TUSD BE'!$AJ$6*'TUSD BF'!$AJ$58</f>
        <v>0</v>
      </c>
      <c r="AK6" s="12">
        <f ca="1">'TUSD BE'!$AK$6*'TUSD BF'!$AK$58</f>
        <v>0</v>
      </c>
      <c r="AL6" s="12">
        <f ca="1">SUM($AH$6:$AK$6)</f>
        <v>0</v>
      </c>
      <c r="AM6" s="12">
        <f ca="1">SUMIF($L$4:$AL$4,"SUBTOTAL",$L$6:$AL$6)</f>
        <v>0</v>
      </c>
      <c r="AO6" s="20">
        <f ca="1">+'TUSD BE'!$T$6+'TUSD BE'!$AB$6+'TUSD BE'!$AD$6+'TUSD BE'!$AL$6</f>
        <v>81.618955255450075</v>
      </c>
      <c r="AP6" s="20">
        <f ca="1">+'TUSD BE'!$T$6+'TUSD BE'!$AB$6+'TUSD BE'!$AD$6+'TUSD BE'!$AL$6</f>
        <v>81.618955255450075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17" t="s">
        <v>77</v>
      </c>
      <c r="H7" s="17" t="s">
        <v>71</v>
      </c>
      <c r="I7" s="17">
        <f>'MERCADO TUSD'!$U$4</f>
        <v>260.58600000000001</v>
      </c>
      <c r="J7" s="15"/>
      <c r="L7" s="12">
        <f>'TUSD BE'!$L$7*'TUSD BF'!$L$58</f>
        <v>0</v>
      </c>
      <c r="M7" s="12">
        <f>'TUSD BE'!$M$7*'TUSD BF'!$M$58</f>
        <v>0</v>
      </c>
      <c r="N7" s="12">
        <f ca="1">'TUSD BE'!$N$7*'TUSD BF'!$N$58</f>
        <v>0</v>
      </c>
      <c r="O7" s="12">
        <f>'TUSD BE'!$O$7*'TUSD BF'!$O$58</f>
        <v>0</v>
      </c>
      <c r="P7" s="12">
        <f>'TUSD BE'!$P$7*'TUSD BF'!$P$58</f>
        <v>0</v>
      </c>
      <c r="Q7" s="12">
        <f>'TUSD BE'!$Q$7*'TUSD BF'!$Q$58</f>
        <v>0</v>
      </c>
      <c r="R7" s="12">
        <f>'TUSD BE'!$R$7*'TUSD BF'!$R$58</f>
        <v>0</v>
      </c>
      <c r="S7" s="12">
        <f>'TUSD BE'!$R$7*'TUSD BF'!$S$58</f>
        <v>0</v>
      </c>
      <c r="T7" s="12">
        <f ca="1">SUM($L$7:$S$7)</f>
        <v>0</v>
      </c>
      <c r="U7" s="12">
        <f>'TUSD BE'!$U$7*'TUSD BF'!$U$58</f>
        <v>0</v>
      </c>
      <c r="V7" s="12">
        <f>'TUSD BE'!$V$7*'TUSD BF'!$V$58</f>
        <v>0</v>
      </c>
      <c r="W7" s="12">
        <f>'TUSD BE'!$W$7*'TUSD BF'!$W$58</f>
        <v>0</v>
      </c>
      <c r="X7" s="12">
        <f>'TUSD BE'!$X$7*'TUSD BF'!$X$58</f>
        <v>0</v>
      </c>
      <c r="Y7" s="12">
        <f>'TUSD BE'!$Y$7*'TUSD BF'!$Y$58</f>
        <v>0</v>
      </c>
      <c r="Z7" s="12">
        <f>'TUSD BE'!$Z$7*'TUSD BF'!$Z$58</f>
        <v>0</v>
      </c>
      <c r="AA7" s="12">
        <f>'TUSD BE'!$AA$7*'TUSD BF'!$AA$58</f>
        <v>0</v>
      </c>
      <c r="AB7" s="12">
        <f>SUM($U$7:$AA$7)</f>
        <v>0</v>
      </c>
      <c r="AC7" s="12">
        <f>'TUSD BE'!$AC$7*'TUSD BF'!$AC$58</f>
        <v>0</v>
      </c>
      <c r="AD7" s="12">
        <f>SUM($AC$7:$AC$7)</f>
        <v>0</v>
      </c>
      <c r="AE7" s="12">
        <f ca="1">$AO$7*$AO$55</f>
        <v>0</v>
      </c>
      <c r="AF7" s="12">
        <f ca="1">$AP$7*$AP$55</f>
        <v>0</v>
      </c>
      <c r="AG7" s="12">
        <f ca="1">SUM($AE$7:$AF$7)</f>
        <v>0</v>
      </c>
      <c r="AH7" s="12">
        <f>'TUSD BE'!$AH$7*'TUSD BF'!$AH$58</f>
        <v>0</v>
      </c>
      <c r="AI7" s="12">
        <f>'TUSD BE'!$AI$7*'TUSD BF'!$AI$58</f>
        <v>0</v>
      </c>
      <c r="AJ7" s="12">
        <f ca="1">'TUSD BE'!$AJ$7*'TUSD BF'!$AJ$58</f>
        <v>0</v>
      </c>
      <c r="AK7" s="12">
        <f ca="1">'TUSD BE'!$AK$7*'TUSD BF'!$AK$58</f>
        <v>0</v>
      </c>
      <c r="AL7" s="12">
        <f ca="1">SUM($AH$7:$AK$7)</f>
        <v>0</v>
      </c>
      <c r="AM7" s="12">
        <f ca="1">SUMIF($L$4:$AL$4,"SUBTOTAL",$L$7:$AL$7)</f>
        <v>0</v>
      </c>
      <c r="AO7" s="20">
        <f ca="1">+'TUSD BE'!$T$7+'TUSD BE'!$AB$7+'TUSD BE'!$AD$7+'TUSD BE'!$AL$7</f>
        <v>106.0068127281037</v>
      </c>
      <c r="AP7" s="20">
        <f ca="1">+'TUSD BE'!$T$7+'TUSD BE'!$AB$7+'TUSD BE'!$AD$7+'TUSD BE'!$AL$7</f>
        <v>106.0068127281037</v>
      </c>
    </row>
    <row r="8" spans="1:42" ht="11.25" customHeight="1" x14ac:dyDescent="0.25">
      <c r="A8" s="102"/>
      <c r="B8" s="102"/>
      <c r="C8" s="102"/>
      <c r="D8" s="102"/>
      <c r="E8" s="18" t="s">
        <v>78</v>
      </c>
      <c r="F8" s="18" t="s">
        <v>25</v>
      </c>
      <c r="G8" s="17" t="s">
        <v>77</v>
      </c>
      <c r="H8" s="17" t="s">
        <v>71</v>
      </c>
      <c r="I8" s="17">
        <f>'MERCADO TUSD'!$U$5</f>
        <v>0</v>
      </c>
      <c r="J8" s="15"/>
      <c r="L8" s="12">
        <f>'TUSD BE'!$L$8*'TUSD BF'!$L$58</f>
        <v>0</v>
      </c>
      <c r="M8" s="12">
        <f>'TUSD BE'!$M$8*'TUSD BF'!$M$58</f>
        <v>0</v>
      </c>
      <c r="N8" s="12">
        <f ca="1">'TUSD BE'!$N$8*'TUSD BF'!$N$58</f>
        <v>0</v>
      </c>
      <c r="O8" s="12">
        <f>'TUSD BE'!$O$8*'TUSD BF'!$O$58</f>
        <v>0</v>
      </c>
      <c r="P8" s="12">
        <f>'TUSD BE'!$P$8*'TUSD BF'!$P$58</f>
        <v>0</v>
      </c>
      <c r="Q8" s="12">
        <f>'TUSD BE'!$Q$8*'TUSD BF'!$Q$58</f>
        <v>0</v>
      </c>
      <c r="R8" s="12">
        <f>'TUSD BE'!$R$8*'TUSD BF'!$R$58</f>
        <v>0</v>
      </c>
      <c r="S8" s="12">
        <f>'TUSD BE'!$R$8*'TUSD BF'!$S$58</f>
        <v>0</v>
      </c>
      <c r="T8" s="12">
        <f ca="1">SUM($L$8:$S$8)</f>
        <v>0</v>
      </c>
      <c r="U8" s="12">
        <f>'TUSD BE'!$U$8*'TUSD BF'!$U$58</f>
        <v>0</v>
      </c>
      <c r="V8" s="12">
        <f>'TUSD BE'!$V$8*'TUSD BF'!$V$58</f>
        <v>0</v>
      </c>
      <c r="W8" s="12">
        <f>'TUSD BE'!$W$8*'TUSD BF'!$W$58</f>
        <v>0</v>
      </c>
      <c r="X8" s="12">
        <f>'TUSD BE'!$X$8*'TUSD BF'!$X$58</f>
        <v>0</v>
      </c>
      <c r="Y8" s="12">
        <f>'TUSD BE'!$Y$8*'TUSD BF'!$Y$58</f>
        <v>0</v>
      </c>
      <c r="Z8" s="12">
        <f>'TUSD BE'!$Z$8*'TUSD BF'!$Z$58</f>
        <v>0</v>
      </c>
      <c r="AA8" s="12">
        <f>'TUSD BE'!$AA$8*'TUSD BF'!$AA$58</f>
        <v>0</v>
      </c>
      <c r="AB8" s="12">
        <f>SUM($U$8:$AA$8)</f>
        <v>0</v>
      </c>
      <c r="AC8" s="12">
        <f>'TUSD BE'!$AC$8*'TUSD BF'!$AC$58</f>
        <v>0</v>
      </c>
      <c r="AD8" s="12">
        <f>SUM($AC$8:$AC$8)</f>
        <v>0</v>
      </c>
      <c r="AE8" s="12">
        <f ca="1">$AO$8*$AO$55</f>
        <v>0</v>
      </c>
      <c r="AF8" s="12">
        <f ca="1">$AP$8*$AP$55</f>
        <v>0</v>
      </c>
      <c r="AG8" s="12">
        <f ca="1">SUM($AE$8:$AF$8)</f>
        <v>0</v>
      </c>
      <c r="AH8" s="12">
        <f>'TUSD BE'!$AH$8*'TUSD BF'!$AH$58</f>
        <v>0</v>
      </c>
      <c r="AI8" s="12">
        <f>'TUSD BE'!$AI$8*'TUSD BF'!$AI$58</f>
        <v>0</v>
      </c>
      <c r="AJ8" s="12">
        <f ca="1">'TUSD BE'!$AJ$8*'TUSD BF'!$AJ$58</f>
        <v>0</v>
      </c>
      <c r="AK8" s="12">
        <f ca="1">'TUSD BE'!$AK$8*'TUSD BF'!$AK$58</f>
        <v>0</v>
      </c>
      <c r="AL8" s="12">
        <f ca="1">SUM($AH$8:$AK$8)</f>
        <v>0</v>
      </c>
      <c r="AM8" s="12">
        <f ca="1">SUMIF($L$4:$AL$4,"SUBTOTAL",$L$8:$AL$8)</f>
        <v>0</v>
      </c>
      <c r="AO8" s="20">
        <f ca="1">+'TUSD BE'!$T$8+'TUSD BE'!$AB$8+'TUSD BE'!$AD$8+'TUSD BE'!$AL$8</f>
        <v>14.598686688719848</v>
      </c>
      <c r="AP8" s="20">
        <f ca="1">+'TUSD BE'!$T$8+'TUSD BE'!$AB$8+'TUSD BE'!$AD$8+'TUSD BE'!$AL$8</f>
        <v>14.598686688719848</v>
      </c>
    </row>
    <row r="9" spans="1:42" ht="11.25" customHeight="1" x14ac:dyDescent="0.25">
      <c r="A9" s="102"/>
      <c r="B9" s="18" t="s">
        <v>79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74</v>
      </c>
      <c r="I9" s="17">
        <f>'MERCADO TUSD'!$U$6</f>
        <v>0</v>
      </c>
      <c r="J9" s="15"/>
      <c r="L9" s="12">
        <f>'TUSD BE'!$L$9*'TUSD BF'!$L$58</f>
        <v>0</v>
      </c>
      <c r="M9" s="12">
        <f>'TUSD BE'!$M$9*'TUSD BF'!$M$58</f>
        <v>0</v>
      </c>
      <c r="N9" s="12">
        <f ca="1">'TUSD BE'!$N$9*'TUSD BF'!$N$58</f>
        <v>0</v>
      </c>
      <c r="O9" s="12">
        <f>'TUSD BE'!$O$9*'TUSD BF'!$O$58</f>
        <v>0</v>
      </c>
      <c r="P9" s="12">
        <f>'TUSD BE'!$P$9*'TUSD BF'!$P$58</f>
        <v>0</v>
      </c>
      <c r="Q9" s="12">
        <f>'TUSD BE'!$Q$9*'TUSD BF'!$Q$58</f>
        <v>0</v>
      </c>
      <c r="R9" s="12">
        <f>'TUSD BE'!$R$9*'TUSD BF'!$R$58</f>
        <v>0</v>
      </c>
      <c r="S9" s="12">
        <f>'TUSD BE'!$R$9*'TUSD BF'!$S$58</f>
        <v>0</v>
      </c>
      <c r="T9" s="12">
        <f ca="1">SUM($L$9:$S$9)</f>
        <v>0</v>
      </c>
      <c r="U9" s="12">
        <f>'TUSD BE'!$U$9*'TUSD BF'!$U$58</f>
        <v>0</v>
      </c>
      <c r="V9" s="12">
        <f>'TUSD BE'!$V$9*'TUSD BF'!$V$58</f>
        <v>0</v>
      </c>
      <c r="W9" s="12">
        <f>'TUSD BE'!$W$9*'TUSD BF'!$W$58</f>
        <v>0</v>
      </c>
      <c r="X9" s="12">
        <f>'TUSD BE'!$X$9*'TUSD BF'!$X$58</f>
        <v>0</v>
      </c>
      <c r="Y9" s="12">
        <f>'TUSD BE'!$Y$9*'TUSD BF'!$Y$58</f>
        <v>0</v>
      </c>
      <c r="Z9" s="12">
        <f>'TUSD BE'!$Z$9*'TUSD BF'!$Z$58</f>
        <v>0</v>
      </c>
      <c r="AA9" s="12">
        <f>'TUSD BE'!$AA$9*'TUSD BF'!$AA$58</f>
        <v>0</v>
      </c>
      <c r="AB9" s="12">
        <f>SUM($U$9:$AA$9)</f>
        <v>0</v>
      </c>
      <c r="AC9" s="12">
        <f>'TUSD BE'!$AC$9*'TUSD BF'!$AC$58</f>
        <v>0</v>
      </c>
      <c r="AD9" s="12">
        <f>SUM($AC$9:$AC$9)</f>
        <v>0</v>
      </c>
      <c r="AE9" s="12">
        <f ca="1">$AO$9*$AO$55</f>
        <v>0</v>
      </c>
      <c r="AF9" s="12">
        <f ca="1">$AP$9*$AP$55</f>
        <v>0</v>
      </c>
      <c r="AG9" s="12">
        <f ca="1">SUM($AE$9:$AF$9)</f>
        <v>0</v>
      </c>
      <c r="AH9" s="12">
        <f>'TUSD BE'!$AH$9*'TUSD BF'!$AH$58</f>
        <v>0</v>
      </c>
      <c r="AI9" s="12">
        <f>'TUSD BE'!$AI$9*'TUSD BF'!$AI$58</f>
        <v>0</v>
      </c>
      <c r="AJ9" s="12">
        <f ca="1">'TUSD BE'!$AJ$9*'TUSD BF'!$AJ$58</f>
        <v>0</v>
      </c>
      <c r="AK9" s="12">
        <f ca="1">'TUSD BE'!$AK$9*'TUSD BF'!$AK$58</f>
        <v>0</v>
      </c>
      <c r="AL9" s="12">
        <f ca="1">SUM($AH$9:$AK$9)</f>
        <v>0</v>
      </c>
      <c r="AM9" s="12">
        <f ca="1">SUMIF($L$4:$AL$4,"SUBTOTAL",$L$9:$AL$9)</f>
        <v>0</v>
      </c>
      <c r="AO9" s="20">
        <f ca="1">+'TUSD BE'!$T$9+'TUSD BE'!$AB$9+'TUSD BE'!$AD$9+'TUSD BE'!$AL$9</f>
        <v>19.772068685016364</v>
      </c>
      <c r="AP9" s="20">
        <f ca="1">+'TUSD BE'!$T$9+'TUSD BE'!$AB$9+'TUSD BE'!$AD$9+'TUSD BE'!$AL$9</f>
        <v>19.772068685016364</v>
      </c>
    </row>
    <row r="10" spans="1:42" ht="11.25" customHeight="1" x14ac:dyDescent="0.25">
      <c r="A10" s="102"/>
      <c r="B10" s="102" t="s">
        <v>36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17" t="s">
        <v>9</v>
      </c>
      <c r="H10" s="17" t="s">
        <v>74</v>
      </c>
      <c r="I10" s="17">
        <f>'MERCADO TUSD'!$U$7</f>
        <v>109365</v>
      </c>
      <c r="J10" s="15"/>
      <c r="L10" s="12">
        <f>'TUSD BE'!$L$10*'TUSD BF'!$L$58</f>
        <v>0</v>
      </c>
      <c r="M10" s="12">
        <f>'TUSD BE'!$M$10*'TUSD BF'!$M$58</f>
        <v>0</v>
      </c>
      <c r="N10" s="12">
        <f ca="1">'TUSD BE'!$N$10*'TUSD BF'!$N$58</f>
        <v>0</v>
      </c>
      <c r="O10" s="12">
        <f>'TUSD BE'!$O$10*'TUSD BF'!$O$58</f>
        <v>0</v>
      </c>
      <c r="P10" s="12">
        <f>'TUSD BE'!$P$10*'TUSD BF'!$P$58</f>
        <v>0</v>
      </c>
      <c r="Q10" s="12">
        <f>'TUSD BE'!$Q$10*'TUSD BF'!$Q$58</f>
        <v>0</v>
      </c>
      <c r="R10" s="12">
        <f>'TUSD BE'!$R$10*'TUSD BF'!$R$58</f>
        <v>0</v>
      </c>
      <c r="S10" s="12">
        <f>'TUSD BE'!$R$10*'TUSD BF'!$S$58</f>
        <v>0</v>
      </c>
      <c r="T10" s="12">
        <f ca="1">SUM($L$10:$S$10)</f>
        <v>0</v>
      </c>
      <c r="U10" s="12">
        <f>'TUSD BE'!$U$10*'TUSD BF'!$U$58</f>
        <v>0</v>
      </c>
      <c r="V10" s="12">
        <f>'TUSD BE'!$V$10*'TUSD BF'!$V$58</f>
        <v>0</v>
      </c>
      <c r="W10" s="12">
        <f>'TUSD BE'!$W$10*'TUSD BF'!$W$58</f>
        <v>0</v>
      </c>
      <c r="X10" s="12">
        <f>'TUSD BE'!$X$10*'TUSD BF'!$X$58</f>
        <v>0</v>
      </c>
      <c r="Y10" s="12">
        <f>'TUSD BE'!$Y$10*'TUSD BF'!$Y$58</f>
        <v>0</v>
      </c>
      <c r="Z10" s="12">
        <f>'TUSD BE'!$Z$10*'TUSD BF'!$Z$58</f>
        <v>0</v>
      </c>
      <c r="AA10" s="12">
        <f>'TUSD BE'!$AA$10*'TUSD BF'!$AA$58</f>
        <v>0</v>
      </c>
      <c r="AB10" s="12">
        <f>SUM($U$10:$AA$10)</f>
        <v>0</v>
      </c>
      <c r="AC10" s="12">
        <f>'TUSD BE'!$AC$10*'TUSD BF'!$AC$58</f>
        <v>0</v>
      </c>
      <c r="AD10" s="12">
        <f>SUM($AC$10:$AC$10)</f>
        <v>0</v>
      </c>
      <c r="AE10" s="12">
        <f ca="1">$AO$10*$AO$55</f>
        <v>0</v>
      </c>
      <c r="AF10" s="12">
        <f ca="1">$AP$10*$AP$55</f>
        <v>0</v>
      </c>
      <c r="AG10" s="12">
        <f ca="1">SUM($AE$10:$AF$10)</f>
        <v>0</v>
      </c>
      <c r="AH10" s="12">
        <f>'TUSD BE'!$AH$10*'TUSD BF'!$AH$58</f>
        <v>0</v>
      </c>
      <c r="AI10" s="12">
        <f>'TUSD BE'!$AI$10*'TUSD BF'!$AI$58</f>
        <v>0</v>
      </c>
      <c r="AJ10" s="12">
        <f ca="1">'TUSD BE'!$AJ$10*'TUSD BF'!$AJ$58</f>
        <v>0</v>
      </c>
      <c r="AK10" s="12">
        <f ca="1">'TUSD BE'!$AK$10*'TUSD BF'!$AK$58</f>
        <v>0</v>
      </c>
      <c r="AL10" s="12">
        <f ca="1">SUM($AH$10:$AK$10)</f>
        <v>0</v>
      </c>
      <c r="AM10" s="12">
        <f ca="1">SUMIF($L$4:$AL$4,"SUBTOTAL",$L$10:$AL$10)</f>
        <v>0</v>
      </c>
      <c r="AO10" s="20">
        <f ca="1">+'TUSD BE'!$T$10+'TUSD BE'!$AB$10+'TUSD BE'!$AD$10+'TUSD BE'!$AL$10</f>
        <v>81.618955255450075</v>
      </c>
      <c r="AP10" s="20">
        <f ca="1">+'TUSD BE'!$T$10+'TUSD BE'!$AB$10+'TUSD BE'!$AD$10+'TUSD BE'!$AL$10</f>
        <v>81.618955255450075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17" t="s">
        <v>72</v>
      </c>
      <c r="H11" s="17" t="s">
        <v>71</v>
      </c>
      <c r="I11" s="17">
        <f>'MERCADO TUSD'!$U$8</f>
        <v>931.37599999999986</v>
      </c>
      <c r="J11" s="15"/>
      <c r="L11" s="12">
        <f>'TUSD BE'!$L$11*'TUSD BF'!$L$58</f>
        <v>0</v>
      </c>
      <c r="M11" s="12">
        <f>'TUSD BE'!$M$11*'TUSD BF'!$M$58</f>
        <v>0</v>
      </c>
      <c r="N11" s="12">
        <f ca="1">'TUSD BE'!$N$11*'TUSD BF'!$N$58</f>
        <v>0</v>
      </c>
      <c r="O11" s="12">
        <f>'TUSD BE'!$O$11*'TUSD BF'!$O$58</f>
        <v>0</v>
      </c>
      <c r="P11" s="12">
        <f>'TUSD BE'!$P$11*'TUSD BF'!$P$58</f>
        <v>0</v>
      </c>
      <c r="Q11" s="12">
        <f>'TUSD BE'!$Q$11*'TUSD BF'!$Q$58</f>
        <v>0</v>
      </c>
      <c r="R11" s="12">
        <f>'TUSD BE'!$R$11*'TUSD BF'!$R$58</f>
        <v>0</v>
      </c>
      <c r="S11" s="12">
        <f>'TUSD BE'!$R$11*'TUSD BF'!$S$58</f>
        <v>0</v>
      </c>
      <c r="T11" s="12">
        <f ca="1">SUM($L$11:$S$11)</f>
        <v>0</v>
      </c>
      <c r="U11" s="12">
        <f>'TUSD BE'!$U$11*'TUSD BF'!$U$58</f>
        <v>0</v>
      </c>
      <c r="V11" s="12">
        <f>'TUSD BE'!$V$11*'TUSD BF'!$V$58</f>
        <v>0</v>
      </c>
      <c r="W11" s="12">
        <f>'TUSD BE'!$W$11*'TUSD BF'!$W$58</f>
        <v>0</v>
      </c>
      <c r="X11" s="12">
        <f>'TUSD BE'!$X$11*'TUSD BF'!$X$58</f>
        <v>0</v>
      </c>
      <c r="Y11" s="12">
        <f>'TUSD BE'!$Y$11*'TUSD BF'!$Y$58</f>
        <v>0</v>
      </c>
      <c r="Z11" s="12">
        <f>'TUSD BE'!$Z$11*'TUSD BF'!$Z$58</f>
        <v>0</v>
      </c>
      <c r="AA11" s="12">
        <f>'TUSD BE'!$AA$11*'TUSD BF'!$AA$58</f>
        <v>0</v>
      </c>
      <c r="AB11" s="12">
        <f>SUM($U$11:$AA$11)</f>
        <v>0</v>
      </c>
      <c r="AC11" s="12">
        <f>'TUSD BE'!$AC$11*'TUSD BF'!$AC$58</f>
        <v>0</v>
      </c>
      <c r="AD11" s="12">
        <f>SUM($AC$11:$AC$11)</f>
        <v>0</v>
      </c>
      <c r="AE11" s="12">
        <f ca="1">$AO$11*$AO$55</f>
        <v>0</v>
      </c>
      <c r="AF11" s="12">
        <f ca="1">$AP$11*$AP$55</f>
        <v>0</v>
      </c>
      <c r="AG11" s="12">
        <f ca="1">SUM($AE$11:$AF$11)</f>
        <v>0</v>
      </c>
      <c r="AH11" s="12">
        <f>'TUSD BE'!$AH$11*'TUSD BF'!$AH$58</f>
        <v>0</v>
      </c>
      <c r="AI11" s="12">
        <f>'TUSD BE'!$AI$11*'TUSD BF'!$AI$58</f>
        <v>0</v>
      </c>
      <c r="AJ11" s="12">
        <f ca="1">'TUSD BE'!$AJ$11*'TUSD BF'!$AJ$58</f>
        <v>0</v>
      </c>
      <c r="AK11" s="12">
        <f ca="1">'TUSD BE'!$AK$11*'TUSD BF'!$AK$58</f>
        <v>0</v>
      </c>
      <c r="AL11" s="12">
        <f ca="1">SUM($AH$11:$AK$11)</f>
        <v>0</v>
      </c>
      <c r="AM11" s="12">
        <f ca="1">SUMIF($L$4:$AL$4,"SUBTOTAL",$L$11:$AL$11)</f>
        <v>0</v>
      </c>
      <c r="AO11" s="20">
        <f ca="1">+'TUSD BE'!$T$11+'TUSD BE'!$AB$11+'TUSD BE'!$AD$11+'TUSD BE'!$AL$11</f>
        <v>2887.3519559065489</v>
      </c>
      <c r="AP11" s="20">
        <f ca="1">+'TUSD BE'!$T$11+'TUSD BE'!$AB$11+'TUSD BE'!$AD$11+'TUSD BE'!$AL$11</f>
        <v>2887.3519559065489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17" t="s">
        <v>73</v>
      </c>
      <c r="H12" s="17" t="s">
        <v>71</v>
      </c>
      <c r="I12" s="17">
        <f>'MERCADO TUSD'!$U$9</f>
        <v>14483.396000000004</v>
      </c>
      <c r="J12" s="15"/>
      <c r="L12" s="12">
        <f>'TUSD BE'!$L$12*'TUSD BF'!$L$58</f>
        <v>0</v>
      </c>
      <c r="M12" s="12">
        <f>'TUSD BE'!$M$12*'TUSD BF'!$M$58</f>
        <v>0</v>
      </c>
      <c r="N12" s="12">
        <f ca="1">'TUSD BE'!$N$12*'TUSD BF'!$N$58</f>
        <v>0</v>
      </c>
      <c r="O12" s="12">
        <f>'TUSD BE'!$O$12*'TUSD BF'!$O$58</f>
        <v>0</v>
      </c>
      <c r="P12" s="12">
        <f>'TUSD BE'!$P$12*'TUSD BF'!$P$58</f>
        <v>0</v>
      </c>
      <c r="Q12" s="12">
        <f>'TUSD BE'!$Q$12*'TUSD BF'!$Q$58</f>
        <v>0</v>
      </c>
      <c r="R12" s="12">
        <f>'TUSD BE'!$R$12*'TUSD BF'!$R$58</f>
        <v>0</v>
      </c>
      <c r="S12" s="12">
        <f>'TUSD BE'!$R$12*'TUSD BF'!$S$58</f>
        <v>0</v>
      </c>
      <c r="T12" s="12">
        <f ca="1">SUM($L$12:$S$12)</f>
        <v>0</v>
      </c>
      <c r="U12" s="12">
        <f>'TUSD BE'!$U$12*'TUSD BF'!$U$58</f>
        <v>0</v>
      </c>
      <c r="V12" s="12">
        <f>'TUSD BE'!$V$12*'TUSD BF'!$V$58</f>
        <v>0</v>
      </c>
      <c r="W12" s="12">
        <f>'TUSD BE'!$W$12*'TUSD BF'!$W$58</f>
        <v>0</v>
      </c>
      <c r="X12" s="12">
        <f>'TUSD BE'!$X$12*'TUSD BF'!$X$58</f>
        <v>0</v>
      </c>
      <c r="Y12" s="12">
        <f>'TUSD BE'!$Y$12*'TUSD BF'!$Y$58</f>
        <v>0</v>
      </c>
      <c r="Z12" s="12">
        <f>'TUSD BE'!$Z$12*'TUSD BF'!$Z$58</f>
        <v>0</v>
      </c>
      <c r="AA12" s="12">
        <f>'TUSD BE'!$AA$12*'TUSD BF'!$AA$58</f>
        <v>0</v>
      </c>
      <c r="AB12" s="12">
        <f>SUM($U$12:$AA$12)</f>
        <v>0</v>
      </c>
      <c r="AC12" s="12">
        <f>'TUSD BE'!$AC$12*'TUSD BF'!$AC$58</f>
        <v>0</v>
      </c>
      <c r="AD12" s="12">
        <f>SUM($AC$12:$AC$12)</f>
        <v>0</v>
      </c>
      <c r="AE12" s="12">
        <f ca="1">$AO$12*$AO$55</f>
        <v>0</v>
      </c>
      <c r="AF12" s="12">
        <f ca="1">$AP$12*$AP$55</f>
        <v>0</v>
      </c>
      <c r="AG12" s="12">
        <f ca="1">SUM($AE$12:$AF$12)</f>
        <v>0</v>
      </c>
      <c r="AH12" s="12">
        <f>'TUSD BE'!$AH$12*'TUSD BF'!$AH$58</f>
        <v>0</v>
      </c>
      <c r="AI12" s="12">
        <f>'TUSD BE'!$AI$12*'TUSD BF'!$AI$58</f>
        <v>0</v>
      </c>
      <c r="AJ12" s="12">
        <f ca="1">'TUSD BE'!$AJ$12*'TUSD BF'!$AJ$58</f>
        <v>0</v>
      </c>
      <c r="AK12" s="12">
        <f ca="1">'TUSD BE'!$AK$12*'TUSD BF'!$AK$58</f>
        <v>0</v>
      </c>
      <c r="AL12" s="12">
        <f ca="1">SUM($AH$12:$AK$12)</f>
        <v>0</v>
      </c>
      <c r="AM12" s="12">
        <f ca="1">SUMIF($L$4:$AL$4,"SUBTOTAL",$L$12:$AL$12)</f>
        <v>0</v>
      </c>
      <c r="AO12" s="20">
        <f ca="1">+'TUSD BE'!$T$12+'TUSD BE'!$AB$12+'TUSD BE'!$AD$12+'TUSD BE'!$AL$12</f>
        <v>106.0068127281037</v>
      </c>
      <c r="AP12" s="20">
        <f ca="1">+'TUSD BE'!$T$12+'TUSD BE'!$AB$12+'TUSD BE'!$AD$12+'TUSD BE'!$AL$12</f>
        <v>106.0068127281037</v>
      </c>
    </row>
    <row r="13" spans="1:42" ht="11.25" customHeight="1" x14ac:dyDescent="0.25">
      <c r="A13" s="102"/>
      <c r="B13" s="102"/>
      <c r="C13" s="102"/>
      <c r="D13" s="102"/>
      <c r="E13" s="102" t="s">
        <v>78</v>
      </c>
      <c r="F13" s="102" t="s">
        <v>25</v>
      </c>
      <c r="G13" s="17" t="s">
        <v>72</v>
      </c>
      <c r="H13" s="17" t="s">
        <v>71</v>
      </c>
      <c r="I13" s="17">
        <f>'MERCADO TUSD'!$U$10</f>
        <v>0</v>
      </c>
      <c r="J13" s="15"/>
      <c r="L13" s="12">
        <f>'TUSD BE'!$L$13*'TUSD BF'!$L$58</f>
        <v>0</v>
      </c>
      <c r="M13" s="12">
        <f>'TUSD BE'!$M$13*'TUSD BF'!$M$58</f>
        <v>0</v>
      </c>
      <c r="N13" s="12">
        <f ca="1">'TUSD BE'!$N$13*'TUSD BF'!$N$58</f>
        <v>0</v>
      </c>
      <c r="O13" s="12">
        <f>'TUSD BE'!$O$13*'TUSD BF'!$O$58</f>
        <v>0</v>
      </c>
      <c r="P13" s="12">
        <f>'TUSD BE'!$P$13*'TUSD BF'!$P$58</f>
        <v>0</v>
      </c>
      <c r="Q13" s="12">
        <f>'TUSD BE'!$Q$13*'TUSD BF'!$Q$58</f>
        <v>0</v>
      </c>
      <c r="R13" s="12">
        <f>'TUSD BE'!$R$13*'TUSD BF'!$R$58</f>
        <v>0</v>
      </c>
      <c r="S13" s="12">
        <f>'TUSD BE'!$R$13*'TUSD BF'!$S$58</f>
        <v>0</v>
      </c>
      <c r="T13" s="12">
        <f ca="1">SUM($L$13:$S$13)</f>
        <v>0</v>
      </c>
      <c r="U13" s="12">
        <f>'TUSD BE'!$U$13*'TUSD BF'!$U$58</f>
        <v>0</v>
      </c>
      <c r="V13" s="12">
        <f>'TUSD BE'!$V$13*'TUSD BF'!$V$58</f>
        <v>0</v>
      </c>
      <c r="W13" s="12">
        <f>'TUSD BE'!$W$13*'TUSD BF'!$W$58</f>
        <v>0</v>
      </c>
      <c r="X13" s="12">
        <f>'TUSD BE'!$X$13*'TUSD BF'!$X$58</f>
        <v>0</v>
      </c>
      <c r="Y13" s="12">
        <f>'TUSD BE'!$Y$13*'TUSD BF'!$Y$58</f>
        <v>0</v>
      </c>
      <c r="Z13" s="12">
        <f>'TUSD BE'!$Z$13*'TUSD BF'!$Z$58</f>
        <v>0</v>
      </c>
      <c r="AA13" s="12">
        <f>'TUSD BE'!$AA$13*'TUSD BF'!$AA$58</f>
        <v>0</v>
      </c>
      <c r="AB13" s="12">
        <f>SUM($U$13:$AA$13)</f>
        <v>0</v>
      </c>
      <c r="AC13" s="12">
        <f>'TUSD BE'!$AC$13*'TUSD BF'!$AC$58</f>
        <v>0</v>
      </c>
      <c r="AD13" s="12">
        <f>SUM($AC$13:$AC$13)</f>
        <v>0</v>
      </c>
      <c r="AE13" s="12">
        <f ca="1">$AO$13*$AO$55</f>
        <v>0</v>
      </c>
      <c r="AF13" s="12">
        <f ca="1">$AP$13*$AP$55</f>
        <v>0</v>
      </c>
      <c r="AG13" s="12">
        <f ca="1">SUM($AE$13:$AF$13)</f>
        <v>0</v>
      </c>
      <c r="AH13" s="12">
        <f>'TUSD BE'!$AH$13*'TUSD BF'!$AH$58</f>
        <v>0</v>
      </c>
      <c r="AI13" s="12">
        <f>'TUSD BE'!$AI$13*'TUSD BF'!$AI$58</f>
        <v>0</v>
      </c>
      <c r="AJ13" s="12">
        <f ca="1">'TUSD BE'!$AJ$13*'TUSD BF'!$AJ$58</f>
        <v>0</v>
      </c>
      <c r="AK13" s="12">
        <f ca="1">'TUSD BE'!$AK$13*'TUSD BF'!$AK$58</f>
        <v>0</v>
      </c>
      <c r="AL13" s="12">
        <f ca="1">SUM($AH$13:$AK$13)</f>
        <v>0</v>
      </c>
      <c r="AM13" s="12">
        <f ca="1">SUMIF($L$4:$AL$4,"SUBTOTAL",$L$13:$AL$13)</f>
        <v>0</v>
      </c>
      <c r="AO13" s="20">
        <f ca="1">+'TUSD BE'!$T$13+'TUSD BE'!$AB$13+'TUSD BE'!$AD$13+'TUSD BE'!$AL$13</f>
        <v>2795.9438298671653</v>
      </c>
      <c r="AP13" s="20">
        <f ca="1">+'TUSD BE'!$T$13+'TUSD BE'!$AB$13+'TUSD BE'!$AD$13+'TUSD BE'!$AL$13</f>
        <v>2795.9438298671653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17" t="s">
        <v>73</v>
      </c>
      <c r="H14" s="17" t="s">
        <v>71</v>
      </c>
      <c r="I14" s="17">
        <f>'MERCADO TUSD'!$U$11</f>
        <v>0</v>
      </c>
      <c r="J14" s="15"/>
      <c r="L14" s="12">
        <f>'TUSD BE'!$L$14*'TUSD BF'!$L$58</f>
        <v>0</v>
      </c>
      <c r="M14" s="12">
        <f>'TUSD BE'!$M$14*'TUSD BF'!$M$58</f>
        <v>0</v>
      </c>
      <c r="N14" s="12">
        <f ca="1">'TUSD BE'!$N$14*'TUSD BF'!$N$58</f>
        <v>0</v>
      </c>
      <c r="O14" s="12">
        <f>'TUSD BE'!$O$14*'TUSD BF'!$O$58</f>
        <v>0</v>
      </c>
      <c r="P14" s="12">
        <f>'TUSD BE'!$P$14*'TUSD BF'!$P$58</f>
        <v>0</v>
      </c>
      <c r="Q14" s="12">
        <f>'TUSD BE'!$Q$14*'TUSD BF'!$Q$58</f>
        <v>0</v>
      </c>
      <c r="R14" s="12">
        <f>'TUSD BE'!$R$14*'TUSD BF'!$R$58</f>
        <v>0</v>
      </c>
      <c r="S14" s="12">
        <f>'TUSD BE'!$R$14*'TUSD BF'!$S$58</f>
        <v>0</v>
      </c>
      <c r="T14" s="12">
        <f ca="1">SUM($L$14:$S$14)</f>
        <v>0</v>
      </c>
      <c r="U14" s="12">
        <f>'TUSD BE'!$U$14*'TUSD BF'!$U$58</f>
        <v>0</v>
      </c>
      <c r="V14" s="12">
        <f>'TUSD BE'!$V$14*'TUSD BF'!$V$58</f>
        <v>0</v>
      </c>
      <c r="W14" s="12">
        <f>'TUSD BE'!$W$14*'TUSD BF'!$W$58</f>
        <v>0</v>
      </c>
      <c r="X14" s="12">
        <f>'TUSD BE'!$X$14*'TUSD BF'!$X$58</f>
        <v>0</v>
      </c>
      <c r="Y14" s="12">
        <f>'TUSD BE'!$Y$14*'TUSD BF'!$Y$58</f>
        <v>0</v>
      </c>
      <c r="Z14" s="12">
        <f>'TUSD BE'!$Z$14*'TUSD BF'!$Z$58</f>
        <v>0</v>
      </c>
      <c r="AA14" s="12">
        <f>'TUSD BE'!$AA$14*'TUSD BF'!$AA$58</f>
        <v>0</v>
      </c>
      <c r="AB14" s="12">
        <f>SUM($U$14:$AA$14)</f>
        <v>0</v>
      </c>
      <c r="AC14" s="12">
        <f>'TUSD BE'!$AC$14*'TUSD BF'!$AC$58</f>
        <v>0</v>
      </c>
      <c r="AD14" s="12">
        <f>SUM($AC$14:$AC$14)</f>
        <v>0</v>
      </c>
      <c r="AE14" s="12">
        <f ca="1">$AO$14*$AO$55</f>
        <v>0</v>
      </c>
      <c r="AF14" s="12">
        <f ca="1">$AP$14*$AP$55</f>
        <v>0</v>
      </c>
      <c r="AG14" s="12">
        <f ca="1">SUM($AE$14:$AF$14)</f>
        <v>0</v>
      </c>
      <c r="AH14" s="12">
        <f>'TUSD BE'!$AH$14*'TUSD BF'!$AH$58</f>
        <v>0</v>
      </c>
      <c r="AI14" s="12">
        <f>'TUSD BE'!$AI$14*'TUSD BF'!$AI$58</f>
        <v>0</v>
      </c>
      <c r="AJ14" s="12">
        <f ca="1">'TUSD BE'!$AJ$14*'TUSD BF'!$AJ$58</f>
        <v>0</v>
      </c>
      <c r="AK14" s="12">
        <f ca="1">'TUSD BE'!$AK$14*'TUSD BF'!$AK$58</f>
        <v>0</v>
      </c>
      <c r="AL14" s="12">
        <f ca="1">SUM($AH$14:$AK$14)</f>
        <v>0</v>
      </c>
      <c r="AM14" s="12">
        <f ca="1">SUMIF($L$4:$AL$4,"SUBTOTAL",$L$14:$AL$14)</f>
        <v>0</v>
      </c>
      <c r="AO14" s="20">
        <f ca="1">+'TUSD BE'!$T$14+'TUSD BE'!$AB$14+'TUSD BE'!$AD$14+'TUSD BE'!$AL$14</f>
        <v>14.598686688719848</v>
      </c>
      <c r="AP14" s="20">
        <f ca="1">+'TUSD BE'!$T$14+'TUSD BE'!$AB$14+'TUSD BE'!$AD$14+'TUSD BE'!$AL$14</f>
        <v>14.598686688719848</v>
      </c>
    </row>
    <row r="15" spans="1:42" ht="11.25" customHeight="1" x14ac:dyDescent="0.25">
      <c r="A15" s="102" t="s">
        <v>80</v>
      </c>
      <c r="B15" s="102" t="s">
        <v>79</v>
      </c>
      <c r="C15" s="102" t="s">
        <v>25</v>
      </c>
      <c r="D15" s="102" t="s">
        <v>25</v>
      </c>
      <c r="E15" s="18" t="s">
        <v>81</v>
      </c>
      <c r="F15" s="18" t="s">
        <v>25</v>
      </c>
      <c r="G15" s="17" t="s">
        <v>9</v>
      </c>
      <c r="H15" s="17" t="s">
        <v>74</v>
      </c>
      <c r="I15" s="17">
        <f>'MERCADO TUSD'!$U$12+0.00000001</f>
        <v>1E-8</v>
      </c>
      <c r="J15" s="15"/>
      <c r="L15" s="12">
        <f>'TUSD BE'!$L$15*'TUSD BF'!$L$58</f>
        <v>0</v>
      </c>
      <c r="M15" s="12">
        <f>'TUSD BE'!$M$15*'TUSD BF'!$M$58</f>
        <v>0</v>
      </c>
      <c r="N15" s="12">
        <f ca="1">'TUSD BE'!$N$15*'TUSD BF'!$N$58</f>
        <v>0</v>
      </c>
      <c r="O15" s="12">
        <f>'TUSD BE'!$O$15*'TUSD BF'!$O$58</f>
        <v>0</v>
      </c>
      <c r="P15" s="12">
        <f>'TUSD BE'!$P$15*'TUSD BF'!$P$58</f>
        <v>0</v>
      </c>
      <c r="Q15" s="12">
        <f>'TUSD BE'!$Q$15*'TUSD BF'!$Q$58</f>
        <v>0</v>
      </c>
      <c r="R15" s="12">
        <f>'TUSD BE'!$R$15*'TUSD BF'!$R$58</f>
        <v>0</v>
      </c>
      <c r="S15" s="12">
        <f>'TUSD BE'!$R$15*'TUSD BF'!$S$58</f>
        <v>0</v>
      </c>
      <c r="T15" s="12">
        <f ca="1">SUM($L$15:$S$15)</f>
        <v>0</v>
      </c>
      <c r="U15" s="12">
        <f>'TUSD BE'!$U$15*'TUSD BF'!$U$58</f>
        <v>0</v>
      </c>
      <c r="V15" s="12">
        <f>'TUSD BE'!$V$15*'TUSD BF'!$V$58</f>
        <v>0</v>
      </c>
      <c r="W15" s="12">
        <f>'TUSD BE'!$W$15*'TUSD BF'!$W$58</f>
        <v>0</v>
      </c>
      <c r="X15" s="12">
        <f>'TUSD BE'!$X$15*'TUSD BF'!$X$58</f>
        <v>0</v>
      </c>
      <c r="Y15" s="12">
        <f>'TUSD BE'!$Y$15*'TUSD BF'!$Y$58</f>
        <v>0</v>
      </c>
      <c r="Z15" s="12">
        <f>'TUSD BE'!$Z$15*'TUSD BF'!$Z$58</f>
        <v>0</v>
      </c>
      <c r="AA15" s="12">
        <f>'TUSD BE'!$AA$15*'TUSD BF'!$AA$58</f>
        <v>0</v>
      </c>
      <c r="AB15" s="12">
        <f>SUM($U$15:$AA$15)</f>
        <v>0</v>
      </c>
      <c r="AC15" s="12">
        <f>'TUSD BE'!$AC$15*'TUSD BF'!$AC$58</f>
        <v>0</v>
      </c>
      <c r="AD15" s="12">
        <f>SUM($AC$15:$AC$15)</f>
        <v>0</v>
      </c>
      <c r="AE15" s="12">
        <f ca="1">$AO$15*$AO$55</f>
        <v>0</v>
      </c>
      <c r="AF15" s="12">
        <f ca="1">$AP$15*$AP$55</f>
        <v>0</v>
      </c>
      <c r="AG15" s="12">
        <f ca="1">SUM($AE$15:$AF$15)</f>
        <v>0</v>
      </c>
      <c r="AH15" s="12">
        <f>'TUSD BE'!$AH$15*'TUSD BF'!$AH$58</f>
        <v>0</v>
      </c>
      <c r="AI15" s="12">
        <f>'TUSD BE'!$AI$15*'TUSD BF'!$AI$58</f>
        <v>0</v>
      </c>
      <c r="AJ15" s="12">
        <f ca="1">'TUSD BE'!$AJ$15*'TUSD BF'!$AJ$58</f>
        <v>0</v>
      </c>
      <c r="AK15" s="12">
        <f ca="1">'TUSD BE'!$AK$15*'TUSD BF'!$AK$58</f>
        <v>0</v>
      </c>
      <c r="AL15" s="12">
        <f ca="1">SUM($AH$15:$AK$15)</f>
        <v>0</v>
      </c>
      <c r="AM15" s="12">
        <f ca="1">SUMIF($L$4:$AL$4,"SUBTOTAL",$L$15:$AL$15)</f>
        <v>0</v>
      </c>
      <c r="AO15" s="20">
        <f ca="1">+'TUSD BE'!$T$15+'TUSD BE'!$AB$15+'TUSD BE'!$AD$15+'TUSD BE'!$AL$15</f>
        <v>11.731864264794075</v>
      </c>
      <c r="AP15" s="20">
        <f ca="1">+'TUSD BE'!$T$15+'TUSD BE'!$AB$15+'TUSD BE'!$AD$15+'TUSD BE'!$AL$15</f>
        <v>11.731864264794075</v>
      </c>
    </row>
    <row r="16" spans="1:42" ht="11.25" customHeight="1" x14ac:dyDescent="0.25">
      <c r="A16" s="102"/>
      <c r="B16" s="102"/>
      <c r="C16" s="102"/>
      <c r="D16" s="102"/>
      <c r="E16" s="18" t="s">
        <v>82</v>
      </c>
      <c r="F16" s="18" t="s">
        <v>25</v>
      </c>
      <c r="G16" s="17" t="s">
        <v>9</v>
      </c>
      <c r="H16" s="17" t="s">
        <v>74</v>
      </c>
      <c r="I16" s="17">
        <f>'MERCADO TUSD'!$U$13+0.00000001</f>
        <v>1E-8</v>
      </c>
      <c r="J16" s="15"/>
      <c r="L16" s="12">
        <f>'TUSD BE'!$L$16*'TUSD BF'!$L$58</f>
        <v>0</v>
      </c>
      <c r="M16" s="12">
        <f>'TUSD BE'!$M$16*'TUSD BF'!$M$58</f>
        <v>0</v>
      </c>
      <c r="N16" s="12">
        <f ca="1">'TUSD BE'!$N$16*'TUSD BF'!$N$58</f>
        <v>0</v>
      </c>
      <c r="O16" s="12">
        <f>'TUSD BE'!$O$16*'TUSD BF'!$O$58</f>
        <v>0</v>
      </c>
      <c r="P16" s="12">
        <f>'TUSD BE'!$P$16*'TUSD BF'!$P$58</f>
        <v>0</v>
      </c>
      <c r="Q16" s="12">
        <f>'TUSD BE'!$Q$16*'TUSD BF'!$Q$58</f>
        <v>0</v>
      </c>
      <c r="R16" s="12">
        <f>'TUSD BE'!$R$16*'TUSD BF'!$R$58</f>
        <v>0</v>
      </c>
      <c r="S16" s="12">
        <f>'TUSD BE'!$R$16*'TUSD BF'!$S$58</f>
        <v>0</v>
      </c>
      <c r="T16" s="12">
        <f ca="1">SUM($L$16:$S$16)</f>
        <v>0</v>
      </c>
      <c r="U16" s="12">
        <f>'TUSD BE'!$U$16*'TUSD BF'!$U$58</f>
        <v>0</v>
      </c>
      <c r="V16" s="12">
        <f>'TUSD BE'!$V$16*'TUSD BF'!$V$58</f>
        <v>0</v>
      </c>
      <c r="W16" s="12">
        <f>'TUSD BE'!$W$16*'TUSD BF'!$W$58</f>
        <v>0</v>
      </c>
      <c r="X16" s="12">
        <f>'TUSD BE'!$X$16*'TUSD BF'!$X$58</f>
        <v>0</v>
      </c>
      <c r="Y16" s="12">
        <f>'TUSD BE'!$Y$16*'TUSD BF'!$Y$58</f>
        <v>0</v>
      </c>
      <c r="Z16" s="12">
        <f>'TUSD BE'!$Z$16*'TUSD BF'!$Z$58</f>
        <v>0</v>
      </c>
      <c r="AA16" s="12">
        <f>'TUSD BE'!$AA$16*'TUSD BF'!$AA$58</f>
        <v>0</v>
      </c>
      <c r="AB16" s="12">
        <f>SUM($U$16:$AA$16)</f>
        <v>0</v>
      </c>
      <c r="AC16" s="12">
        <f>'TUSD BE'!$AC$16*'TUSD BF'!$AC$58</f>
        <v>0</v>
      </c>
      <c r="AD16" s="12">
        <f>SUM($AC$16:$AC$16)</f>
        <v>0</v>
      </c>
      <c r="AE16" s="12">
        <f ca="1">$AO$16*$AO$55</f>
        <v>0</v>
      </c>
      <c r="AF16" s="12">
        <f ca="1">$AP$16*$AP$55</f>
        <v>0</v>
      </c>
      <c r="AG16" s="12">
        <f ca="1">SUM($AE$16:$AF$16)</f>
        <v>0</v>
      </c>
      <c r="AH16" s="12">
        <f>'TUSD BE'!$AH$16*'TUSD BF'!$AH$58</f>
        <v>0</v>
      </c>
      <c r="AI16" s="12">
        <f>'TUSD BE'!$AI$16*'TUSD BF'!$AI$58</f>
        <v>0</v>
      </c>
      <c r="AJ16" s="12">
        <f ca="1">'TUSD BE'!$AJ$16*'TUSD BF'!$AJ$58</f>
        <v>0</v>
      </c>
      <c r="AK16" s="12">
        <f ca="1">'TUSD BE'!$AK$16*'TUSD BF'!$AK$58</f>
        <v>0</v>
      </c>
      <c r="AL16" s="12">
        <f ca="1">SUM($AH$16:$AK$16)</f>
        <v>0</v>
      </c>
      <c r="AM16" s="12">
        <f ca="1">SUMIF($L$4:$AL$4,"SUBTOTAL",$L$16:$AL$16)</f>
        <v>0</v>
      </c>
      <c r="AO16" s="20">
        <f ca="1">+'TUSD BE'!$T$16+'TUSD BE'!$AB$16+'TUSD BE'!$AD$16+'TUSD BE'!$AL$16</f>
        <v>30.490875472327303</v>
      </c>
      <c r="AP16" s="20">
        <f ca="1">+'TUSD BE'!$T$16+'TUSD BE'!$AB$16+'TUSD BE'!$AD$16+'TUSD BE'!$AL$16</f>
        <v>30.490875472327303</v>
      </c>
    </row>
    <row r="17" spans="1:42" ht="11.25" customHeight="1" x14ac:dyDescent="0.25">
      <c r="A17" s="102" t="s">
        <v>22</v>
      </c>
      <c r="B17" s="102" t="s">
        <v>85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17" t="s">
        <v>72</v>
      </c>
      <c r="H17" s="17" t="s">
        <v>71</v>
      </c>
      <c r="I17" s="17">
        <f>'MERCADO TUSD'!$U$14</f>
        <v>0</v>
      </c>
      <c r="J17" s="15"/>
      <c r="L17" s="12">
        <f>'TUSD BE'!$L$17*'TUSD BF'!$L$58</f>
        <v>0</v>
      </c>
      <c r="M17" s="12">
        <f>'TUSD BE'!$M$17*'TUSD BF'!$M$58</f>
        <v>0</v>
      </c>
      <c r="N17" s="12">
        <f ca="1">'TUSD BE'!$N$17*'TUSD BF'!$N$58</f>
        <v>0</v>
      </c>
      <c r="O17" s="12">
        <f>'TUSD BE'!$O$17*'TUSD BF'!$O$58</f>
        <v>0</v>
      </c>
      <c r="P17" s="12">
        <f>'TUSD BE'!$P$17*'TUSD BF'!$P$58</f>
        <v>0</v>
      </c>
      <c r="Q17" s="12">
        <f>'TUSD BE'!$Q$17*'TUSD BF'!$Q$58</f>
        <v>0</v>
      </c>
      <c r="R17" s="12">
        <f>'TUSD BE'!$R$17*'TUSD BF'!$R$58</f>
        <v>0</v>
      </c>
      <c r="S17" s="12">
        <f>'TUSD BE'!$R$17*'TUSD BF'!$S$58</f>
        <v>0</v>
      </c>
      <c r="T17" s="12">
        <f ca="1">SUM($L$17:$S$17)</f>
        <v>0</v>
      </c>
      <c r="U17" s="12">
        <f>'TUSD BE'!$U$17*'TUSD BF'!$U$58</f>
        <v>0</v>
      </c>
      <c r="V17" s="12">
        <f>'TUSD BE'!$V$17*'TUSD BF'!$V$58</f>
        <v>0</v>
      </c>
      <c r="W17" s="12">
        <f>'TUSD BE'!$W$17*'TUSD BF'!$W$58</f>
        <v>0</v>
      </c>
      <c r="X17" s="12">
        <f>'TUSD BE'!$X$17*'TUSD BF'!$X$58</f>
        <v>0</v>
      </c>
      <c r="Y17" s="12">
        <f>'TUSD BE'!$Y$17*'TUSD BF'!$Y$58</f>
        <v>0</v>
      </c>
      <c r="Z17" s="12">
        <f>'TUSD BE'!$Z$17*'TUSD BF'!$Z$58</f>
        <v>0</v>
      </c>
      <c r="AA17" s="12">
        <f>'TUSD BE'!$AA$17*'TUSD BF'!$AA$58</f>
        <v>0</v>
      </c>
      <c r="AB17" s="12">
        <f>SUM($U$17:$AA$17)</f>
        <v>0</v>
      </c>
      <c r="AC17" s="12">
        <f>'TUSD BE'!$AC$17*'TUSD BF'!$AC$58</f>
        <v>0</v>
      </c>
      <c r="AD17" s="12">
        <f>SUM($AC$17:$AC$17)</f>
        <v>0</v>
      </c>
      <c r="AE17" s="12">
        <f ca="1">$AO$17*$AO$55</f>
        <v>0</v>
      </c>
      <c r="AF17" s="12">
        <f ca="1">$AP$17*$AP$55</f>
        <v>0</v>
      </c>
      <c r="AG17" s="12">
        <f ca="1">SUM($AE$17:$AF$17)</f>
        <v>0</v>
      </c>
      <c r="AH17" s="12">
        <f>'TUSD BE'!$AH$17*'TUSD BF'!$AH$58</f>
        <v>0</v>
      </c>
      <c r="AI17" s="12">
        <f>'TUSD BE'!$AI$17*'TUSD BF'!$AI$58</f>
        <v>0</v>
      </c>
      <c r="AJ17" s="12">
        <f ca="1">'TUSD BE'!$AJ$17*'TUSD BF'!$AJ$58</f>
        <v>0</v>
      </c>
      <c r="AK17" s="12">
        <f ca="1">'TUSD BE'!$AK$17*'TUSD BF'!$AK$58</f>
        <v>0</v>
      </c>
      <c r="AL17" s="12">
        <f ca="1">SUM($AH$17:$AK$17)</f>
        <v>0</v>
      </c>
      <c r="AM17" s="12">
        <f ca="1">SUMIF($L$4:$AL$4,"SUBTOTAL",$L$17:$AL$17)</f>
        <v>0</v>
      </c>
      <c r="AO17" s="20">
        <f ca="1">+'TUSD BE'!$T$17+'TUSD BE'!$AB$17+'TUSD BE'!$AD$17+'TUSD BE'!$AL$17</f>
        <v>1841.8537835237873</v>
      </c>
      <c r="AP17" s="20">
        <f ca="1">+'TUSD BE'!$T$17+'TUSD BE'!$AB$17+'TUSD BE'!$AD$17+'TUSD BE'!$AL$17</f>
        <v>1841.8537835237873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17" t="s">
        <v>83</v>
      </c>
      <c r="H18" s="17" t="s">
        <v>71</v>
      </c>
      <c r="I18" s="17">
        <f>'MERCADO TUSD'!$U$15</f>
        <v>0</v>
      </c>
      <c r="J18" s="15"/>
      <c r="L18" s="12">
        <f>'TUSD BE'!$L$18*'TUSD BF'!$L$58</f>
        <v>0</v>
      </c>
      <c r="M18" s="12">
        <f>'TUSD BE'!$M$18*'TUSD BF'!$M$58</f>
        <v>0</v>
      </c>
      <c r="N18" s="12">
        <f ca="1">'TUSD BE'!$N$18*'TUSD BF'!$N$58</f>
        <v>0</v>
      </c>
      <c r="O18" s="12">
        <f>'TUSD BE'!$O$18*'TUSD BF'!$O$58</f>
        <v>0</v>
      </c>
      <c r="P18" s="12">
        <f>'TUSD BE'!$P$18*'TUSD BF'!$P$58</f>
        <v>0</v>
      </c>
      <c r="Q18" s="12">
        <f>'TUSD BE'!$Q$18*'TUSD BF'!$Q$58</f>
        <v>0</v>
      </c>
      <c r="R18" s="12">
        <f>'TUSD BE'!$R$18*'TUSD BF'!$R$58</f>
        <v>0</v>
      </c>
      <c r="S18" s="12">
        <f>'TUSD BE'!$R$18*'TUSD BF'!$S$58</f>
        <v>0</v>
      </c>
      <c r="T18" s="12">
        <f ca="1">SUM($L$18:$S$18)</f>
        <v>0</v>
      </c>
      <c r="U18" s="12">
        <f>'TUSD BE'!$U$18*'TUSD BF'!$U$58</f>
        <v>0</v>
      </c>
      <c r="V18" s="12">
        <f>'TUSD BE'!$V$18*'TUSD BF'!$V$58</f>
        <v>0</v>
      </c>
      <c r="W18" s="12">
        <f>'TUSD BE'!$W$18*'TUSD BF'!$W$58</f>
        <v>0</v>
      </c>
      <c r="X18" s="12">
        <f>'TUSD BE'!$X$18*'TUSD BF'!$X$58</f>
        <v>0</v>
      </c>
      <c r="Y18" s="12">
        <f>'TUSD BE'!$Y$18*'TUSD BF'!$Y$58</f>
        <v>0</v>
      </c>
      <c r="Z18" s="12">
        <f>'TUSD BE'!$Z$18*'TUSD BF'!$Z$58</f>
        <v>0</v>
      </c>
      <c r="AA18" s="12">
        <f>'TUSD BE'!$AA$18*'TUSD BF'!$AA$58</f>
        <v>0</v>
      </c>
      <c r="AB18" s="12">
        <f>SUM($U$18:$AA$18)</f>
        <v>0</v>
      </c>
      <c r="AC18" s="12">
        <f>'TUSD BE'!$AC$18*'TUSD BF'!$AC$58</f>
        <v>0</v>
      </c>
      <c r="AD18" s="12">
        <f>SUM($AC$18:$AC$18)</f>
        <v>0</v>
      </c>
      <c r="AE18" s="12">
        <f ca="1">$AO$18*$AO$55</f>
        <v>0</v>
      </c>
      <c r="AF18" s="12">
        <f ca="1">$AP$18*$AP$55</f>
        <v>0</v>
      </c>
      <c r="AG18" s="12">
        <f ca="1">SUM($AE$18:$AF$18)</f>
        <v>0</v>
      </c>
      <c r="AH18" s="12">
        <f>'TUSD BE'!$AH$18*'TUSD BF'!$AH$58</f>
        <v>0</v>
      </c>
      <c r="AI18" s="12">
        <f>'TUSD BE'!$AI$18*'TUSD BF'!$AI$58</f>
        <v>0</v>
      </c>
      <c r="AJ18" s="12">
        <f ca="1">'TUSD BE'!$AJ$18*'TUSD BF'!$AJ$58</f>
        <v>0</v>
      </c>
      <c r="AK18" s="12">
        <f ca="1">'TUSD BE'!$AK$18*'TUSD BF'!$AK$58</f>
        <v>0</v>
      </c>
      <c r="AL18" s="12">
        <f ca="1">SUM($AH$18:$AK$18)</f>
        <v>0</v>
      </c>
      <c r="AM18" s="12">
        <f ca="1">SUMIF($L$4:$AL$4,"SUBTOTAL",$L$18:$AL$18)</f>
        <v>0</v>
      </c>
      <c r="AO18" s="20">
        <f ca="1">+'TUSD BE'!$T$18+'TUSD BE'!$AB$18+'TUSD BE'!$AD$18+'TUSD BE'!$AL$18</f>
        <v>1159.7384190114717</v>
      </c>
      <c r="AP18" s="20">
        <f ca="1">+'TUSD BE'!$T$18+'TUSD BE'!$AB$18+'TUSD BE'!$AD$18+'TUSD BE'!$AL$18</f>
        <v>1159.7384190114717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17" t="s">
        <v>73</v>
      </c>
      <c r="H19" s="17" t="s">
        <v>71</v>
      </c>
      <c r="I19" s="17">
        <f>'MERCADO TUSD'!$U$16</f>
        <v>0</v>
      </c>
      <c r="J19" s="15"/>
      <c r="L19" s="12">
        <f>'TUSD BE'!$L$19*'TUSD BF'!$L$58</f>
        <v>0</v>
      </c>
      <c r="M19" s="12">
        <f>'TUSD BE'!$M$19*'TUSD BF'!$M$58</f>
        <v>0</v>
      </c>
      <c r="N19" s="12">
        <f ca="1">'TUSD BE'!$N$19*'TUSD BF'!$N$58</f>
        <v>0</v>
      </c>
      <c r="O19" s="12">
        <f>'TUSD BE'!$O$19*'TUSD BF'!$O$58</f>
        <v>0</v>
      </c>
      <c r="P19" s="12">
        <f>'TUSD BE'!$P$19*'TUSD BF'!$P$58</f>
        <v>0</v>
      </c>
      <c r="Q19" s="12">
        <f>'TUSD BE'!$Q$19*'TUSD BF'!$Q$58</f>
        <v>0</v>
      </c>
      <c r="R19" s="12">
        <f>'TUSD BE'!$R$19*'TUSD BF'!$R$58</f>
        <v>0</v>
      </c>
      <c r="S19" s="12">
        <f>'TUSD BE'!$R$19*'TUSD BF'!$S$58</f>
        <v>0</v>
      </c>
      <c r="T19" s="12">
        <f ca="1">SUM($L$19:$S$19)</f>
        <v>0</v>
      </c>
      <c r="U19" s="12">
        <f>'TUSD BE'!$U$19*'TUSD BF'!$U$58</f>
        <v>0</v>
      </c>
      <c r="V19" s="12">
        <f>'TUSD BE'!$V$19*'TUSD BF'!$V$58</f>
        <v>0</v>
      </c>
      <c r="W19" s="12">
        <f>'TUSD BE'!$W$19*'TUSD BF'!$W$58</f>
        <v>0</v>
      </c>
      <c r="X19" s="12">
        <f>'TUSD BE'!$X$19*'TUSD BF'!$X$58</f>
        <v>0</v>
      </c>
      <c r="Y19" s="12">
        <f>'TUSD BE'!$Y$19*'TUSD BF'!$Y$58</f>
        <v>0</v>
      </c>
      <c r="Z19" s="12">
        <f>'TUSD BE'!$Z$19*'TUSD BF'!$Z$58</f>
        <v>0</v>
      </c>
      <c r="AA19" s="12">
        <f>'TUSD BE'!$AA$19*'TUSD BF'!$AA$58</f>
        <v>0</v>
      </c>
      <c r="AB19" s="12">
        <f>SUM($U$19:$AA$19)</f>
        <v>0</v>
      </c>
      <c r="AC19" s="12">
        <f>'TUSD BE'!$AC$19*'TUSD BF'!$AC$58</f>
        <v>0</v>
      </c>
      <c r="AD19" s="12">
        <f>SUM($AC$19:$AC$19)</f>
        <v>0</v>
      </c>
      <c r="AE19" s="12">
        <f ca="1">$AO$19*$AO$55</f>
        <v>0</v>
      </c>
      <c r="AF19" s="12">
        <f ca="1">$AP$19*$AP$55</f>
        <v>0</v>
      </c>
      <c r="AG19" s="12">
        <f ca="1">SUM($AE$19:$AF$19)</f>
        <v>0</v>
      </c>
      <c r="AH19" s="12">
        <f>'TUSD BE'!$AH$19*'TUSD BF'!$AH$58</f>
        <v>0</v>
      </c>
      <c r="AI19" s="12">
        <f>'TUSD BE'!$AI$19*'TUSD BF'!$AI$58</f>
        <v>0</v>
      </c>
      <c r="AJ19" s="12">
        <f ca="1">'TUSD BE'!$AJ$19*'TUSD BF'!$AJ$58</f>
        <v>0</v>
      </c>
      <c r="AK19" s="12">
        <f ca="1">'TUSD BE'!$AK$19*'TUSD BF'!$AK$58</f>
        <v>0</v>
      </c>
      <c r="AL19" s="12">
        <f ca="1">SUM($AH$19:$AK$19)</f>
        <v>0</v>
      </c>
      <c r="AM19" s="12">
        <f ca="1">SUMIF($L$4:$AL$4,"SUBTOTAL",$L$19:$AL$19)</f>
        <v>0</v>
      </c>
      <c r="AO19" s="20">
        <f ca="1">+'TUSD BE'!$T$19+'TUSD BE'!$AB$19+'TUSD BE'!$AD$19+'TUSD BE'!$AL$19</f>
        <v>477.56034722445094</v>
      </c>
      <c r="AP19" s="20">
        <f ca="1">+'TUSD BE'!$T$19+'TUSD BE'!$AB$19+'TUSD BE'!$AD$19+'TUSD BE'!$AL$19</f>
        <v>477.56034722445094</v>
      </c>
    </row>
    <row r="20" spans="1:42" ht="11.25" customHeight="1" x14ac:dyDescent="0.25">
      <c r="A20" s="102"/>
      <c r="B20" s="102" t="s">
        <v>23</v>
      </c>
      <c r="C20" s="102" t="s">
        <v>24</v>
      </c>
      <c r="D20" s="18" t="s">
        <v>24</v>
      </c>
      <c r="E20" s="18" t="s">
        <v>25</v>
      </c>
      <c r="F20" s="18" t="s">
        <v>25</v>
      </c>
      <c r="G20" s="17" t="s">
        <v>77</v>
      </c>
      <c r="H20" s="17" t="s">
        <v>71</v>
      </c>
      <c r="I20" s="17">
        <f>'MERCADO TUSD'!$U$17</f>
        <v>13817.398000000001</v>
      </c>
      <c r="J20" s="15"/>
      <c r="L20" s="12">
        <f>'TUSD BE'!$L$20*'TUSD BF'!$L$58</f>
        <v>0</v>
      </c>
      <c r="M20" s="12">
        <f>'TUSD BE'!$M$20*'TUSD BF'!$M$58</f>
        <v>0</v>
      </c>
      <c r="N20" s="12">
        <f ca="1">'TUSD BE'!$N$20*'TUSD BF'!$N$58</f>
        <v>0</v>
      </c>
      <c r="O20" s="12">
        <f>'TUSD BE'!$O$20*'TUSD BF'!$O$58</f>
        <v>0</v>
      </c>
      <c r="P20" s="12">
        <f>'TUSD BE'!$P$20*'TUSD BF'!$P$58</f>
        <v>0</v>
      </c>
      <c r="Q20" s="12">
        <f>'TUSD BE'!$Q$20*'TUSD BF'!$Q$58</f>
        <v>0</v>
      </c>
      <c r="R20" s="12">
        <f>'TUSD BE'!$R$20*'TUSD BF'!$R$58</f>
        <v>0</v>
      </c>
      <c r="S20" s="12">
        <f>'TUSD BE'!$R$20*'TUSD BF'!$S$58</f>
        <v>0</v>
      </c>
      <c r="T20" s="12">
        <f ca="1">SUM($L$20:$S$20)</f>
        <v>0</v>
      </c>
      <c r="U20" s="12">
        <f>'TUSD BE'!$U$20*'TUSD BF'!$U$58</f>
        <v>0</v>
      </c>
      <c r="V20" s="12">
        <f>'TUSD BE'!$V$20*'TUSD BF'!$V$58</f>
        <v>0</v>
      </c>
      <c r="W20" s="12">
        <f>'TUSD BE'!$W$20*'TUSD BF'!$W$58</f>
        <v>0</v>
      </c>
      <c r="X20" s="12">
        <f>'TUSD BE'!$X$20*'TUSD BF'!$X$58</f>
        <v>0</v>
      </c>
      <c r="Y20" s="12">
        <f>'TUSD BE'!$Y$20*'TUSD BF'!$Y$58</f>
        <v>0</v>
      </c>
      <c r="Z20" s="12">
        <f>'TUSD BE'!$Z$20*'TUSD BF'!$Z$58</f>
        <v>0</v>
      </c>
      <c r="AA20" s="12">
        <f>'TUSD BE'!$AA$20*'TUSD BF'!$AA$58</f>
        <v>0</v>
      </c>
      <c r="AB20" s="12">
        <f>SUM($U$20:$AA$20)</f>
        <v>0</v>
      </c>
      <c r="AC20" s="12">
        <f>'TUSD BE'!$AC$20*'TUSD BF'!$AC$58</f>
        <v>0</v>
      </c>
      <c r="AD20" s="12">
        <f>SUM($AC$20:$AC$20)</f>
        <v>0</v>
      </c>
      <c r="AE20" s="12">
        <f ca="1">$AO$20*$AO$55</f>
        <v>0</v>
      </c>
      <c r="AF20" s="12">
        <f ca="1">$AP$20*$AP$55</f>
        <v>0</v>
      </c>
      <c r="AG20" s="12">
        <f ca="1">SUM($AE$20:$AF$20)</f>
        <v>0</v>
      </c>
      <c r="AH20" s="12">
        <f>'TUSD BE'!$AH$20*'TUSD BF'!$AH$58</f>
        <v>0</v>
      </c>
      <c r="AI20" s="12">
        <f>'TUSD BE'!$AI$20*'TUSD BF'!$AI$58</f>
        <v>0</v>
      </c>
      <c r="AJ20" s="12">
        <f ca="1">'TUSD BE'!$AJ$20*'TUSD BF'!$AJ$58</f>
        <v>0</v>
      </c>
      <c r="AK20" s="12">
        <f ca="1">'TUSD BE'!$AK$20*'TUSD BF'!$AK$58</f>
        <v>0</v>
      </c>
      <c r="AL20" s="12">
        <f ca="1">SUM($AH$20:$AK$20)</f>
        <v>0</v>
      </c>
      <c r="AM20" s="12">
        <f ca="1">SUMIF($L$4:$AL$4,"SUBTOTAL",$L$20:$AL$20)</f>
        <v>0</v>
      </c>
      <c r="AO20" s="20">
        <f ca="1">+'TUSD BE'!$T$20+'TUSD BE'!$AB$20+'TUSD BE'!$AD$20+'TUSD BE'!$AL$20</f>
        <v>818.64916748970745</v>
      </c>
      <c r="AP20" s="20">
        <f ca="1">+'TUSD BE'!$T$20+'TUSD BE'!$AB$20+'TUSD BE'!$AD$20+'TUSD BE'!$AL$20</f>
        <v>818.64916748970745</v>
      </c>
    </row>
    <row r="21" spans="1:42" ht="11.25" customHeight="1" x14ac:dyDescent="0.25">
      <c r="A21" s="102"/>
      <c r="B21" s="102"/>
      <c r="C21" s="102"/>
      <c r="D21" s="18" t="s">
        <v>29</v>
      </c>
      <c r="E21" s="18" t="s">
        <v>25</v>
      </c>
      <c r="F21" s="18" t="s">
        <v>25</v>
      </c>
      <c r="G21" s="17" t="s">
        <v>77</v>
      </c>
      <c r="H21" s="17" t="s">
        <v>71</v>
      </c>
      <c r="I21" s="17">
        <f>'MERCADO TUSD'!$U$18</f>
        <v>152.22200000000001</v>
      </c>
      <c r="J21" s="15"/>
      <c r="L21" s="12">
        <f>'TUSD BE'!$L$21*'TUSD BF'!$L$58</f>
        <v>0</v>
      </c>
      <c r="M21" s="12">
        <f>'TUSD BE'!$M$21*'TUSD BF'!$M$58</f>
        <v>0</v>
      </c>
      <c r="N21" s="12">
        <f ca="1">'TUSD BE'!$N$21*'TUSD BF'!$N$58</f>
        <v>0</v>
      </c>
      <c r="O21" s="12">
        <f>'TUSD BE'!$O$21*'TUSD BF'!$O$58</f>
        <v>0</v>
      </c>
      <c r="P21" s="12">
        <f>'TUSD BE'!$P$21*'TUSD BF'!$P$58</f>
        <v>0</v>
      </c>
      <c r="Q21" s="12">
        <f>'TUSD BE'!$Q$21*'TUSD BF'!$Q$58</f>
        <v>0</v>
      </c>
      <c r="R21" s="12">
        <f>'TUSD BE'!$R$21*'TUSD BF'!$R$58</f>
        <v>0</v>
      </c>
      <c r="S21" s="12">
        <f>'TUSD BE'!$R$21*'TUSD BF'!$S$58</f>
        <v>0</v>
      </c>
      <c r="T21" s="12">
        <f ca="1">SUM($L$21:$S$21)</f>
        <v>0</v>
      </c>
      <c r="U21" s="12">
        <f>'TUSD BE'!$U$21*'TUSD BF'!$U$58</f>
        <v>0</v>
      </c>
      <c r="V21" s="12">
        <f>'TUSD BE'!$V$21*'TUSD BF'!$V$58</f>
        <v>0</v>
      </c>
      <c r="W21" s="12">
        <f>'TUSD BE'!$W$21*'TUSD BF'!$W$58</f>
        <v>0</v>
      </c>
      <c r="X21" s="12">
        <f>'TUSD BE'!$X$21*'TUSD BF'!$X$58</f>
        <v>0</v>
      </c>
      <c r="Y21" s="12">
        <f>'TUSD BE'!$Y$21*'TUSD BF'!$Y$58</f>
        <v>0</v>
      </c>
      <c r="Z21" s="12">
        <f>'TUSD BE'!$Z$21*'TUSD BF'!$Z$58</f>
        <v>0</v>
      </c>
      <c r="AA21" s="12">
        <f>'TUSD BE'!$AA$21*'TUSD BF'!$AA$58</f>
        <v>0</v>
      </c>
      <c r="AB21" s="12">
        <f>SUM($U$21:$AA$21)</f>
        <v>0</v>
      </c>
      <c r="AC21" s="12">
        <f>'TUSD BE'!$AC$21*'TUSD BF'!$AC$58</f>
        <v>0</v>
      </c>
      <c r="AD21" s="12">
        <f>SUM($AC$21:$AC$21)</f>
        <v>0</v>
      </c>
      <c r="AE21" s="12">
        <f ca="1">$AO$21*$AO$55</f>
        <v>0</v>
      </c>
      <c r="AF21" s="12">
        <f ca="1">$AP$21*$AP$55</f>
        <v>0</v>
      </c>
      <c r="AG21" s="12">
        <f ca="1">SUM($AE$21:$AF$21)</f>
        <v>0</v>
      </c>
      <c r="AH21" s="12">
        <f>'TUSD BE'!$AH$21*'TUSD BF'!$AH$58</f>
        <v>0</v>
      </c>
      <c r="AI21" s="12">
        <f>'TUSD BE'!$AI$21*'TUSD BF'!$AI$58</f>
        <v>0</v>
      </c>
      <c r="AJ21" s="12">
        <f ca="1">'TUSD BE'!$AJ$21*'TUSD BF'!$AJ$58</f>
        <v>0</v>
      </c>
      <c r="AK21" s="12">
        <f ca="1">'TUSD BE'!$AK$21*'TUSD BF'!$AK$58</f>
        <v>0</v>
      </c>
      <c r="AL21" s="12">
        <f ca="1">SUM($AH$21:$AK$21)</f>
        <v>0</v>
      </c>
      <c r="AM21" s="12">
        <f ca="1">SUMIF($L$4:$AL$4,"SUBTOTAL",$L$21:$AL$21)</f>
        <v>0</v>
      </c>
      <c r="AO21" s="20">
        <f ca="1">+'TUSD BE'!$T$21+'TUSD BE'!$AB$21+'TUSD BE'!$AD$21+'TUSD BE'!$AL$21</f>
        <v>712.58690214295189</v>
      </c>
      <c r="AP21" s="20">
        <f ca="1">+'TUSD BE'!$T$21+'TUSD BE'!$AB$21+'TUSD BE'!$AD$21+'TUSD BE'!$AL$21</f>
        <v>712.58690214295189</v>
      </c>
    </row>
    <row r="22" spans="1:42" ht="11.25" customHeight="1" x14ac:dyDescent="0.25">
      <c r="A22" s="102"/>
      <c r="B22" s="102"/>
      <c r="C22" s="102"/>
      <c r="D22" s="18" t="s">
        <v>30</v>
      </c>
      <c r="E22" s="18" t="s">
        <v>25</v>
      </c>
      <c r="F22" s="18" t="s">
        <v>25</v>
      </c>
      <c r="G22" s="17" t="s">
        <v>77</v>
      </c>
      <c r="H22" s="17" t="s">
        <v>71</v>
      </c>
      <c r="I22" s="17">
        <f>'MERCADO TUSD'!$U$19</f>
        <v>271.62199999999996</v>
      </c>
      <c r="J22" s="15"/>
      <c r="L22" s="12">
        <f>'TUSD BE'!$L$22*'TUSD BF'!$L$58</f>
        <v>0</v>
      </c>
      <c r="M22" s="12">
        <f>'TUSD BE'!$M$22*'TUSD BF'!$M$58</f>
        <v>0</v>
      </c>
      <c r="N22" s="12">
        <f ca="1">'TUSD BE'!$N$22*'TUSD BF'!$N$58</f>
        <v>0</v>
      </c>
      <c r="O22" s="12">
        <f>'TUSD BE'!$O$22*'TUSD BF'!$O$58</f>
        <v>0</v>
      </c>
      <c r="P22" s="12">
        <f>'TUSD BE'!$P$22*'TUSD BF'!$P$58</f>
        <v>0</v>
      </c>
      <c r="Q22" s="12">
        <f>'TUSD BE'!$Q$22*'TUSD BF'!$Q$58</f>
        <v>0</v>
      </c>
      <c r="R22" s="12">
        <f>'TUSD BE'!$R$22*'TUSD BF'!$R$58</f>
        <v>0</v>
      </c>
      <c r="S22" s="12">
        <f>'TUSD BE'!$R$22*'TUSD BF'!$S$58</f>
        <v>0</v>
      </c>
      <c r="T22" s="12">
        <f ca="1">SUM($L$22:$S$22)</f>
        <v>0</v>
      </c>
      <c r="U22" s="12">
        <f>'TUSD BE'!$U$22*'TUSD BF'!$U$58</f>
        <v>0</v>
      </c>
      <c r="V22" s="12">
        <f>'TUSD BE'!$V$22*'TUSD BF'!$V$58</f>
        <v>0</v>
      </c>
      <c r="W22" s="12">
        <f>'TUSD BE'!$W$22*'TUSD BF'!$W$58</f>
        <v>0</v>
      </c>
      <c r="X22" s="12">
        <f>'TUSD BE'!$X$22*'TUSD BF'!$X$58</f>
        <v>0</v>
      </c>
      <c r="Y22" s="12">
        <f>'TUSD BE'!$Y$22*'TUSD BF'!$Y$58</f>
        <v>0</v>
      </c>
      <c r="Z22" s="12">
        <f>'TUSD BE'!$Z$22*'TUSD BF'!$Z$58</f>
        <v>0</v>
      </c>
      <c r="AA22" s="12">
        <f>'TUSD BE'!$AA$22*'TUSD BF'!$AA$58</f>
        <v>0</v>
      </c>
      <c r="AB22" s="12">
        <f>SUM($U$22:$AA$22)</f>
        <v>0</v>
      </c>
      <c r="AC22" s="12">
        <f>'TUSD BE'!$AC$22*'TUSD BF'!$AC$58</f>
        <v>0</v>
      </c>
      <c r="AD22" s="12">
        <f>SUM($AC$22:$AC$22)</f>
        <v>0</v>
      </c>
      <c r="AE22" s="12">
        <f ca="1">$AO$22*$AO$55</f>
        <v>0</v>
      </c>
      <c r="AF22" s="12">
        <f ca="1">$AP$22*$AP$55</f>
        <v>0</v>
      </c>
      <c r="AG22" s="12">
        <f ca="1">SUM($AE$22:$AF$22)</f>
        <v>0</v>
      </c>
      <c r="AH22" s="12">
        <f>'TUSD BE'!$AH$22*'TUSD BF'!$AH$58</f>
        <v>0</v>
      </c>
      <c r="AI22" s="12">
        <f>'TUSD BE'!$AI$22*'TUSD BF'!$AI$58</f>
        <v>0</v>
      </c>
      <c r="AJ22" s="12">
        <f ca="1">'TUSD BE'!$AJ$22*'TUSD BF'!$AJ$58</f>
        <v>0</v>
      </c>
      <c r="AK22" s="12">
        <f ca="1">'TUSD BE'!$AK$22*'TUSD BF'!$AK$58</f>
        <v>0</v>
      </c>
      <c r="AL22" s="12">
        <f ca="1">SUM($AH$22:$AK$22)</f>
        <v>0</v>
      </c>
      <c r="AM22" s="12">
        <f ca="1">SUMIF($L$4:$AL$4,"SUBTOTAL",$L$22:$AL$22)</f>
        <v>0</v>
      </c>
      <c r="AO22" s="20">
        <f ca="1">+'TUSD BE'!$T$22+'TUSD BE'!$AB$22+'TUSD BE'!$AD$22+'TUSD BE'!$AL$22</f>
        <v>712.58690214295189</v>
      </c>
      <c r="AP22" s="20">
        <f ca="1">+'TUSD BE'!$T$22+'TUSD BE'!$AB$22+'TUSD BE'!$AD$22+'TUSD BE'!$AL$22</f>
        <v>712.58690214295189</v>
      </c>
    </row>
    <row r="23" spans="1:42" ht="11.25" customHeight="1" x14ac:dyDescent="0.25">
      <c r="A23" s="102"/>
      <c r="B23" s="102"/>
      <c r="C23" s="102"/>
      <c r="D23" s="18" t="s">
        <v>31</v>
      </c>
      <c r="E23" s="18" t="s">
        <v>25</v>
      </c>
      <c r="F23" s="18" t="s">
        <v>25</v>
      </c>
      <c r="G23" s="17" t="s">
        <v>77</v>
      </c>
      <c r="H23" s="17" t="s">
        <v>71</v>
      </c>
      <c r="I23" s="17">
        <f>'MERCADO TUSD'!$U$20</f>
        <v>195.72200000000001</v>
      </c>
      <c r="J23" s="15"/>
      <c r="L23" s="12">
        <f>'TUSD BE'!$L$23*'TUSD BF'!$L$58</f>
        <v>0</v>
      </c>
      <c r="M23" s="12">
        <f>'TUSD BE'!$M$23*'TUSD BF'!$M$58</f>
        <v>0</v>
      </c>
      <c r="N23" s="12">
        <f ca="1">'TUSD BE'!$N$23*'TUSD BF'!$N$58</f>
        <v>0</v>
      </c>
      <c r="O23" s="12">
        <f>'TUSD BE'!$O$23*'TUSD BF'!$O$58</f>
        <v>0</v>
      </c>
      <c r="P23" s="12">
        <f>'TUSD BE'!$P$23*'TUSD BF'!$P$58</f>
        <v>0</v>
      </c>
      <c r="Q23" s="12">
        <f>'TUSD BE'!$Q$23*'TUSD BF'!$Q$58</f>
        <v>0</v>
      </c>
      <c r="R23" s="12">
        <f>'TUSD BE'!$R$23*'TUSD BF'!$R$58</f>
        <v>0</v>
      </c>
      <c r="S23" s="12">
        <f>'TUSD BE'!$R$23*'TUSD BF'!$S$58</f>
        <v>0</v>
      </c>
      <c r="T23" s="12">
        <f ca="1">SUM($L$23:$S$23)</f>
        <v>0</v>
      </c>
      <c r="U23" s="12">
        <f>'TUSD BE'!$U$23*'TUSD BF'!$U$58</f>
        <v>0</v>
      </c>
      <c r="V23" s="12">
        <f>'TUSD BE'!$V$23*'TUSD BF'!$V$58</f>
        <v>0</v>
      </c>
      <c r="W23" s="12">
        <f>'TUSD BE'!$W$23*'TUSD BF'!$W$58</f>
        <v>0</v>
      </c>
      <c r="X23" s="12">
        <f>'TUSD BE'!$X$23*'TUSD BF'!$X$58</f>
        <v>0</v>
      </c>
      <c r="Y23" s="12">
        <f>'TUSD BE'!$Y$23*'TUSD BF'!$Y$58</f>
        <v>0</v>
      </c>
      <c r="Z23" s="12">
        <f>'TUSD BE'!$Z$23*'TUSD BF'!$Z$58</f>
        <v>0</v>
      </c>
      <c r="AA23" s="12">
        <f>'TUSD BE'!$AA$23*'TUSD BF'!$AA$58</f>
        <v>0</v>
      </c>
      <c r="AB23" s="12">
        <f>SUM($U$23:$AA$23)</f>
        <v>0</v>
      </c>
      <c r="AC23" s="12">
        <f>'TUSD BE'!$AC$23*'TUSD BF'!$AC$58</f>
        <v>0</v>
      </c>
      <c r="AD23" s="12">
        <f>SUM($AC$23:$AC$23)</f>
        <v>0</v>
      </c>
      <c r="AE23" s="12">
        <f ca="1">$AO$23*$AO$55</f>
        <v>0</v>
      </c>
      <c r="AF23" s="12">
        <f ca="1">$AP$23*$AP$55</f>
        <v>0</v>
      </c>
      <c r="AG23" s="12">
        <f ca="1">SUM($AE$23:$AF$23)</f>
        <v>0</v>
      </c>
      <c r="AH23" s="12">
        <f>'TUSD BE'!$AH$23*'TUSD BF'!$AH$58</f>
        <v>0</v>
      </c>
      <c r="AI23" s="12">
        <f>'TUSD BE'!$AI$23*'TUSD BF'!$AI$58</f>
        <v>0</v>
      </c>
      <c r="AJ23" s="12">
        <f ca="1">'TUSD BE'!$AJ$23*'TUSD BF'!$AJ$58</f>
        <v>0</v>
      </c>
      <c r="AK23" s="12">
        <f ca="1">'TUSD BE'!$AK$23*'TUSD BF'!$AK$58</f>
        <v>0</v>
      </c>
      <c r="AL23" s="12">
        <f ca="1">SUM($AH$23:$AK$23)</f>
        <v>0</v>
      </c>
      <c r="AM23" s="12">
        <f ca="1">SUMIF($L$4:$AL$4,"SUBTOTAL",$L$23:$AL$23)</f>
        <v>0</v>
      </c>
      <c r="AO23" s="20">
        <f ca="1">+'TUSD BE'!$T$23+'TUSD BE'!$AB$23+'TUSD BE'!$AD$23+'TUSD BE'!$AL$23</f>
        <v>712.58690214295189</v>
      </c>
      <c r="AP23" s="20">
        <f ca="1">+'TUSD BE'!$T$23+'TUSD BE'!$AB$23+'TUSD BE'!$AD$23+'TUSD BE'!$AL$23</f>
        <v>712.58690214295189</v>
      </c>
    </row>
    <row r="24" spans="1:42" ht="11.25" customHeight="1" x14ac:dyDescent="0.25">
      <c r="A24" s="102"/>
      <c r="B24" s="102"/>
      <c r="C24" s="102"/>
      <c r="D24" s="18" t="s">
        <v>32</v>
      </c>
      <c r="E24" s="18" t="s">
        <v>25</v>
      </c>
      <c r="F24" s="18" t="s">
        <v>25</v>
      </c>
      <c r="G24" s="17" t="s">
        <v>77</v>
      </c>
      <c r="H24" s="17" t="s">
        <v>71</v>
      </c>
      <c r="I24" s="17">
        <f>'MERCADO TUSD'!$U$21</f>
        <v>56.320999999999998</v>
      </c>
      <c r="J24" s="15"/>
      <c r="L24" s="12">
        <f>'TUSD BE'!$L$24*'TUSD BF'!$L$58</f>
        <v>0</v>
      </c>
      <c r="M24" s="12">
        <f>'TUSD BE'!$M$24*'TUSD BF'!$M$58</f>
        <v>0</v>
      </c>
      <c r="N24" s="12">
        <f ca="1">'TUSD BE'!$N$24*'TUSD BF'!$N$58</f>
        <v>0</v>
      </c>
      <c r="O24" s="12">
        <f>'TUSD BE'!$O$24*'TUSD BF'!$O$58</f>
        <v>0</v>
      </c>
      <c r="P24" s="12">
        <f>'TUSD BE'!$P$24*'TUSD BF'!$P$58</f>
        <v>0</v>
      </c>
      <c r="Q24" s="12">
        <f>'TUSD BE'!$Q$24*'TUSD BF'!$Q$58</f>
        <v>0</v>
      </c>
      <c r="R24" s="12">
        <f>'TUSD BE'!$R$24*'TUSD BF'!$R$58</f>
        <v>0</v>
      </c>
      <c r="S24" s="12">
        <f>'TUSD BE'!$R$24*'TUSD BF'!$S$58</f>
        <v>0</v>
      </c>
      <c r="T24" s="12">
        <f ca="1">SUM($L$24:$S$24)</f>
        <v>0</v>
      </c>
      <c r="U24" s="12">
        <f>'TUSD BE'!$U$24*'TUSD BF'!$U$58</f>
        <v>0</v>
      </c>
      <c r="V24" s="12">
        <f>'TUSD BE'!$V$24*'TUSD BF'!$V$58</f>
        <v>0</v>
      </c>
      <c r="W24" s="12">
        <f>'TUSD BE'!$W$24*'TUSD BF'!$W$58</f>
        <v>0</v>
      </c>
      <c r="X24" s="12">
        <f>'TUSD BE'!$X$24*'TUSD BF'!$X$58</f>
        <v>0</v>
      </c>
      <c r="Y24" s="12">
        <f>'TUSD BE'!$Y$24*'TUSD BF'!$Y$58</f>
        <v>0</v>
      </c>
      <c r="Z24" s="12">
        <f>'TUSD BE'!$Z$24*'TUSD BF'!$Z$58</f>
        <v>0</v>
      </c>
      <c r="AA24" s="12">
        <f>'TUSD BE'!$AA$24*'TUSD BF'!$AA$58</f>
        <v>0</v>
      </c>
      <c r="AB24" s="12">
        <f>SUM($U$24:$AA$24)</f>
        <v>0</v>
      </c>
      <c r="AC24" s="12">
        <f>'TUSD BE'!$AC$24*'TUSD BF'!$AC$58</f>
        <v>0</v>
      </c>
      <c r="AD24" s="12">
        <f>SUM($AC$24:$AC$24)</f>
        <v>0</v>
      </c>
      <c r="AE24" s="12">
        <f ca="1">$AO$24*$AO$55</f>
        <v>0</v>
      </c>
      <c r="AF24" s="12">
        <f ca="1">$AP$24*$AP$55</f>
        <v>0</v>
      </c>
      <c r="AG24" s="12">
        <f ca="1">SUM($AE$24:$AF$24)</f>
        <v>0</v>
      </c>
      <c r="AH24" s="12">
        <f>'TUSD BE'!$AH$24*'TUSD BF'!$AH$58</f>
        <v>0</v>
      </c>
      <c r="AI24" s="12">
        <f>'TUSD BE'!$AI$24*'TUSD BF'!$AI$58</f>
        <v>0</v>
      </c>
      <c r="AJ24" s="12">
        <f ca="1">'TUSD BE'!$AJ$24*'TUSD BF'!$AJ$58</f>
        <v>0</v>
      </c>
      <c r="AK24" s="12">
        <f ca="1">'TUSD BE'!$AK$24*'TUSD BF'!$AK$58</f>
        <v>0</v>
      </c>
      <c r="AL24" s="12">
        <f ca="1">SUM($AH$24:$AK$24)</f>
        <v>0</v>
      </c>
      <c r="AM24" s="12">
        <f ca="1">SUMIF($L$4:$AL$4,"SUBTOTAL",$L$24:$AL$24)</f>
        <v>0</v>
      </c>
      <c r="AO24" s="20">
        <f ca="1">+'TUSD BE'!$T$24+'TUSD BE'!$AB$24+'TUSD BE'!$AD$24+'TUSD BE'!$AL$24</f>
        <v>712.58690214295189</v>
      </c>
      <c r="AP24" s="20">
        <f ca="1">+'TUSD BE'!$T$24+'TUSD BE'!$AB$24+'TUSD BE'!$AD$24+'TUSD BE'!$AL$24</f>
        <v>712.58690214295189</v>
      </c>
    </row>
    <row r="25" spans="1:42" ht="11.25" customHeight="1" x14ac:dyDescent="0.25">
      <c r="A25" s="102"/>
      <c r="B25" s="102" t="s">
        <v>87</v>
      </c>
      <c r="C25" s="102" t="s">
        <v>24</v>
      </c>
      <c r="D25" s="18" t="s">
        <v>24</v>
      </c>
      <c r="E25" s="18" t="s">
        <v>25</v>
      </c>
      <c r="F25" s="18" t="s">
        <v>25</v>
      </c>
      <c r="G25" s="17" t="s">
        <v>77</v>
      </c>
      <c r="H25" s="17" t="s">
        <v>71</v>
      </c>
      <c r="I25" s="17">
        <f>'MERCADO TUSD'!$U$22</f>
        <v>0</v>
      </c>
      <c r="J25" s="15"/>
      <c r="L25" s="12">
        <f>'TUSD BE'!$L$25*'TUSD BF'!$L$58</f>
        <v>0</v>
      </c>
      <c r="M25" s="12">
        <f>'TUSD BE'!$M$25*'TUSD BF'!$M$58</f>
        <v>0</v>
      </c>
      <c r="N25" s="12">
        <f ca="1">'TUSD BE'!$N$25*'TUSD BF'!$N$58</f>
        <v>0</v>
      </c>
      <c r="O25" s="12">
        <f>'TUSD BE'!$O$25*'TUSD BF'!$O$58</f>
        <v>0</v>
      </c>
      <c r="P25" s="12">
        <f>'TUSD BE'!$P$25*'TUSD BF'!$P$58</f>
        <v>0</v>
      </c>
      <c r="Q25" s="12">
        <f>'TUSD BE'!$Q$25*'TUSD BF'!$Q$58</f>
        <v>0</v>
      </c>
      <c r="R25" s="12">
        <f>'TUSD BE'!$R$25*'TUSD BF'!$R$58</f>
        <v>0</v>
      </c>
      <c r="S25" s="12">
        <f>'TUSD BE'!$R$25*'TUSD BF'!$S$58</f>
        <v>0</v>
      </c>
      <c r="T25" s="12">
        <f ca="1">SUM($L$25:$S$25)</f>
        <v>0</v>
      </c>
      <c r="U25" s="12">
        <f>'TUSD BE'!$U$25*'TUSD BF'!$U$58</f>
        <v>0</v>
      </c>
      <c r="V25" s="12">
        <f>'TUSD BE'!$V$25*'TUSD BF'!$V$58</f>
        <v>0</v>
      </c>
      <c r="W25" s="12">
        <f>'TUSD BE'!$W$25*'TUSD BF'!$W$58</f>
        <v>0</v>
      </c>
      <c r="X25" s="12">
        <f>'TUSD BE'!$X$25*'TUSD BF'!$X$58</f>
        <v>0</v>
      </c>
      <c r="Y25" s="12">
        <f>'TUSD BE'!$Y$25*'TUSD BF'!$Y$58</f>
        <v>0</v>
      </c>
      <c r="Z25" s="12">
        <f>'TUSD BE'!$Z$25*'TUSD BF'!$Z$58</f>
        <v>0</v>
      </c>
      <c r="AA25" s="12">
        <f>'TUSD BE'!$AA$25*'TUSD BF'!$AA$58</f>
        <v>0</v>
      </c>
      <c r="AB25" s="12">
        <f>SUM($U$25:$AA$25)</f>
        <v>0</v>
      </c>
      <c r="AC25" s="12">
        <f>'TUSD BE'!$AC$25*'TUSD BF'!$AC$58</f>
        <v>0</v>
      </c>
      <c r="AD25" s="12">
        <f>SUM($AC$25:$AC$25)</f>
        <v>0</v>
      </c>
      <c r="AE25" s="12">
        <f ca="1">$AO$25*$AO$55</f>
        <v>0</v>
      </c>
      <c r="AF25" s="12">
        <f ca="1">$AP$25*$AP$55</f>
        <v>0</v>
      </c>
      <c r="AG25" s="12">
        <f ca="1">SUM($AE$25:$AF$25)</f>
        <v>0</v>
      </c>
      <c r="AH25" s="12">
        <f>'TUSD BE'!$AH$25*'TUSD BF'!$AH$58</f>
        <v>0</v>
      </c>
      <c r="AI25" s="12">
        <f>'TUSD BE'!$AI$25*'TUSD BF'!$AI$58</f>
        <v>0</v>
      </c>
      <c r="AJ25" s="12">
        <f ca="1">'TUSD BE'!$AJ$25*'TUSD BF'!$AJ$58</f>
        <v>0</v>
      </c>
      <c r="AK25" s="12">
        <f ca="1">'TUSD BE'!$AK$25*'TUSD BF'!$AK$58</f>
        <v>0</v>
      </c>
      <c r="AL25" s="12">
        <f ca="1">SUM($AH$25:$AK$25)</f>
        <v>0</v>
      </c>
      <c r="AM25" s="12">
        <f ca="1">SUMIF($L$4:$AL$4,"SUBTOTAL",$L$25:$AL$25)</f>
        <v>0</v>
      </c>
      <c r="AO25" s="20">
        <f ca="1">+'TUSD BE'!$T$25+'TUSD BE'!$AB$25+'TUSD BE'!$AD$25+'TUSD BE'!$AL$25</f>
        <v>818.64916748970745</v>
      </c>
      <c r="AP25" s="20">
        <f ca="1">+'TUSD BE'!$T$25+'TUSD BE'!$AB$25+'TUSD BE'!$AD$25+'TUSD BE'!$AL$25</f>
        <v>818.64916748970745</v>
      </c>
    </row>
    <row r="26" spans="1:42" ht="11.25" customHeight="1" x14ac:dyDescent="0.25">
      <c r="A26" s="102"/>
      <c r="B26" s="102"/>
      <c r="C26" s="102"/>
      <c r="D26" s="18" t="s">
        <v>29</v>
      </c>
      <c r="E26" s="18" t="s">
        <v>25</v>
      </c>
      <c r="F26" s="18" t="s">
        <v>25</v>
      </c>
      <c r="G26" s="17" t="s">
        <v>77</v>
      </c>
      <c r="H26" s="17" t="s">
        <v>71</v>
      </c>
      <c r="I26" s="17">
        <f>'MERCADO TUSD'!$U$23</f>
        <v>0</v>
      </c>
      <c r="J26" s="15"/>
      <c r="L26" s="12">
        <f>'TUSD BE'!$L$26*'TUSD BF'!$L$58</f>
        <v>0</v>
      </c>
      <c r="M26" s="12">
        <f>'TUSD BE'!$M$26*'TUSD BF'!$M$58</f>
        <v>0</v>
      </c>
      <c r="N26" s="12">
        <f ca="1">'TUSD BE'!$N$26*'TUSD BF'!$N$58</f>
        <v>0</v>
      </c>
      <c r="O26" s="12">
        <f>'TUSD BE'!$O$26*'TUSD BF'!$O$58</f>
        <v>0</v>
      </c>
      <c r="P26" s="12">
        <f>'TUSD BE'!$P$26*'TUSD BF'!$P$58</f>
        <v>0</v>
      </c>
      <c r="Q26" s="12">
        <f>'TUSD BE'!$Q$26*'TUSD BF'!$Q$58</f>
        <v>0</v>
      </c>
      <c r="R26" s="12">
        <f>'TUSD BE'!$R$26*'TUSD BF'!$R$58</f>
        <v>0</v>
      </c>
      <c r="S26" s="12">
        <f>'TUSD BE'!$R$26*'TUSD BF'!$S$58</f>
        <v>0</v>
      </c>
      <c r="T26" s="12">
        <f ca="1">SUM($L$26:$S$26)</f>
        <v>0</v>
      </c>
      <c r="U26" s="12">
        <f>'TUSD BE'!$U$26*'TUSD BF'!$U$58</f>
        <v>0</v>
      </c>
      <c r="V26" s="12">
        <f>'TUSD BE'!$V$26*'TUSD BF'!$V$58</f>
        <v>0</v>
      </c>
      <c r="W26" s="12">
        <f>'TUSD BE'!$W$26*'TUSD BF'!$W$58</f>
        <v>0</v>
      </c>
      <c r="X26" s="12">
        <f>'TUSD BE'!$X$26*'TUSD BF'!$X$58</f>
        <v>0</v>
      </c>
      <c r="Y26" s="12">
        <f>'TUSD BE'!$Y$26*'TUSD BF'!$Y$58</f>
        <v>0</v>
      </c>
      <c r="Z26" s="12">
        <f>'TUSD BE'!$Z$26*'TUSD BF'!$Z$58</f>
        <v>0</v>
      </c>
      <c r="AA26" s="12">
        <f>'TUSD BE'!$AA$26*'TUSD BF'!$AA$58</f>
        <v>0</v>
      </c>
      <c r="AB26" s="12">
        <f>SUM($U$26:$AA$26)</f>
        <v>0</v>
      </c>
      <c r="AC26" s="12">
        <f>'TUSD BE'!$AC$26*'TUSD BF'!$AC$58</f>
        <v>0</v>
      </c>
      <c r="AD26" s="12">
        <f>SUM($AC$26:$AC$26)</f>
        <v>0</v>
      </c>
      <c r="AE26" s="12">
        <f ca="1">$AO$26*$AO$55</f>
        <v>0</v>
      </c>
      <c r="AF26" s="12">
        <f ca="1">$AP$26*$AP$55</f>
        <v>0</v>
      </c>
      <c r="AG26" s="12">
        <f ca="1">SUM($AE$26:$AF$26)</f>
        <v>0</v>
      </c>
      <c r="AH26" s="12">
        <f>'TUSD BE'!$AH$26*'TUSD BF'!$AH$58</f>
        <v>0</v>
      </c>
      <c r="AI26" s="12">
        <f>'TUSD BE'!$AI$26*'TUSD BF'!$AI$58</f>
        <v>0</v>
      </c>
      <c r="AJ26" s="12">
        <f ca="1">'TUSD BE'!$AJ$26*'TUSD BF'!$AJ$58</f>
        <v>0</v>
      </c>
      <c r="AK26" s="12">
        <f ca="1">'TUSD BE'!$AK$26*'TUSD BF'!$AK$58</f>
        <v>0</v>
      </c>
      <c r="AL26" s="12">
        <f ca="1">SUM($AH$26:$AK$26)</f>
        <v>0</v>
      </c>
      <c r="AM26" s="12">
        <f ca="1">SUMIF($L$4:$AL$4,"SUBTOTAL",$L$26:$AL$26)</f>
        <v>0</v>
      </c>
      <c r="AO26" s="20">
        <f ca="1">+'TUSD BE'!$T$26+'TUSD BE'!$AB$26+'TUSD BE'!$AD$26+'TUSD BE'!$AL$26</f>
        <v>712.58690214295189</v>
      </c>
      <c r="AP26" s="20">
        <f ca="1">+'TUSD BE'!$T$26+'TUSD BE'!$AB$26+'TUSD BE'!$AD$26+'TUSD BE'!$AL$26</f>
        <v>712.58690214295189</v>
      </c>
    </row>
    <row r="27" spans="1:42" ht="11.25" customHeight="1" x14ac:dyDescent="0.25">
      <c r="A27" s="102"/>
      <c r="B27" s="102"/>
      <c r="C27" s="102"/>
      <c r="D27" s="18" t="s">
        <v>30</v>
      </c>
      <c r="E27" s="18" t="s">
        <v>25</v>
      </c>
      <c r="F27" s="18" t="s">
        <v>25</v>
      </c>
      <c r="G27" s="17" t="s">
        <v>77</v>
      </c>
      <c r="H27" s="17" t="s">
        <v>71</v>
      </c>
      <c r="I27" s="17">
        <f>'MERCADO TUSD'!$U$24</f>
        <v>0</v>
      </c>
      <c r="J27" s="15"/>
      <c r="L27" s="12">
        <f>'TUSD BE'!$L$27*'TUSD BF'!$L$58</f>
        <v>0</v>
      </c>
      <c r="M27" s="12">
        <f>'TUSD BE'!$M$27*'TUSD BF'!$M$58</f>
        <v>0</v>
      </c>
      <c r="N27" s="12">
        <f ca="1">'TUSD BE'!$N$27*'TUSD BF'!$N$58</f>
        <v>0</v>
      </c>
      <c r="O27" s="12">
        <f>'TUSD BE'!$O$27*'TUSD BF'!$O$58</f>
        <v>0</v>
      </c>
      <c r="P27" s="12">
        <f>'TUSD BE'!$P$27*'TUSD BF'!$P$58</f>
        <v>0</v>
      </c>
      <c r="Q27" s="12">
        <f>'TUSD BE'!$Q$27*'TUSD BF'!$Q$58</f>
        <v>0</v>
      </c>
      <c r="R27" s="12">
        <f>'TUSD BE'!$R$27*'TUSD BF'!$R$58</f>
        <v>0</v>
      </c>
      <c r="S27" s="12">
        <f>'TUSD BE'!$R$27*'TUSD BF'!$S$58</f>
        <v>0</v>
      </c>
      <c r="T27" s="12">
        <f ca="1">SUM($L$27:$S$27)</f>
        <v>0</v>
      </c>
      <c r="U27" s="12">
        <f>'TUSD BE'!$U$27*'TUSD BF'!$U$58</f>
        <v>0</v>
      </c>
      <c r="V27" s="12">
        <f>'TUSD BE'!$V$27*'TUSD BF'!$V$58</f>
        <v>0</v>
      </c>
      <c r="W27" s="12">
        <f>'TUSD BE'!$W$27*'TUSD BF'!$W$58</f>
        <v>0</v>
      </c>
      <c r="X27" s="12">
        <f>'TUSD BE'!$X$27*'TUSD BF'!$X$58</f>
        <v>0</v>
      </c>
      <c r="Y27" s="12">
        <f>'TUSD BE'!$Y$27*'TUSD BF'!$Y$58</f>
        <v>0</v>
      </c>
      <c r="Z27" s="12">
        <f>'TUSD BE'!$Z$27*'TUSD BF'!$Z$58</f>
        <v>0</v>
      </c>
      <c r="AA27" s="12">
        <f>'TUSD BE'!$AA$27*'TUSD BF'!$AA$58</f>
        <v>0</v>
      </c>
      <c r="AB27" s="12">
        <f>SUM($U$27:$AA$27)</f>
        <v>0</v>
      </c>
      <c r="AC27" s="12">
        <f>'TUSD BE'!$AC$27*'TUSD BF'!$AC$58</f>
        <v>0</v>
      </c>
      <c r="AD27" s="12">
        <f>SUM($AC$27:$AC$27)</f>
        <v>0</v>
      </c>
      <c r="AE27" s="12">
        <f ca="1">$AO$27*$AO$55</f>
        <v>0</v>
      </c>
      <c r="AF27" s="12">
        <f ca="1">$AP$27*$AP$55</f>
        <v>0</v>
      </c>
      <c r="AG27" s="12">
        <f ca="1">SUM($AE$27:$AF$27)</f>
        <v>0</v>
      </c>
      <c r="AH27" s="12">
        <f>'TUSD BE'!$AH$27*'TUSD BF'!$AH$58</f>
        <v>0</v>
      </c>
      <c r="AI27" s="12">
        <f>'TUSD BE'!$AI$27*'TUSD BF'!$AI$58</f>
        <v>0</v>
      </c>
      <c r="AJ27" s="12">
        <f ca="1">'TUSD BE'!$AJ$27*'TUSD BF'!$AJ$58</f>
        <v>0</v>
      </c>
      <c r="AK27" s="12">
        <f ca="1">'TUSD BE'!$AK$27*'TUSD BF'!$AK$58</f>
        <v>0</v>
      </c>
      <c r="AL27" s="12">
        <f ca="1">SUM($AH$27:$AK$27)</f>
        <v>0</v>
      </c>
      <c r="AM27" s="12">
        <f ca="1">SUMIF($L$4:$AL$4,"SUBTOTAL",$L$27:$AL$27)</f>
        <v>0</v>
      </c>
      <c r="AO27" s="20">
        <f ca="1">+'TUSD BE'!$T$27+'TUSD BE'!$AB$27+'TUSD BE'!$AD$27+'TUSD BE'!$AL$27</f>
        <v>712.58690214295189</v>
      </c>
      <c r="AP27" s="20">
        <f ca="1">+'TUSD BE'!$T$27+'TUSD BE'!$AB$27+'TUSD BE'!$AD$27+'TUSD BE'!$AL$27</f>
        <v>712.58690214295189</v>
      </c>
    </row>
    <row r="28" spans="1:42" ht="11.25" customHeight="1" x14ac:dyDescent="0.25">
      <c r="A28" s="102"/>
      <c r="B28" s="102"/>
      <c r="C28" s="102"/>
      <c r="D28" s="18" t="s">
        <v>31</v>
      </c>
      <c r="E28" s="18" t="s">
        <v>25</v>
      </c>
      <c r="F28" s="18" t="s">
        <v>25</v>
      </c>
      <c r="G28" s="17" t="s">
        <v>77</v>
      </c>
      <c r="H28" s="17" t="s">
        <v>71</v>
      </c>
      <c r="I28" s="17">
        <f>'MERCADO TUSD'!$U$25</f>
        <v>0</v>
      </c>
      <c r="J28" s="15"/>
      <c r="L28" s="12">
        <f>'TUSD BE'!$L$28*'TUSD BF'!$L$58</f>
        <v>0</v>
      </c>
      <c r="M28" s="12">
        <f>'TUSD BE'!$M$28*'TUSD BF'!$M$58</f>
        <v>0</v>
      </c>
      <c r="N28" s="12">
        <f ca="1">'TUSD BE'!$N$28*'TUSD BF'!$N$58</f>
        <v>0</v>
      </c>
      <c r="O28" s="12">
        <f>'TUSD BE'!$O$28*'TUSD BF'!$O$58</f>
        <v>0</v>
      </c>
      <c r="P28" s="12">
        <f>'TUSD BE'!$P$28*'TUSD BF'!$P$58</f>
        <v>0</v>
      </c>
      <c r="Q28" s="12">
        <f>'TUSD BE'!$Q$28*'TUSD BF'!$Q$58</f>
        <v>0</v>
      </c>
      <c r="R28" s="12">
        <f>'TUSD BE'!$R$28*'TUSD BF'!$R$58</f>
        <v>0</v>
      </c>
      <c r="S28" s="12">
        <f>'TUSD BE'!$R$28*'TUSD BF'!$S$58</f>
        <v>0</v>
      </c>
      <c r="T28" s="12">
        <f ca="1">SUM($L$28:$S$28)</f>
        <v>0</v>
      </c>
      <c r="U28" s="12">
        <f>'TUSD BE'!$U$28*'TUSD BF'!$U$58</f>
        <v>0</v>
      </c>
      <c r="V28" s="12">
        <f>'TUSD BE'!$V$28*'TUSD BF'!$V$58</f>
        <v>0</v>
      </c>
      <c r="W28" s="12">
        <f>'TUSD BE'!$W$28*'TUSD BF'!$W$58</f>
        <v>0</v>
      </c>
      <c r="X28" s="12">
        <f>'TUSD BE'!$X$28*'TUSD BF'!$X$58</f>
        <v>0</v>
      </c>
      <c r="Y28" s="12">
        <f>'TUSD BE'!$Y$28*'TUSD BF'!$Y$58</f>
        <v>0</v>
      </c>
      <c r="Z28" s="12">
        <f>'TUSD BE'!$Z$28*'TUSD BF'!$Z$58</f>
        <v>0</v>
      </c>
      <c r="AA28" s="12">
        <f>'TUSD BE'!$AA$28*'TUSD BF'!$AA$58</f>
        <v>0</v>
      </c>
      <c r="AB28" s="12">
        <f>SUM($U$28:$AA$28)</f>
        <v>0</v>
      </c>
      <c r="AC28" s="12">
        <f>'TUSD BE'!$AC$28*'TUSD BF'!$AC$58</f>
        <v>0</v>
      </c>
      <c r="AD28" s="12">
        <f>SUM($AC$28:$AC$28)</f>
        <v>0</v>
      </c>
      <c r="AE28" s="12">
        <f ca="1">$AO$28*$AO$55</f>
        <v>0</v>
      </c>
      <c r="AF28" s="12">
        <f ca="1">$AP$28*$AP$55</f>
        <v>0</v>
      </c>
      <c r="AG28" s="12">
        <f ca="1">SUM($AE$28:$AF$28)</f>
        <v>0</v>
      </c>
      <c r="AH28" s="12">
        <f>'TUSD BE'!$AH$28*'TUSD BF'!$AH$58</f>
        <v>0</v>
      </c>
      <c r="AI28" s="12">
        <f>'TUSD BE'!$AI$28*'TUSD BF'!$AI$58</f>
        <v>0</v>
      </c>
      <c r="AJ28" s="12">
        <f ca="1">'TUSD BE'!$AJ$28*'TUSD BF'!$AJ$58</f>
        <v>0</v>
      </c>
      <c r="AK28" s="12">
        <f ca="1">'TUSD BE'!$AK$28*'TUSD BF'!$AK$58</f>
        <v>0</v>
      </c>
      <c r="AL28" s="12">
        <f ca="1">SUM($AH$28:$AK$28)</f>
        <v>0</v>
      </c>
      <c r="AM28" s="12">
        <f ca="1">SUMIF($L$4:$AL$4,"SUBTOTAL",$L$28:$AL$28)</f>
        <v>0</v>
      </c>
      <c r="AO28" s="20">
        <f ca="1">+'TUSD BE'!$T$28+'TUSD BE'!$AB$28+'TUSD BE'!$AD$28+'TUSD BE'!$AL$28</f>
        <v>712.58690214295189</v>
      </c>
      <c r="AP28" s="20">
        <f ca="1">+'TUSD BE'!$T$28+'TUSD BE'!$AB$28+'TUSD BE'!$AD$28+'TUSD BE'!$AL$28</f>
        <v>712.58690214295189</v>
      </c>
    </row>
    <row r="29" spans="1:42" ht="11.25" customHeight="1" x14ac:dyDescent="0.25">
      <c r="A29" s="102"/>
      <c r="B29" s="102"/>
      <c r="C29" s="102"/>
      <c r="D29" s="18" t="s">
        <v>32</v>
      </c>
      <c r="E29" s="18" t="s">
        <v>25</v>
      </c>
      <c r="F29" s="18" t="s">
        <v>25</v>
      </c>
      <c r="G29" s="17" t="s">
        <v>77</v>
      </c>
      <c r="H29" s="17" t="s">
        <v>71</v>
      </c>
      <c r="I29" s="17">
        <f>'MERCADO TUSD'!$U$26</f>
        <v>0</v>
      </c>
      <c r="J29" s="15"/>
      <c r="L29" s="12">
        <f>'TUSD BE'!$L$29*'TUSD BF'!$L$58</f>
        <v>0</v>
      </c>
      <c r="M29" s="12">
        <f>'TUSD BE'!$M$29*'TUSD BF'!$M$58</f>
        <v>0</v>
      </c>
      <c r="N29" s="12">
        <f ca="1">'TUSD BE'!$N$29*'TUSD BF'!$N$58</f>
        <v>0</v>
      </c>
      <c r="O29" s="12">
        <f>'TUSD BE'!$O$29*'TUSD BF'!$O$58</f>
        <v>0</v>
      </c>
      <c r="P29" s="12">
        <f>'TUSD BE'!$P$29*'TUSD BF'!$P$58</f>
        <v>0</v>
      </c>
      <c r="Q29" s="12">
        <f>'TUSD BE'!$Q$29*'TUSD BF'!$Q$58</f>
        <v>0</v>
      </c>
      <c r="R29" s="12">
        <f>'TUSD BE'!$R$29*'TUSD BF'!$R$58</f>
        <v>0</v>
      </c>
      <c r="S29" s="12">
        <f>'TUSD BE'!$R$29*'TUSD BF'!$S$58</f>
        <v>0</v>
      </c>
      <c r="T29" s="12">
        <f ca="1">SUM($L$29:$S$29)</f>
        <v>0</v>
      </c>
      <c r="U29" s="12">
        <f>'TUSD BE'!$U$29*'TUSD BF'!$U$58</f>
        <v>0</v>
      </c>
      <c r="V29" s="12">
        <f>'TUSD BE'!$V$29*'TUSD BF'!$V$58</f>
        <v>0</v>
      </c>
      <c r="W29" s="12">
        <f>'TUSD BE'!$W$29*'TUSD BF'!$W$58</f>
        <v>0</v>
      </c>
      <c r="X29" s="12">
        <f>'TUSD BE'!$X$29*'TUSD BF'!$X$58</f>
        <v>0</v>
      </c>
      <c r="Y29" s="12">
        <f>'TUSD BE'!$Y$29*'TUSD BF'!$Y$58</f>
        <v>0</v>
      </c>
      <c r="Z29" s="12">
        <f>'TUSD BE'!$Z$29*'TUSD BF'!$Z$58</f>
        <v>0</v>
      </c>
      <c r="AA29" s="12">
        <f>'TUSD BE'!$AA$29*'TUSD BF'!$AA$58</f>
        <v>0</v>
      </c>
      <c r="AB29" s="12">
        <f>SUM($U$29:$AA$29)</f>
        <v>0</v>
      </c>
      <c r="AC29" s="12">
        <f>'TUSD BE'!$AC$29*'TUSD BF'!$AC$58</f>
        <v>0</v>
      </c>
      <c r="AD29" s="12">
        <f>SUM($AC$29:$AC$29)</f>
        <v>0</v>
      </c>
      <c r="AE29" s="12">
        <f ca="1">$AO$29*$AO$55</f>
        <v>0</v>
      </c>
      <c r="AF29" s="12">
        <f ca="1">$AP$29*$AP$55</f>
        <v>0</v>
      </c>
      <c r="AG29" s="12">
        <f ca="1">SUM($AE$29:$AF$29)</f>
        <v>0</v>
      </c>
      <c r="AH29" s="12">
        <f>'TUSD BE'!$AH$29*'TUSD BF'!$AH$58</f>
        <v>0</v>
      </c>
      <c r="AI29" s="12">
        <f>'TUSD BE'!$AI$29*'TUSD BF'!$AI$58</f>
        <v>0</v>
      </c>
      <c r="AJ29" s="12">
        <f ca="1">'TUSD BE'!$AJ$29*'TUSD BF'!$AJ$58</f>
        <v>0</v>
      </c>
      <c r="AK29" s="12">
        <f ca="1">'TUSD BE'!$AK$29*'TUSD BF'!$AK$58</f>
        <v>0</v>
      </c>
      <c r="AL29" s="12">
        <f ca="1">SUM($AH$29:$AK$29)</f>
        <v>0</v>
      </c>
      <c r="AM29" s="12">
        <f ca="1">SUMIF($L$4:$AL$4,"SUBTOTAL",$L$29:$AL$29)</f>
        <v>0</v>
      </c>
      <c r="AO29" s="20">
        <f ca="1">+'TUSD BE'!$T$29+'TUSD BE'!$AB$29+'TUSD BE'!$AD$29+'TUSD BE'!$AL$29</f>
        <v>712.58690214295189</v>
      </c>
      <c r="AP29" s="20">
        <f ca="1">+'TUSD BE'!$T$29+'TUSD BE'!$AB$29+'TUSD BE'!$AD$29+'TUSD BE'!$AL$29</f>
        <v>712.58690214295189</v>
      </c>
    </row>
    <row r="30" spans="1:42" ht="11.25" customHeight="1" x14ac:dyDescent="0.25">
      <c r="A30" s="102" t="s">
        <v>40</v>
      </c>
      <c r="B30" s="102" t="s">
        <v>85</v>
      </c>
      <c r="C30" s="102" t="s">
        <v>41</v>
      </c>
      <c r="D30" s="102" t="s">
        <v>25</v>
      </c>
      <c r="E30" s="102" t="s">
        <v>25</v>
      </c>
      <c r="F30" s="102" t="s">
        <v>25</v>
      </c>
      <c r="G30" s="17" t="s">
        <v>72</v>
      </c>
      <c r="H30" s="17" t="s">
        <v>71</v>
      </c>
      <c r="I30" s="17">
        <f>'MERCADO TUSD'!$U$27</f>
        <v>0</v>
      </c>
      <c r="J30" s="15"/>
      <c r="L30" s="12">
        <f>'TUSD BE'!$L$30*'TUSD BF'!$L$58</f>
        <v>0</v>
      </c>
      <c r="M30" s="12">
        <f>'TUSD BE'!$M$30*'TUSD BF'!$M$58</f>
        <v>0</v>
      </c>
      <c r="N30" s="12">
        <f ca="1">'TUSD BE'!$N$30*'TUSD BF'!$N$58</f>
        <v>0</v>
      </c>
      <c r="O30" s="12">
        <f>'TUSD BE'!$O$30*'TUSD BF'!$O$58</f>
        <v>0</v>
      </c>
      <c r="P30" s="12">
        <f>'TUSD BE'!$P$30*'TUSD BF'!$P$58</f>
        <v>0</v>
      </c>
      <c r="Q30" s="12">
        <f>'TUSD BE'!$Q$30*'TUSD BF'!$Q$58</f>
        <v>0</v>
      </c>
      <c r="R30" s="12">
        <f>'TUSD BE'!$R$30*'TUSD BF'!$R$58</f>
        <v>0</v>
      </c>
      <c r="S30" s="12">
        <f>'TUSD BE'!$R$30*'TUSD BF'!$S$58</f>
        <v>0</v>
      </c>
      <c r="T30" s="12">
        <f ca="1">SUM($L$30:$S$30)</f>
        <v>0</v>
      </c>
      <c r="U30" s="12">
        <f>'TUSD BE'!$U$30*'TUSD BF'!$U$58</f>
        <v>0</v>
      </c>
      <c r="V30" s="12">
        <f>'TUSD BE'!$V$30*'TUSD BF'!$V$58</f>
        <v>0</v>
      </c>
      <c r="W30" s="12">
        <f>'TUSD BE'!$W$30*'TUSD BF'!$W$58</f>
        <v>0</v>
      </c>
      <c r="X30" s="12">
        <f>'TUSD BE'!$X$30*'TUSD BF'!$X$58</f>
        <v>0</v>
      </c>
      <c r="Y30" s="12">
        <f>'TUSD BE'!$Y$30*'TUSD BF'!$Y$58</f>
        <v>0</v>
      </c>
      <c r="Z30" s="12">
        <f>'TUSD BE'!$Z$30*'TUSD BF'!$Z$58</f>
        <v>0</v>
      </c>
      <c r="AA30" s="12">
        <f>'TUSD BE'!$AA$30*'TUSD BF'!$AA$58</f>
        <v>0</v>
      </c>
      <c r="AB30" s="12">
        <f>SUM($U$30:$AA$30)</f>
        <v>0</v>
      </c>
      <c r="AC30" s="12">
        <f>'TUSD BE'!$AC$30*'TUSD BF'!$AC$58</f>
        <v>0</v>
      </c>
      <c r="AD30" s="12">
        <f>SUM($AC$30:$AC$30)</f>
        <v>0</v>
      </c>
      <c r="AE30" s="12">
        <f ca="1">$AO$30*$AO$55</f>
        <v>0</v>
      </c>
      <c r="AF30" s="12">
        <f ca="1">$AP$30*$AP$55</f>
        <v>0</v>
      </c>
      <c r="AG30" s="12">
        <f ca="1">SUM($AE$30:$AF$30)</f>
        <v>0</v>
      </c>
      <c r="AH30" s="12">
        <f>'TUSD BE'!$AH$30*'TUSD BF'!$AH$58</f>
        <v>0</v>
      </c>
      <c r="AI30" s="12">
        <f>'TUSD BE'!$AI$30*'TUSD BF'!$AI$58</f>
        <v>0</v>
      </c>
      <c r="AJ30" s="12">
        <f ca="1">'TUSD BE'!$AJ$30*'TUSD BF'!$AJ$58</f>
        <v>0</v>
      </c>
      <c r="AK30" s="12">
        <f ca="1">'TUSD BE'!$AK$30*'TUSD BF'!$AK$58</f>
        <v>0</v>
      </c>
      <c r="AL30" s="12">
        <f ca="1">SUM($AH$30:$AK$30)</f>
        <v>0</v>
      </c>
      <c r="AM30" s="12">
        <f ca="1">SUMIF($L$4:$AL$4,"SUBTOTAL",$L$30:$AL$30)</f>
        <v>0</v>
      </c>
      <c r="AO30" s="20">
        <f ca="1">+'TUSD BE'!$T$30+'TUSD BE'!$AB$30+'TUSD BE'!$AD$30+'TUSD BE'!$AL$30</f>
        <v>1910.0588336192943</v>
      </c>
      <c r="AP30" s="20">
        <f ca="1">+'TUSD BE'!$T$30+'TUSD BE'!$AB$30+'TUSD BE'!$AD$30+'TUSD BE'!$AL$30</f>
        <v>1910.0588336192943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17" t="s">
        <v>83</v>
      </c>
      <c r="H31" s="17" t="s">
        <v>71</v>
      </c>
      <c r="I31" s="17">
        <f>'MERCADO TUSD'!$U$28</f>
        <v>0</v>
      </c>
      <c r="J31" s="15"/>
      <c r="L31" s="12">
        <f>'TUSD BE'!$L$31*'TUSD BF'!$L$58</f>
        <v>0</v>
      </c>
      <c r="M31" s="12">
        <f>'TUSD BE'!$M$31*'TUSD BF'!$M$58</f>
        <v>0</v>
      </c>
      <c r="N31" s="12">
        <f ca="1">'TUSD BE'!$N$31*'TUSD BF'!$N$58</f>
        <v>0</v>
      </c>
      <c r="O31" s="12">
        <f>'TUSD BE'!$O$31*'TUSD BF'!$O$58</f>
        <v>0</v>
      </c>
      <c r="P31" s="12">
        <f>'TUSD BE'!$P$31*'TUSD BF'!$P$58</f>
        <v>0</v>
      </c>
      <c r="Q31" s="12">
        <f>'TUSD BE'!$Q$31*'TUSD BF'!$Q$58</f>
        <v>0</v>
      </c>
      <c r="R31" s="12">
        <f>'TUSD BE'!$R$31*'TUSD BF'!$R$58</f>
        <v>0</v>
      </c>
      <c r="S31" s="12">
        <f>'TUSD BE'!$R$31*'TUSD BF'!$S$58</f>
        <v>0</v>
      </c>
      <c r="T31" s="12">
        <f ca="1">SUM($L$31:$S$31)</f>
        <v>0</v>
      </c>
      <c r="U31" s="12">
        <f>'TUSD BE'!$U$31*'TUSD BF'!$U$58</f>
        <v>0</v>
      </c>
      <c r="V31" s="12">
        <f>'TUSD BE'!$V$31*'TUSD BF'!$V$58</f>
        <v>0</v>
      </c>
      <c r="W31" s="12">
        <f>'TUSD BE'!$W$31*'TUSD BF'!$W$58</f>
        <v>0</v>
      </c>
      <c r="X31" s="12">
        <f>'TUSD BE'!$X$31*'TUSD BF'!$X$58</f>
        <v>0</v>
      </c>
      <c r="Y31" s="12">
        <f>'TUSD BE'!$Y$31*'TUSD BF'!$Y$58</f>
        <v>0</v>
      </c>
      <c r="Z31" s="12">
        <f>'TUSD BE'!$Z$31*'TUSD BF'!$Z$58</f>
        <v>0</v>
      </c>
      <c r="AA31" s="12">
        <f>'TUSD BE'!$AA$31*'TUSD BF'!$AA$58</f>
        <v>0</v>
      </c>
      <c r="AB31" s="12">
        <f>SUM($U$31:$AA$31)</f>
        <v>0</v>
      </c>
      <c r="AC31" s="12">
        <f>'TUSD BE'!$AC$31*'TUSD BF'!$AC$58</f>
        <v>0</v>
      </c>
      <c r="AD31" s="12">
        <f>SUM($AC$31:$AC$31)</f>
        <v>0</v>
      </c>
      <c r="AE31" s="12">
        <f ca="1">$AO$31*$AO$55</f>
        <v>0</v>
      </c>
      <c r="AF31" s="12">
        <f ca="1">$AP$31*$AP$55</f>
        <v>0</v>
      </c>
      <c r="AG31" s="12">
        <f ca="1">SUM($AE$31:$AF$31)</f>
        <v>0</v>
      </c>
      <c r="AH31" s="12">
        <f>'TUSD BE'!$AH$31*'TUSD BF'!$AH$58</f>
        <v>0</v>
      </c>
      <c r="AI31" s="12">
        <f>'TUSD BE'!$AI$31*'TUSD BF'!$AI$58</f>
        <v>0</v>
      </c>
      <c r="AJ31" s="12">
        <f ca="1">'TUSD BE'!$AJ$31*'TUSD BF'!$AJ$58</f>
        <v>0</v>
      </c>
      <c r="AK31" s="12">
        <f ca="1">'TUSD BE'!$AK$31*'TUSD BF'!$AK$58</f>
        <v>0</v>
      </c>
      <c r="AL31" s="12">
        <f ca="1">SUM($AH$31:$AK$31)</f>
        <v>0</v>
      </c>
      <c r="AM31" s="12">
        <f ca="1">SUMIF($L$4:$AL$4,"SUBTOTAL",$L$31:$AL$31)</f>
        <v>0</v>
      </c>
      <c r="AO31" s="20">
        <f ca="1">+'TUSD BE'!$T$31+'TUSD BE'!$AB$31+'TUSD BE'!$AD$31+'TUSD BE'!$AL$31</f>
        <v>1200.624040332207</v>
      </c>
      <c r="AP31" s="20">
        <f ca="1">+'TUSD BE'!$T$31+'TUSD BE'!$AB$31+'TUSD BE'!$AD$31+'TUSD BE'!$AL$31</f>
        <v>1200.624040332207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17" t="s">
        <v>73</v>
      </c>
      <c r="H32" s="17" t="s">
        <v>71</v>
      </c>
      <c r="I32" s="17">
        <f>'MERCADO TUSD'!$U$29</f>
        <v>0</v>
      </c>
      <c r="J32" s="15"/>
      <c r="L32" s="12">
        <f>'TUSD BE'!$L$32*'TUSD BF'!$L$58</f>
        <v>0</v>
      </c>
      <c r="M32" s="12">
        <f>'TUSD BE'!$M$32*'TUSD BF'!$M$58</f>
        <v>0</v>
      </c>
      <c r="N32" s="12">
        <f ca="1">'TUSD BE'!$N$32*'TUSD BF'!$N$58</f>
        <v>0</v>
      </c>
      <c r="O32" s="12">
        <f>'TUSD BE'!$O$32*'TUSD BF'!$O$58</f>
        <v>0</v>
      </c>
      <c r="P32" s="12">
        <f>'TUSD BE'!$P$32*'TUSD BF'!$P$58</f>
        <v>0</v>
      </c>
      <c r="Q32" s="12">
        <f>'TUSD BE'!$Q$32*'TUSD BF'!$Q$58</f>
        <v>0</v>
      </c>
      <c r="R32" s="12">
        <f>'TUSD BE'!$R$32*'TUSD BF'!$R$58</f>
        <v>0</v>
      </c>
      <c r="S32" s="12">
        <f>'TUSD BE'!$R$32*'TUSD BF'!$S$58</f>
        <v>0</v>
      </c>
      <c r="T32" s="12">
        <f ca="1">SUM($L$32:$S$32)</f>
        <v>0</v>
      </c>
      <c r="U32" s="12">
        <f>'TUSD BE'!$U$32*'TUSD BF'!$U$58</f>
        <v>0</v>
      </c>
      <c r="V32" s="12">
        <f>'TUSD BE'!$V$32*'TUSD BF'!$V$58</f>
        <v>0</v>
      </c>
      <c r="W32" s="12">
        <f>'TUSD BE'!$W$32*'TUSD BF'!$W$58</f>
        <v>0</v>
      </c>
      <c r="X32" s="12">
        <f>'TUSD BE'!$X$32*'TUSD BF'!$X$58</f>
        <v>0</v>
      </c>
      <c r="Y32" s="12">
        <f>'TUSD BE'!$Y$32*'TUSD BF'!$Y$58</f>
        <v>0</v>
      </c>
      <c r="Z32" s="12">
        <f>'TUSD BE'!$Z$32*'TUSD BF'!$Z$58</f>
        <v>0</v>
      </c>
      <c r="AA32" s="12">
        <f>'TUSD BE'!$AA$32*'TUSD BF'!$AA$58</f>
        <v>0</v>
      </c>
      <c r="AB32" s="12">
        <f>SUM($U$32:$AA$32)</f>
        <v>0</v>
      </c>
      <c r="AC32" s="12">
        <f>'TUSD BE'!$AC$32*'TUSD BF'!$AC$58</f>
        <v>0</v>
      </c>
      <c r="AD32" s="12">
        <f>SUM($AC$32:$AC$32)</f>
        <v>0</v>
      </c>
      <c r="AE32" s="12">
        <f ca="1">$AO$32*$AO$55</f>
        <v>0</v>
      </c>
      <c r="AF32" s="12">
        <f ca="1">$AP$32*$AP$55</f>
        <v>0</v>
      </c>
      <c r="AG32" s="12">
        <f ca="1">SUM($AE$32:$AF$32)</f>
        <v>0</v>
      </c>
      <c r="AH32" s="12">
        <f>'TUSD BE'!$AH$32*'TUSD BF'!$AH$58</f>
        <v>0</v>
      </c>
      <c r="AI32" s="12">
        <f>'TUSD BE'!$AI$32*'TUSD BF'!$AI$58</f>
        <v>0</v>
      </c>
      <c r="AJ32" s="12">
        <f ca="1">'TUSD BE'!$AJ$32*'TUSD BF'!$AJ$58</f>
        <v>0</v>
      </c>
      <c r="AK32" s="12">
        <f ca="1">'TUSD BE'!$AK$32*'TUSD BF'!$AK$58</f>
        <v>0</v>
      </c>
      <c r="AL32" s="12">
        <f ca="1">SUM($AH$32:$AK$32)</f>
        <v>0</v>
      </c>
      <c r="AM32" s="12">
        <f ca="1">SUMIF($L$4:$AL$4,"SUBTOTAL",$L$32:$AL$32)</f>
        <v>0</v>
      </c>
      <c r="AO32" s="20">
        <f ca="1">+'TUSD BE'!$T$32+'TUSD BE'!$AB$32+'TUSD BE'!$AD$32+'TUSD BE'!$AL$32</f>
        <v>491.18881578861135</v>
      </c>
      <c r="AP32" s="20">
        <f ca="1">+'TUSD BE'!$T$32+'TUSD BE'!$AB$32+'TUSD BE'!$AD$32+'TUSD BE'!$AL$32</f>
        <v>491.18881578861135</v>
      </c>
    </row>
    <row r="33" spans="1:42" ht="11.25" customHeight="1" x14ac:dyDescent="0.25">
      <c r="A33" s="102"/>
      <c r="B33" s="18" t="s">
        <v>23</v>
      </c>
      <c r="C33" s="18" t="s">
        <v>41</v>
      </c>
      <c r="D33" s="18" t="s">
        <v>25</v>
      </c>
      <c r="E33" s="18" t="s">
        <v>25</v>
      </c>
      <c r="F33" s="18" t="s">
        <v>25</v>
      </c>
      <c r="G33" s="17" t="s">
        <v>77</v>
      </c>
      <c r="H33" s="17" t="s">
        <v>71</v>
      </c>
      <c r="I33" s="17">
        <f>'MERCADO TUSD'!$U$30</f>
        <v>47790.548000000003</v>
      </c>
      <c r="J33" s="15"/>
      <c r="L33" s="12">
        <f>'TUSD BE'!$L$33*'TUSD BF'!$L$58</f>
        <v>0</v>
      </c>
      <c r="M33" s="12">
        <f>'TUSD BE'!$M$33*'TUSD BF'!$M$58</f>
        <v>0</v>
      </c>
      <c r="N33" s="12">
        <f ca="1">'TUSD BE'!$N$33*'TUSD BF'!$N$58</f>
        <v>0</v>
      </c>
      <c r="O33" s="12">
        <f>'TUSD BE'!$O$33*'TUSD BF'!$O$58</f>
        <v>0</v>
      </c>
      <c r="P33" s="12">
        <f>'TUSD BE'!$P$33*'TUSD BF'!$P$58</f>
        <v>0</v>
      </c>
      <c r="Q33" s="12">
        <f>'TUSD BE'!$Q$33*'TUSD BF'!$Q$58</f>
        <v>0</v>
      </c>
      <c r="R33" s="12">
        <f>'TUSD BE'!$R$33*'TUSD BF'!$R$58</f>
        <v>0</v>
      </c>
      <c r="S33" s="12">
        <f>'TUSD BE'!$R$33*'TUSD BF'!$S$58</f>
        <v>0</v>
      </c>
      <c r="T33" s="12">
        <f ca="1">SUM($L$33:$S$33)</f>
        <v>0</v>
      </c>
      <c r="U33" s="12">
        <f>'TUSD BE'!$U$33*'TUSD BF'!$U$58</f>
        <v>0</v>
      </c>
      <c r="V33" s="12">
        <f>'TUSD BE'!$V$33*'TUSD BF'!$V$58</f>
        <v>0</v>
      </c>
      <c r="W33" s="12">
        <f>'TUSD BE'!$W$33*'TUSD BF'!$W$58</f>
        <v>0</v>
      </c>
      <c r="X33" s="12">
        <f>'TUSD BE'!$X$33*'TUSD BF'!$X$58</f>
        <v>0</v>
      </c>
      <c r="Y33" s="12">
        <f>'TUSD BE'!$Y$33*'TUSD BF'!$Y$58</f>
        <v>0</v>
      </c>
      <c r="Z33" s="12">
        <f>'TUSD BE'!$Z$33*'TUSD BF'!$Z$58</f>
        <v>0</v>
      </c>
      <c r="AA33" s="12">
        <f>'TUSD BE'!$AA$33*'TUSD BF'!$AA$58</f>
        <v>0</v>
      </c>
      <c r="AB33" s="12">
        <f>SUM($U$33:$AA$33)</f>
        <v>0</v>
      </c>
      <c r="AC33" s="12">
        <f>'TUSD BE'!$AC$33*'TUSD BF'!$AC$58</f>
        <v>0</v>
      </c>
      <c r="AD33" s="12">
        <f>SUM($AC$33:$AC$33)</f>
        <v>0</v>
      </c>
      <c r="AE33" s="12">
        <f ca="1">$AO$33*$AO$55</f>
        <v>0</v>
      </c>
      <c r="AF33" s="12">
        <f ca="1">$AP$33*$AP$55</f>
        <v>0</v>
      </c>
      <c r="AG33" s="12">
        <f ca="1">SUM($AE$33:$AF$33)</f>
        <v>0</v>
      </c>
      <c r="AH33" s="12">
        <f>'TUSD BE'!$AH$33*'TUSD BF'!$AH$58</f>
        <v>0</v>
      </c>
      <c r="AI33" s="12">
        <f>'TUSD BE'!$AI$33*'TUSD BF'!$AI$58</f>
        <v>0</v>
      </c>
      <c r="AJ33" s="12">
        <f ca="1">'TUSD BE'!$AJ$33*'TUSD BF'!$AJ$58</f>
        <v>0</v>
      </c>
      <c r="AK33" s="12">
        <f ca="1">'TUSD BE'!$AK$33*'TUSD BF'!$AK$58</f>
        <v>0</v>
      </c>
      <c r="AL33" s="12">
        <f ca="1">SUM($AH$33:$AK$33)</f>
        <v>0</v>
      </c>
      <c r="AM33" s="12">
        <f ca="1">SUMIF($L$4:$AL$4,"SUBTOTAL",$L$33:$AL$33)</f>
        <v>0</v>
      </c>
      <c r="AO33" s="20">
        <f ca="1">+'TUSD BE'!$T$33+'TUSD BE'!$AB$33+'TUSD BE'!$AD$33+'TUSD BE'!$AL$33</f>
        <v>818.64916748970745</v>
      </c>
      <c r="AP33" s="20">
        <f ca="1">+'TUSD BE'!$T$33+'TUSD BE'!$AB$33+'TUSD BE'!$AD$33+'TUSD BE'!$AL$33</f>
        <v>818.64916748970745</v>
      </c>
    </row>
    <row r="34" spans="1:42" ht="11.25" customHeight="1" x14ac:dyDescent="0.25">
      <c r="A34" s="102"/>
      <c r="B34" s="102" t="s">
        <v>85</v>
      </c>
      <c r="C34" s="102" t="s">
        <v>41</v>
      </c>
      <c r="D34" s="102" t="s">
        <v>88</v>
      </c>
      <c r="E34" s="102" t="s">
        <v>25</v>
      </c>
      <c r="F34" s="102" t="s">
        <v>25</v>
      </c>
      <c r="G34" s="17" t="s">
        <v>72</v>
      </c>
      <c r="H34" s="17" t="s">
        <v>71</v>
      </c>
      <c r="I34" s="17">
        <f>'MERCADO TUSD'!$U$31</f>
        <v>0</v>
      </c>
      <c r="J34" s="15"/>
      <c r="L34" s="12">
        <f>'TUSD BE'!$L$34*'TUSD BF'!$L$58</f>
        <v>0</v>
      </c>
      <c r="M34" s="12">
        <f>'TUSD BE'!$M$34*'TUSD BF'!$M$58</f>
        <v>0</v>
      </c>
      <c r="N34" s="12">
        <f ca="1">'TUSD BE'!$N$34*'TUSD BF'!$N$58</f>
        <v>0</v>
      </c>
      <c r="O34" s="12">
        <f>'TUSD BE'!$O$34*'TUSD BF'!$O$58</f>
        <v>0</v>
      </c>
      <c r="P34" s="12">
        <f>'TUSD BE'!$P$34*'TUSD BF'!$P$58</f>
        <v>0</v>
      </c>
      <c r="Q34" s="12">
        <f>'TUSD BE'!$Q$34*'TUSD BF'!$Q$58</f>
        <v>0</v>
      </c>
      <c r="R34" s="12">
        <f>'TUSD BE'!$R$34*'TUSD BF'!$R$58</f>
        <v>0</v>
      </c>
      <c r="S34" s="12">
        <f>'TUSD BE'!$R$34*'TUSD BF'!$S$58</f>
        <v>0</v>
      </c>
      <c r="T34" s="12">
        <f ca="1">SUM($L$34:$S$34)</f>
        <v>0</v>
      </c>
      <c r="U34" s="12">
        <f>'TUSD BE'!$U$34*'TUSD BF'!$U$58</f>
        <v>0</v>
      </c>
      <c r="V34" s="12">
        <f>'TUSD BE'!$V$34*'TUSD BF'!$V$58</f>
        <v>0</v>
      </c>
      <c r="W34" s="12">
        <f>'TUSD BE'!$W$34*'TUSD BF'!$W$58</f>
        <v>0</v>
      </c>
      <c r="X34" s="12">
        <f>'TUSD BE'!$X$34*'TUSD BF'!$X$58</f>
        <v>0</v>
      </c>
      <c r="Y34" s="12">
        <f>'TUSD BE'!$Y$34*'TUSD BF'!$Y$58</f>
        <v>0</v>
      </c>
      <c r="Z34" s="12">
        <f>'TUSD BE'!$Z$34*'TUSD BF'!$Z$58</f>
        <v>0</v>
      </c>
      <c r="AA34" s="12">
        <f>'TUSD BE'!$AA$34*'TUSD BF'!$AA$58</f>
        <v>0</v>
      </c>
      <c r="AB34" s="12">
        <f>SUM($U$34:$AA$34)</f>
        <v>0</v>
      </c>
      <c r="AC34" s="12">
        <f>'TUSD BE'!$AC$34*'TUSD BF'!$AC$58</f>
        <v>0</v>
      </c>
      <c r="AD34" s="12">
        <f>SUM($AC$34:$AC$34)</f>
        <v>0</v>
      </c>
      <c r="AE34" s="12">
        <f ca="1">$AO$34*$AO$55</f>
        <v>0</v>
      </c>
      <c r="AF34" s="12">
        <f ca="1">$AP$34*$AP$55</f>
        <v>0</v>
      </c>
      <c r="AG34" s="12">
        <f ca="1">SUM($AE$34:$AF$34)</f>
        <v>0</v>
      </c>
      <c r="AH34" s="12">
        <f>'TUSD BE'!$AH$34*'TUSD BF'!$AH$58</f>
        <v>0</v>
      </c>
      <c r="AI34" s="12">
        <f>'TUSD BE'!$AI$34*'TUSD BF'!$AI$58</f>
        <v>0</v>
      </c>
      <c r="AJ34" s="12">
        <f ca="1">'TUSD BE'!$AJ$34*'TUSD BF'!$AJ$58</f>
        <v>0</v>
      </c>
      <c r="AK34" s="12">
        <f ca="1">'TUSD BE'!$AK$34*'TUSD BF'!$AK$58</f>
        <v>0</v>
      </c>
      <c r="AL34" s="12">
        <f ca="1">SUM($AH$34:$AK$34)</f>
        <v>0</v>
      </c>
      <c r="AM34" s="12">
        <f ca="1">SUMIF($L$4:$AL$4,"SUBTOTAL",$L$34:$AL$34)</f>
        <v>0</v>
      </c>
      <c r="AO34" s="20">
        <f ca="1">+'TUSD BE'!$T$34+'TUSD BE'!$AB$34+'TUSD BE'!$AD$34+'TUSD BE'!$AL$34</f>
        <v>1910.0588336192943</v>
      </c>
      <c r="AP34" s="20">
        <f ca="1">+'TUSD BE'!$T$34+'TUSD BE'!$AB$34+'TUSD BE'!$AD$34+'TUSD BE'!$AL$34</f>
        <v>1910.0588336192943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17" t="s">
        <v>83</v>
      </c>
      <c r="H35" s="17" t="s">
        <v>71</v>
      </c>
      <c r="I35" s="17">
        <f>'MERCADO TUSD'!$U$32</f>
        <v>0</v>
      </c>
      <c r="J35" s="15"/>
      <c r="L35" s="12">
        <f>'TUSD BE'!$L$35*'TUSD BF'!$L$58</f>
        <v>0</v>
      </c>
      <c r="M35" s="12">
        <f>'TUSD BE'!$M$35*'TUSD BF'!$M$58</f>
        <v>0</v>
      </c>
      <c r="N35" s="12">
        <f ca="1">'TUSD BE'!$N$35*'TUSD BF'!$N$58</f>
        <v>0</v>
      </c>
      <c r="O35" s="12">
        <f>'TUSD BE'!$O$35*'TUSD BF'!$O$58</f>
        <v>0</v>
      </c>
      <c r="P35" s="12">
        <f>'TUSD BE'!$P$35*'TUSD BF'!$P$58</f>
        <v>0</v>
      </c>
      <c r="Q35" s="12">
        <f>'TUSD BE'!$Q$35*'TUSD BF'!$Q$58</f>
        <v>0</v>
      </c>
      <c r="R35" s="12">
        <f>'TUSD BE'!$R$35*'TUSD BF'!$R$58</f>
        <v>0</v>
      </c>
      <c r="S35" s="12">
        <f>'TUSD BE'!$R$35*'TUSD BF'!$S$58</f>
        <v>0</v>
      </c>
      <c r="T35" s="12">
        <f ca="1">SUM($L$35:$S$35)</f>
        <v>0</v>
      </c>
      <c r="U35" s="12">
        <f>'TUSD BE'!$U$35*'TUSD BF'!$U$58</f>
        <v>0</v>
      </c>
      <c r="V35" s="12">
        <f>'TUSD BE'!$V$35*'TUSD BF'!$V$58</f>
        <v>0</v>
      </c>
      <c r="W35" s="12">
        <f>'TUSD BE'!$W$35*'TUSD BF'!$W$58</f>
        <v>0</v>
      </c>
      <c r="X35" s="12">
        <f>'TUSD BE'!$X$35*'TUSD BF'!$X$58</f>
        <v>0</v>
      </c>
      <c r="Y35" s="12">
        <f>'TUSD BE'!$Y$35*'TUSD BF'!$Y$58</f>
        <v>0</v>
      </c>
      <c r="Z35" s="12">
        <f>'TUSD BE'!$Z$35*'TUSD BF'!$Z$58</f>
        <v>0</v>
      </c>
      <c r="AA35" s="12">
        <f>'TUSD BE'!$AA$35*'TUSD BF'!$AA$58</f>
        <v>0</v>
      </c>
      <c r="AB35" s="12">
        <f>SUM($U$35:$AA$35)</f>
        <v>0</v>
      </c>
      <c r="AC35" s="12">
        <f>'TUSD BE'!$AC$35*'TUSD BF'!$AC$58</f>
        <v>0</v>
      </c>
      <c r="AD35" s="12">
        <f>SUM($AC$35:$AC$35)</f>
        <v>0</v>
      </c>
      <c r="AE35" s="12">
        <f ca="1">$AO$35*$AO$55</f>
        <v>0</v>
      </c>
      <c r="AF35" s="12">
        <f ca="1">$AP$35*$AP$55</f>
        <v>0</v>
      </c>
      <c r="AG35" s="12">
        <f ca="1">SUM($AE$35:$AF$35)</f>
        <v>0</v>
      </c>
      <c r="AH35" s="12">
        <f>'TUSD BE'!$AH$35*'TUSD BF'!$AH$58</f>
        <v>0</v>
      </c>
      <c r="AI35" s="12">
        <f>'TUSD BE'!$AI$35*'TUSD BF'!$AI$58</f>
        <v>0</v>
      </c>
      <c r="AJ35" s="12">
        <f ca="1">'TUSD BE'!$AJ$35*'TUSD BF'!$AJ$58</f>
        <v>0</v>
      </c>
      <c r="AK35" s="12">
        <f ca="1">'TUSD BE'!$AK$35*'TUSD BF'!$AK$58</f>
        <v>0</v>
      </c>
      <c r="AL35" s="12">
        <f ca="1">SUM($AH$35:$AK$35)</f>
        <v>0</v>
      </c>
      <c r="AM35" s="12">
        <f ca="1">SUMIF($L$4:$AL$4,"SUBTOTAL",$L$35:$AL$35)</f>
        <v>0</v>
      </c>
      <c r="AO35" s="20">
        <f ca="1">+'TUSD BE'!$T$35+'TUSD BE'!$AB$35+'TUSD BE'!$AD$35+'TUSD BE'!$AL$35</f>
        <v>1200.624040332207</v>
      </c>
      <c r="AP35" s="20">
        <f ca="1">+'TUSD BE'!$T$35+'TUSD BE'!$AB$35+'TUSD BE'!$AD$35+'TUSD BE'!$AL$35</f>
        <v>1200.624040332207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17" t="s">
        <v>73</v>
      </c>
      <c r="H36" s="17" t="s">
        <v>71</v>
      </c>
      <c r="I36" s="17">
        <f>'MERCADO TUSD'!$U$33</f>
        <v>0</v>
      </c>
      <c r="J36" s="15"/>
      <c r="L36" s="12">
        <f>'TUSD BE'!$L$36*'TUSD BF'!$L$58</f>
        <v>0</v>
      </c>
      <c r="M36" s="12">
        <f>'TUSD BE'!$M$36*'TUSD BF'!$M$58</f>
        <v>0</v>
      </c>
      <c r="N36" s="12">
        <f ca="1">'TUSD BE'!$N$36*'TUSD BF'!$N$58</f>
        <v>0</v>
      </c>
      <c r="O36" s="12">
        <f>'TUSD BE'!$O$36*'TUSD BF'!$O$58</f>
        <v>0</v>
      </c>
      <c r="P36" s="12">
        <f>'TUSD BE'!$P$36*'TUSD BF'!$P$58</f>
        <v>0</v>
      </c>
      <c r="Q36" s="12">
        <f>'TUSD BE'!$Q$36*'TUSD BF'!$Q$58</f>
        <v>0</v>
      </c>
      <c r="R36" s="12">
        <f>'TUSD BE'!$R$36*'TUSD BF'!$R$58</f>
        <v>0</v>
      </c>
      <c r="S36" s="12">
        <f>'TUSD BE'!$R$36*'TUSD BF'!$S$58</f>
        <v>0</v>
      </c>
      <c r="T36" s="12">
        <f ca="1">SUM($L$36:$S$36)</f>
        <v>0</v>
      </c>
      <c r="U36" s="12">
        <f>'TUSD BE'!$U$36*'TUSD BF'!$U$58</f>
        <v>0</v>
      </c>
      <c r="V36" s="12">
        <f>'TUSD BE'!$V$36*'TUSD BF'!$V$58</f>
        <v>0</v>
      </c>
      <c r="W36" s="12">
        <f>'TUSD BE'!$W$36*'TUSD BF'!$W$58</f>
        <v>0</v>
      </c>
      <c r="X36" s="12">
        <f>'TUSD BE'!$X$36*'TUSD BF'!$X$58</f>
        <v>0</v>
      </c>
      <c r="Y36" s="12">
        <f>'TUSD BE'!$Y$36*'TUSD BF'!$Y$58</f>
        <v>0</v>
      </c>
      <c r="Z36" s="12">
        <f>'TUSD BE'!$Z$36*'TUSD BF'!$Z$58</f>
        <v>0</v>
      </c>
      <c r="AA36" s="12">
        <f>'TUSD BE'!$AA$36*'TUSD BF'!$AA$58</f>
        <v>0</v>
      </c>
      <c r="AB36" s="12">
        <f>SUM($U$36:$AA$36)</f>
        <v>0</v>
      </c>
      <c r="AC36" s="12">
        <f>'TUSD BE'!$AC$36*'TUSD BF'!$AC$58</f>
        <v>0</v>
      </c>
      <c r="AD36" s="12">
        <f>SUM($AC$36:$AC$36)</f>
        <v>0</v>
      </c>
      <c r="AE36" s="12">
        <f ca="1">$AO$36*$AO$55</f>
        <v>0</v>
      </c>
      <c r="AF36" s="12">
        <f ca="1">$AP$36*$AP$55</f>
        <v>0</v>
      </c>
      <c r="AG36" s="12">
        <f ca="1">SUM($AE$36:$AF$36)</f>
        <v>0</v>
      </c>
      <c r="AH36" s="12">
        <f>'TUSD BE'!$AH$36*'TUSD BF'!$AH$58</f>
        <v>0</v>
      </c>
      <c r="AI36" s="12">
        <f>'TUSD BE'!$AI$36*'TUSD BF'!$AI$58</f>
        <v>0</v>
      </c>
      <c r="AJ36" s="12">
        <f ca="1">'TUSD BE'!$AJ$36*'TUSD BF'!$AJ$58</f>
        <v>0</v>
      </c>
      <c r="AK36" s="12">
        <f ca="1">'TUSD BE'!$AK$36*'TUSD BF'!$AK$58</f>
        <v>0</v>
      </c>
      <c r="AL36" s="12">
        <f ca="1">SUM($AH$36:$AK$36)</f>
        <v>0</v>
      </c>
      <c r="AM36" s="12">
        <f ca="1">SUMIF($L$4:$AL$4,"SUBTOTAL",$L$36:$AL$36)</f>
        <v>0</v>
      </c>
      <c r="AO36" s="20">
        <f ca="1">+'TUSD BE'!$T$36+'TUSD BE'!$AB$36+'TUSD BE'!$AD$36+'TUSD BE'!$AL$36</f>
        <v>491.18881578861135</v>
      </c>
      <c r="AP36" s="20">
        <f ca="1">+'TUSD BE'!$T$36+'TUSD BE'!$AB$36+'TUSD BE'!$AD$36+'TUSD BE'!$AL$36</f>
        <v>491.18881578861135</v>
      </c>
    </row>
    <row r="37" spans="1:42" ht="11.25" customHeight="1" x14ac:dyDescent="0.25">
      <c r="A37" s="102"/>
      <c r="B37" s="18" t="s">
        <v>23</v>
      </c>
      <c r="C37" s="18" t="s">
        <v>41</v>
      </c>
      <c r="D37" s="18" t="s">
        <v>88</v>
      </c>
      <c r="E37" s="18" t="s">
        <v>25</v>
      </c>
      <c r="F37" s="18" t="s">
        <v>25</v>
      </c>
      <c r="G37" s="17" t="s">
        <v>77</v>
      </c>
      <c r="H37" s="17" t="s">
        <v>71</v>
      </c>
      <c r="I37" s="17">
        <f>'MERCADO TUSD'!$U$34</f>
        <v>0</v>
      </c>
      <c r="J37" s="15"/>
      <c r="L37" s="12">
        <f>'TUSD BE'!$L$37*'TUSD BF'!$L$58</f>
        <v>0</v>
      </c>
      <c r="M37" s="12">
        <f>'TUSD BE'!$M$37*'TUSD BF'!$M$58</f>
        <v>0</v>
      </c>
      <c r="N37" s="12">
        <f ca="1">'TUSD BE'!$N$37*'TUSD BF'!$N$58</f>
        <v>0</v>
      </c>
      <c r="O37" s="12">
        <f>'TUSD BE'!$O$37*'TUSD BF'!$O$58</f>
        <v>0</v>
      </c>
      <c r="P37" s="12">
        <f>'TUSD BE'!$P$37*'TUSD BF'!$P$58</f>
        <v>0</v>
      </c>
      <c r="Q37" s="12">
        <f>'TUSD BE'!$Q$37*'TUSD BF'!$Q$58</f>
        <v>0</v>
      </c>
      <c r="R37" s="12">
        <f>'TUSD BE'!$R$37*'TUSD BF'!$R$58</f>
        <v>0</v>
      </c>
      <c r="S37" s="12">
        <f>'TUSD BE'!$R$37*'TUSD BF'!$S$58</f>
        <v>0</v>
      </c>
      <c r="T37" s="12">
        <f ca="1">SUM($L$37:$S$37)</f>
        <v>0</v>
      </c>
      <c r="U37" s="12">
        <f>'TUSD BE'!$U$37*'TUSD BF'!$U$58</f>
        <v>0</v>
      </c>
      <c r="V37" s="12">
        <f>'TUSD BE'!$V$37*'TUSD BF'!$V$58</f>
        <v>0</v>
      </c>
      <c r="W37" s="12">
        <f>'TUSD BE'!$W$37*'TUSD BF'!$W$58</f>
        <v>0</v>
      </c>
      <c r="X37" s="12">
        <f>'TUSD BE'!$X$37*'TUSD BF'!$X$58</f>
        <v>0</v>
      </c>
      <c r="Y37" s="12">
        <f>'TUSD BE'!$Y$37*'TUSD BF'!$Y$58</f>
        <v>0</v>
      </c>
      <c r="Z37" s="12">
        <f>'TUSD BE'!$Z$37*'TUSD BF'!$Z$58</f>
        <v>0</v>
      </c>
      <c r="AA37" s="12">
        <f>'TUSD BE'!$AA$37*'TUSD BF'!$AA$58</f>
        <v>0</v>
      </c>
      <c r="AB37" s="12">
        <f>SUM($U$37:$AA$37)</f>
        <v>0</v>
      </c>
      <c r="AC37" s="12">
        <f>'TUSD BE'!$AC$37*'TUSD BF'!$AC$58</f>
        <v>0</v>
      </c>
      <c r="AD37" s="12">
        <f>SUM($AC$37:$AC$37)</f>
        <v>0</v>
      </c>
      <c r="AE37" s="12">
        <f ca="1">$AO$37*$AO$55</f>
        <v>0</v>
      </c>
      <c r="AF37" s="12">
        <f ca="1">$AP$37*$AP$55</f>
        <v>0</v>
      </c>
      <c r="AG37" s="12">
        <f ca="1">SUM($AE$37:$AF$37)</f>
        <v>0</v>
      </c>
      <c r="AH37" s="12">
        <f>'TUSD BE'!$AH$37*'TUSD BF'!$AH$58</f>
        <v>0</v>
      </c>
      <c r="AI37" s="12">
        <f>'TUSD BE'!$AI$37*'TUSD BF'!$AI$58</f>
        <v>0</v>
      </c>
      <c r="AJ37" s="12">
        <f ca="1">'TUSD BE'!$AJ$37*'TUSD BF'!$AJ$58</f>
        <v>0</v>
      </c>
      <c r="AK37" s="12">
        <f ca="1">'TUSD BE'!$AK$37*'TUSD BF'!$AK$58</f>
        <v>0</v>
      </c>
      <c r="AL37" s="12">
        <f ca="1">SUM($AH$37:$AK$37)</f>
        <v>0</v>
      </c>
      <c r="AM37" s="12">
        <f ca="1">SUMIF($L$4:$AL$4,"SUBTOTAL",$L$37:$AL$37)</f>
        <v>0</v>
      </c>
      <c r="AO37" s="20">
        <f ca="1">+'TUSD BE'!$T$37+'TUSD BE'!$AB$37+'TUSD BE'!$AD$37+'TUSD BE'!$AL$37</f>
        <v>818.64916748970745</v>
      </c>
      <c r="AP37" s="20">
        <f ca="1">+'TUSD BE'!$T$37+'TUSD BE'!$AB$37+'TUSD BE'!$AD$37+'TUSD BE'!$AL$37</f>
        <v>818.64916748970745</v>
      </c>
    </row>
    <row r="38" spans="1:42" ht="11.25" customHeight="1" x14ac:dyDescent="0.25">
      <c r="A38" s="102"/>
      <c r="B38" s="102" t="s">
        <v>85</v>
      </c>
      <c r="C38" s="102" t="s">
        <v>41</v>
      </c>
      <c r="D38" s="102" t="s">
        <v>89</v>
      </c>
      <c r="E38" s="102" t="s">
        <v>25</v>
      </c>
      <c r="F38" s="102" t="s">
        <v>25</v>
      </c>
      <c r="G38" s="17" t="s">
        <v>72</v>
      </c>
      <c r="H38" s="17" t="s">
        <v>71</v>
      </c>
      <c r="I38" s="17">
        <f>'MERCADO TUSD'!$U$35</f>
        <v>0</v>
      </c>
      <c r="J38" s="15"/>
      <c r="L38" s="12">
        <f>'TUSD BE'!$L$38*'TUSD BF'!$L$58</f>
        <v>0</v>
      </c>
      <c r="M38" s="12">
        <f>'TUSD BE'!$M$38*'TUSD BF'!$M$58</f>
        <v>0</v>
      </c>
      <c r="N38" s="12">
        <f ca="1">'TUSD BE'!$N$38*'TUSD BF'!$N$58</f>
        <v>0</v>
      </c>
      <c r="O38" s="12">
        <f>'TUSD BE'!$O$38*'TUSD BF'!$O$58</f>
        <v>0</v>
      </c>
      <c r="P38" s="12">
        <f>'TUSD BE'!$P$38*'TUSD BF'!$P$58</f>
        <v>0</v>
      </c>
      <c r="Q38" s="12">
        <f>'TUSD BE'!$Q$38*'TUSD BF'!$Q$58</f>
        <v>0</v>
      </c>
      <c r="R38" s="12">
        <f>'TUSD BE'!$R$38*'TUSD BF'!$R$58</f>
        <v>0</v>
      </c>
      <c r="S38" s="12">
        <f>'TUSD BE'!$R$38*'TUSD BF'!$S$58</f>
        <v>0</v>
      </c>
      <c r="T38" s="12">
        <f ca="1">SUM($L$38:$S$38)</f>
        <v>0</v>
      </c>
      <c r="U38" s="12">
        <f>'TUSD BE'!$U$38*'TUSD BF'!$U$58</f>
        <v>0</v>
      </c>
      <c r="V38" s="12">
        <f>'TUSD BE'!$V$38*'TUSD BF'!$V$58</f>
        <v>0</v>
      </c>
      <c r="W38" s="12">
        <f>'TUSD BE'!$W$38*'TUSD BF'!$W$58</f>
        <v>0</v>
      </c>
      <c r="X38" s="12">
        <f>'TUSD BE'!$X$38*'TUSD BF'!$X$58</f>
        <v>0</v>
      </c>
      <c r="Y38" s="12">
        <f>'TUSD BE'!$Y$38*'TUSD BF'!$Y$58</f>
        <v>0</v>
      </c>
      <c r="Z38" s="12">
        <f>'TUSD BE'!$Z$38*'TUSD BF'!$Z$58</f>
        <v>0</v>
      </c>
      <c r="AA38" s="12">
        <f>'TUSD BE'!$AA$38*'TUSD BF'!$AA$58</f>
        <v>0</v>
      </c>
      <c r="AB38" s="12">
        <f>SUM($U$38:$AA$38)</f>
        <v>0</v>
      </c>
      <c r="AC38" s="12">
        <f>'TUSD BE'!$AC$38*'TUSD BF'!$AC$58</f>
        <v>0</v>
      </c>
      <c r="AD38" s="12">
        <f>SUM($AC$38:$AC$38)</f>
        <v>0</v>
      </c>
      <c r="AE38" s="12">
        <f ca="1">$AO$38*$AO$55</f>
        <v>0</v>
      </c>
      <c r="AF38" s="12">
        <f ca="1">$AP$38*$AP$55</f>
        <v>0</v>
      </c>
      <c r="AG38" s="12">
        <f ca="1">SUM($AE$38:$AF$38)</f>
        <v>0</v>
      </c>
      <c r="AH38" s="12">
        <f>'TUSD BE'!$AH$38*'TUSD BF'!$AH$58</f>
        <v>0</v>
      </c>
      <c r="AI38" s="12">
        <f>'TUSD BE'!$AI$38*'TUSD BF'!$AI$58</f>
        <v>0</v>
      </c>
      <c r="AJ38" s="12">
        <f ca="1">'TUSD BE'!$AJ$38*'TUSD BF'!$AJ$58</f>
        <v>0</v>
      </c>
      <c r="AK38" s="12">
        <f ca="1">'TUSD BE'!$AK$38*'TUSD BF'!$AK$58</f>
        <v>0</v>
      </c>
      <c r="AL38" s="12">
        <f ca="1">SUM($AH$38:$AK$38)</f>
        <v>0</v>
      </c>
      <c r="AM38" s="12">
        <f ca="1">SUMIF($L$4:$AL$4,"SUBTOTAL",$L$38:$AL$38)</f>
        <v>0</v>
      </c>
      <c r="AO38" s="20">
        <f ca="1">+'TUSD BE'!$T$38+'TUSD BE'!$AB$38+'TUSD BE'!$AD$38+'TUSD BE'!$AL$38</f>
        <v>1910.0588336192943</v>
      </c>
      <c r="AP38" s="20">
        <f ca="1">+'TUSD BE'!$T$38+'TUSD BE'!$AB$38+'TUSD BE'!$AD$38+'TUSD BE'!$AL$38</f>
        <v>1910.0588336192943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17" t="s">
        <v>83</v>
      </c>
      <c r="H39" s="17" t="s">
        <v>71</v>
      </c>
      <c r="I39" s="17">
        <f>'MERCADO TUSD'!$U$36</f>
        <v>0</v>
      </c>
      <c r="J39" s="15"/>
      <c r="L39" s="12">
        <f>'TUSD BE'!$L$39*'TUSD BF'!$L$58</f>
        <v>0</v>
      </c>
      <c r="M39" s="12">
        <f>'TUSD BE'!$M$39*'TUSD BF'!$M$58</f>
        <v>0</v>
      </c>
      <c r="N39" s="12">
        <f ca="1">'TUSD BE'!$N$39*'TUSD BF'!$N$58</f>
        <v>0</v>
      </c>
      <c r="O39" s="12">
        <f>'TUSD BE'!$O$39*'TUSD BF'!$O$58</f>
        <v>0</v>
      </c>
      <c r="P39" s="12">
        <f>'TUSD BE'!$P$39*'TUSD BF'!$P$58</f>
        <v>0</v>
      </c>
      <c r="Q39" s="12">
        <f>'TUSD BE'!$Q$39*'TUSD BF'!$Q$58</f>
        <v>0</v>
      </c>
      <c r="R39" s="12">
        <f>'TUSD BE'!$R$39*'TUSD BF'!$R$58</f>
        <v>0</v>
      </c>
      <c r="S39" s="12">
        <f>'TUSD BE'!$R$39*'TUSD BF'!$S$58</f>
        <v>0</v>
      </c>
      <c r="T39" s="12">
        <f ca="1">SUM($L$39:$S$39)</f>
        <v>0</v>
      </c>
      <c r="U39" s="12">
        <f>'TUSD BE'!$U$39*'TUSD BF'!$U$58</f>
        <v>0</v>
      </c>
      <c r="V39" s="12">
        <f>'TUSD BE'!$V$39*'TUSD BF'!$V$58</f>
        <v>0</v>
      </c>
      <c r="W39" s="12">
        <f>'TUSD BE'!$W$39*'TUSD BF'!$W$58</f>
        <v>0</v>
      </c>
      <c r="X39" s="12">
        <f>'TUSD BE'!$X$39*'TUSD BF'!$X$58</f>
        <v>0</v>
      </c>
      <c r="Y39" s="12">
        <f>'TUSD BE'!$Y$39*'TUSD BF'!$Y$58</f>
        <v>0</v>
      </c>
      <c r="Z39" s="12">
        <f>'TUSD BE'!$Z$39*'TUSD BF'!$Z$58</f>
        <v>0</v>
      </c>
      <c r="AA39" s="12">
        <f>'TUSD BE'!$AA$39*'TUSD BF'!$AA$58</f>
        <v>0</v>
      </c>
      <c r="AB39" s="12">
        <f>SUM($U$39:$AA$39)</f>
        <v>0</v>
      </c>
      <c r="AC39" s="12">
        <f>'TUSD BE'!$AC$39*'TUSD BF'!$AC$58</f>
        <v>0</v>
      </c>
      <c r="AD39" s="12">
        <f>SUM($AC$39:$AC$39)</f>
        <v>0</v>
      </c>
      <c r="AE39" s="12">
        <f ca="1">$AO$39*$AO$55</f>
        <v>0</v>
      </c>
      <c r="AF39" s="12">
        <f ca="1">$AP$39*$AP$55</f>
        <v>0</v>
      </c>
      <c r="AG39" s="12">
        <f ca="1">SUM($AE$39:$AF$39)</f>
        <v>0</v>
      </c>
      <c r="AH39" s="12">
        <f>'TUSD BE'!$AH$39*'TUSD BF'!$AH$58</f>
        <v>0</v>
      </c>
      <c r="AI39" s="12">
        <f>'TUSD BE'!$AI$39*'TUSD BF'!$AI$58</f>
        <v>0</v>
      </c>
      <c r="AJ39" s="12">
        <f ca="1">'TUSD BE'!$AJ$39*'TUSD BF'!$AJ$58</f>
        <v>0</v>
      </c>
      <c r="AK39" s="12">
        <f ca="1">'TUSD BE'!$AK$39*'TUSD BF'!$AK$58</f>
        <v>0</v>
      </c>
      <c r="AL39" s="12">
        <f ca="1">SUM($AH$39:$AK$39)</f>
        <v>0</v>
      </c>
      <c r="AM39" s="12">
        <f ca="1">SUMIF($L$4:$AL$4,"SUBTOTAL",$L$39:$AL$39)</f>
        <v>0</v>
      </c>
      <c r="AO39" s="20">
        <f ca="1">+'TUSD BE'!$T$39+'TUSD BE'!$AB$39+'TUSD BE'!$AD$39+'TUSD BE'!$AL$39</f>
        <v>1200.624040332207</v>
      </c>
      <c r="AP39" s="20">
        <f ca="1">+'TUSD BE'!$T$39+'TUSD BE'!$AB$39+'TUSD BE'!$AD$39+'TUSD BE'!$AL$39</f>
        <v>1200.624040332207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17" t="s">
        <v>73</v>
      </c>
      <c r="H40" s="17" t="s">
        <v>71</v>
      </c>
      <c r="I40" s="17">
        <f>'MERCADO TUSD'!$U$37</f>
        <v>0</v>
      </c>
      <c r="J40" s="15"/>
      <c r="L40" s="12">
        <f>'TUSD BE'!$L$40*'TUSD BF'!$L$58</f>
        <v>0</v>
      </c>
      <c r="M40" s="12">
        <f>'TUSD BE'!$M$40*'TUSD BF'!$M$58</f>
        <v>0</v>
      </c>
      <c r="N40" s="12">
        <f ca="1">'TUSD BE'!$N$40*'TUSD BF'!$N$58</f>
        <v>0</v>
      </c>
      <c r="O40" s="12">
        <f>'TUSD BE'!$O$40*'TUSD BF'!$O$58</f>
        <v>0</v>
      </c>
      <c r="P40" s="12">
        <f>'TUSD BE'!$P$40*'TUSD BF'!$P$58</f>
        <v>0</v>
      </c>
      <c r="Q40" s="12">
        <f>'TUSD BE'!$Q$40*'TUSD BF'!$Q$58</f>
        <v>0</v>
      </c>
      <c r="R40" s="12">
        <f>'TUSD BE'!$R$40*'TUSD BF'!$R$58</f>
        <v>0</v>
      </c>
      <c r="S40" s="12">
        <f>'TUSD BE'!$R$40*'TUSD BF'!$S$58</f>
        <v>0</v>
      </c>
      <c r="T40" s="12">
        <f ca="1">SUM($L$40:$S$40)</f>
        <v>0</v>
      </c>
      <c r="U40" s="12">
        <f>'TUSD BE'!$U$40*'TUSD BF'!$U$58</f>
        <v>0</v>
      </c>
      <c r="V40" s="12">
        <f>'TUSD BE'!$V$40*'TUSD BF'!$V$58</f>
        <v>0</v>
      </c>
      <c r="W40" s="12">
        <f>'TUSD BE'!$W$40*'TUSD BF'!$W$58</f>
        <v>0</v>
      </c>
      <c r="X40" s="12">
        <f>'TUSD BE'!$X$40*'TUSD BF'!$X$58</f>
        <v>0</v>
      </c>
      <c r="Y40" s="12">
        <f>'TUSD BE'!$Y$40*'TUSD BF'!$Y$58</f>
        <v>0</v>
      </c>
      <c r="Z40" s="12">
        <f>'TUSD BE'!$Z$40*'TUSD BF'!$Z$58</f>
        <v>0</v>
      </c>
      <c r="AA40" s="12">
        <f>'TUSD BE'!$AA$40*'TUSD BF'!$AA$58</f>
        <v>0</v>
      </c>
      <c r="AB40" s="12">
        <f>SUM($U$40:$AA$40)</f>
        <v>0</v>
      </c>
      <c r="AC40" s="12">
        <f>'TUSD BE'!$AC$40*'TUSD BF'!$AC$58</f>
        <v>0</v>
      </c>
      <c r="AD40" s="12">
        <f>SUM($AC$40:$AC$40)</f>
        <v>0</v>
      </c>
      <c r="AE40" s="12">
        <f ca="1">$AO$40*$AO$55</f>
        <v>0</v>
      </c>
      <c r="AF40" s="12">
        <f ca="1">$AP$40*$AP$55</f>
        <v>0</v>
      </c>
      <c r="AG40" s="12">
        <f ca="1">SUM($AE$40:$AF$40)</f>
        <v>0</v>
      </c>
      <c r="AH40" s="12">
        <f>'TUSD BE'!$AH$40*'TUSD BF'!$AH$58</f>
        <v>0</v>
      </c>
      <c r="AI40" s="12">
        <f>'TUSD BE'!$AI$40*'TUSD BF'!$AI$58</f>
        <v>0</v>
      </c>
      <c r="AJ40" s="12">
        <f ca="1">'TUSD BE'!$AJ$40*'TUSD BF'!$AJ$58</f>
        <v>0</v>
      </c>
      <c r="AK40" s="12">
        <f ca="1">'TUSD BE'!$AK$40*'TUSD BF'!$AK$58</f>
        <v>0</v>
      </c>
      <c r="AL40" s="12">
        <f ca="1">SUM($AH$40:$AK$40)</f>
        <v>0</v>
      </c>
      <c r="AM40" s="12">
        <f ca="1">SUMIF($L$4:$AL$4,"SUBTOTAL",$L$40:$AL$40)</f>
        <v>0</v>
      </c>
      <c r="AO40" s="20">
        <f ca="1">+'TUSD BE'!$T$40+'TUSD BE'!$AB$40+'TUSD BE'!$AD$40+'TUSD BE'!$AL$40</f>
        <v>491.18881578861135</v>
      </c>
      <c r="AP40" s="20">
        <f ca="1">+'TUSD BE'!$T$40+'TUSD BE'!$AB$40+'TUSD BE'!$AD$40+'TUSD BE'!$AL$40</f>
        <v>491.18881578861135</v>
      </c>
    </row>
    <row r="41" spans="1:42" ht="11.25" customHeight="1" x14ac:dyDescent="0.25">
      <c r="A41" s="102"/>
      <c r="B41" s="18" t="s">
        <v>23</v>
      </c>
      <c r="C41" s="18" t="s">
        <v>41</v>
      </c>
      <c r="D41" s="18" t="s">
        <v>89</v>
      </c>
      <c r="E41" s="18" t="s">
        <v>25</v>
      </c>
      <c r="F41" s="18" t="s">
        <v>25</v>
      </c>
      <c r="G41" s="17" t="s">
        <v>77</v>
      </c>
      <c r="H41" s="17" t="s">
        <v>71</v>
      </c>
      <c r="I41" s="17">
        <f>'MERCADO TUSD'!$U$38</f>
        <v>0</v>
      </c>
      <c r="J41" s="15"/>
      <c r="L41" s="12">
        <f>'TUSD BE'!$L$41*'TUSD BF'!$L$58</f>
        <v>0</v>
      </c>
      <c r="M41" s="12">
        <f>'TUSD BE'!$M$41*'TUSD BF'!$M$58</f>
        <v>0</v>
      </c>
      <c r="N41" s="12">
        <f ca="1">'TUSD BE'!$N$41*'TUSD BF'!$N$58</f>
        <v>0</v>
      </c>
      <c r="O41" s="12">
        <f>'TUSD BE'!$O$41*'TUSD BF'!$O$58</f>
        <v>0</v>
      </c>
      <c r="P41" s="12">
        <f>'TUSD BE'!$P$41*'TUSD BF'!$P$58</f>
        <v>0</v>
      </c>
      <c r="Q41" s="12">
        <f>'TUSD BE'!$Q$41*'TUSD BF'!$Q$58</f>
        <v>0</v>
      </c>
      <c r="R41" s="12">
        <f>'TUSD BE'!$R$41*'TUSD BF'!$R$58</f>
        <v>0</v>
      </c>
      <c r="S41" s="12">
        <f>'TUSD BE'!$R$41*'TUSD BF'!$S$58</f>
        <v>0</v>
      </c>
      <c r="T41" s="12">
        <f ca="1">SUM($L$41:$S$41)</f>
        <v>0</v>
      </c>
      <c r="U41" s="12">
        <f>'TUSD BE'!$U$41*'TUSD BF'!$U$58</f>
        <v>0</v>
      </c>
      <c r="V41" s="12">
        <f>'TUSD BE'!$V$41*'TUSD BF'!$V$58</f>
        <v>0</v>
      </c>
      <c r="W41" s="12">
        <f>'TUSD BE'!$W$41*'TUSD BF'!$W$58</f>
        <v>0</v>
      </c>
      <c r="X41" s="12">
        <f>'TUSD BE'!$X$41*'TUSD BF'!$X$58</f>
        <v>0</v>
      </c>
      <c r="Y41" s="12">
        <f>'TUSD BE'!$Y$41*'TUSD BF'!$Y$58</f>
        <v>0</v>
      </c>
      <c r="Z41" s="12">
        <f>'TUSD BE'!$Z$41*'TUSD BF'!$Z$58</f>
        <v>0</v>
      </c>
      <c r="AA41" s="12">
        <f>'TUSD BE'!$AA$41*'TUSD BF'!$AA$58</f>
        <v>0</v>
      </c>
      <c r="AB41" s="12">
        <f>SUM($U$41:$AA$41)</f>
        <v>0</v>
      </c>
      <c r="AC41" s="12">
        <f>'TUSD BE'!$AC$41*'TUSD BF'!$AC$58</f>
        <v>0</v>
      </c>
      <c r="AD41" s="12">
        <f>SUM($AC$41:$AC$41)</f>
        <v>0</v>
      </c>
      <c r="AE41" s="12">
        <f ca="1">$AO$41*$AO$55</f>
        <v>0</v>
      </c>
      <c r="AF41" s="12">
        <f ca="1">$AP$41*$AP$55</f>
        <v>0</v>
      </c>
      <c r="AG41" s="12">
        <f ca="1">SUM($AE$41:$AF$41)</f>
        <v>0</v>
      </c>
      <c r="AH41" s="12">
        <f>'TUSD BE'!$AH$41*'TUSD BF'!$AH$58</f>
        <v>0</v>
      </c>
      <c r="AI41" s="12">
        <f>'TUSD BE'!$AI$41*'TUSD BF'!$AI$58</f>
        <v>0</v>
      </c>
      <c r="AJ41" s="12">
        <f ca="1">'TUSD BE'!$AJ$41*'TUSD BF'!$AJ$58</f>
        <v>0</v>
      </c>
      <c r="AK41" s="12">
        <f ca="1">'TUSD BE'!$AK$41*'TUSD BF'!$AK$58</f>
        <v>0</v>
      </c>
      <c r="AL41" s="12">
        <f ca="1">SUM($AH$41:$AK$41)</f>
        <v>0</v>
      </c>
      <c r="AM41" s="12">
        <f ca="1">SUMIF($L$4:$AL$4,"SUBTOTAL",$L$41:$AL$41)</f>
        <v>0</v>
      </c>
      <c r="AO41" s="20">
        <f ca="1">+'TUSD BE'!$T$41+'TUSD BE'!$AB$41+'TUSD BE'!$AD$41+'TUSD BE'!$AL$41</f>
        <v>818.64916748970745</v>
      </c>
      <c r="AP41" s="20">
        <f ca="1">+'TUSD BE'!$T$41+'TUSD BE'!$AB$41+'TUSD BE'!$AD$41+'TUSD BE'!$AL$41</f>
        <v>818.64916748970745</v>
      </c>
    </row>
    <row r="42" spans="1:42" ht="11.25" customHeight="1" x14ac:dyDescent="0.25">
      <c r="A42" s="102"/>
      <c r="B42" s="102" t="s">
        <v>87</v>
      </c>
      <c r="C42" s="102" t="s">
        <v>41</v>
      </c>
      <c r="D42" s="18" t="s">
        <v>25</v>
      </c>
      <c r="E42" s="18" t="s">
        <v>25</v>
      </c>
      <c r="F42" s="18" t="s">
        <v>25</v>
      </c>
      <c r="G42" s="17" t="s">
        <v>77</v>
      </c>
      <c r="H42" s="17" t="s">
        <v>71</v>
      </c>
      <c r="I42" s="17">
        <f>'MERCADO TUSD'!$U$39</f>
        <v>0</v>
      </c>
      <c r="J42" s="15"/>
      <c r="L42" s="12">
        <f>'TUSD BE'!$L$42*'TUSD BF'!$L$58</f>
        <v>0</v>
      </c>
      <c r="M42" s="12">
        <f>'TUSD BE'!$M$42*'TUSD BF'!$M$58</f>
        <v>0</v>
      </c>
      <c r="N42" s="12">
        <f ca="1">'TUSD BE'!$N$42*'TUSD BF'!$N$58</f>
        <v>0</v>
      </c>
      <c r="O42" s="12">
        <f>'TUSD BE'!$O$42*'TUSD BF'!$O$58</f>
        <v>0</v>
      </c>
      <c r="P42" s="12">
        <f>'TUSD BE'!$P$42*'TUSD BF'!$P$58</f>
        <v>0</v>
      </c>
      <c r="Q42" s="12">
        <f>'TUSD BE'!$Q$42*'TUSD BF'!$Q$58</f>
        <v>0</v>
      </c>
      <c r="R42" s="12">
        <f>'TUSD BE'!$R$42*'TUSD BF'!$R$58</f>
        <v>0</v>
      </c>
      <c r="S42" s="12">
        <f>'TUSD BE'!$R$42*'TUSD BF'!$S$58</f>
        <v>0</v>
      </c>
      <c r="T42" s="12">
        <f ca="1">SUM($L$42:$S$42)</f>
        <v>0</v>
      </c>
      <c r="U42" s="12">
        <f>'TUSD BE'!$U$42*'TUSD BF'!$U$58</f>
        <v>0</v>
      </c>
      <c r="V42" s="12">
        <f>'TUSD BE'!$V$42*'TUSD BF'!$V$58</f>
        <v>0</v>
      </c>
      <c r="W42" s="12">
        <f>'TUSD BE'!$W$42*'TUSD BF'!$W$58</f>
        <v>0</v>
      </c>
      <c r="X42" s="12">
        <f>'TUSD BE'!$X$42*'TUSD BF'!$X$58</f>
        <v>0</v>
      </c>
      <c r="Y42" s="12">
        <f>'TUSD BE'!$Y$42*'TUSD BF'!$Y$58</f>
        <v>0</v>
      </c>
      <c r="Z42" s="12">
        <f>'TUSD BE'!$Z$42*'TUSD BF'!$Z$58</f>
        <v>0</v>
      </c>
      <c r="AA42" s="12">
        <f>'TUSD BE'!$AA$42*'TUSD BF'!$AA$58</f>
        <v>0</v>
      </c>
      <c r="AB42" s="12">
        <f>SUM($U$42:$AA$42)</f>
        <v>0</v>
      </c>
      <c r="AC42" s="12">
        <f>'TUSD BE'!$AC$42*'TUSD BF'!$AC$58</f>
        <v>0</v>
      </c>
      <c r="AD42" s="12">
        <f>SUM($AC$42:$AC$42)</f>
        <v>0</v>
      </c>
      <c r="AE42" s="12">
        <f ca="1">$AO$42*$AO$55</f>
        <v>0</v>
      </c>
      <c r="AF42" s="12">
        <f ca="1">$AP$42*$AP$55</f>
        <v>0</v>
      </c>
      <c r="AG42" s="12">
        <f ca="1">SUM($AE$42:$AF$42)</f>
        <v>0</v>
      </c>
      <c r="AH42" s="12">
        <f>'TUSD BE'!$AH$42*'TUSD BF'!$AH$58</f>
        <v>0</v>
      </c>
      <c r="AI42" s="12">
        <f>'TUSD BE'!$AI$42*'TUSD BF'!$AI$58</f>
        <v>0</v>
      </c>
      <c r="AJ42" s="12">
        <f ca="1">'TUSD BE'!$AJ$42*'TUSD BF'!$AJ$58</f>
        <v>0</v>
      </c>
      <c r="AK42" s="12">
        <f ca="1">'TUSD BE'!$AK$42*'TUSD BF'!$AK$58</f>
        <v>0</v>
      </c>
      <c r="AL42" s="12">
        <f ca="1">SUM($AH$42:$AK$42)</f>
        <v>0</v>
      </c>
      <c r="AM42" s="12">
        <f ca="1">SUMIF($L$4:$AL$4,"SUBTOTAL",$L$42:$AL$42)</f>
        <v>0</v>
      </c>
      <c r="AO42" s="20">
        <f ca="1">+'TUSD BE'!$T$42+'TUSD BE'!$AB$42+'TUSD BE'!$AD$42+'TUSD BE'!$AL$42</f>
        <v>818.64916748970745</v>
      </c>
      <c r="AP42" s="20">
        <f ca="1">+'TUSD BE'!$T$42+'TUSD BE'!$AB$42+'TUSD BE'!$AD$42+'TUSD BE'!$AL$42</f>
        <v>818.64916748970745</v>
      </c>
    </row>
    <row r="43" spans="1:42" ht="11.25" customHeight="1" x14ac:dyDescent="0.25">
      <c r="A43" s="102"/>
      <c r="B43" s="102"/>
      <c r="C43" s="102"/>
      <c r="D43" s="18" t="s">
        <v>88</v>
      </c>
      <c r="E43" s="18" t="s">
        <v>25</v>
      </c>
      <c r="F43" s="18" t="s">
        <v>25</v>
      </c>
      <c r="G43" s="17" t="s">
        <v>77</v>
      </c>
      <c r="H43" s="17" t="s">
        <v>71</v>
      </c>
      <c r="I43" s="17">
        <f>'MERCADO TUSD'!$U$40</f>
        <v>0</v>
      </c>
      <c r="J43" s="15"/>
      <c r="L43" s="12">
        <f>'TUSD BE'!$L$43*'TUSD BF'!$L$58</f>
        <v>0</v>
      </c>
      <c r="M43" s="12">
        <f>'TUSD BE'!$M$43*'TUSD BF'!$M$58</f>
        <v>0</v>
      </c>
      <c r="N43" s="12">
        <f ca="1">'TUSD BE'!$N$43*'TUSD BF'!$N$58</f>
        <v>0</v>
      </c>
      <c r="O43" s="12">
        <f>'TUSD BE'!$O$43*'TUSD BF'!$O$58</f>
        <v>0</v>
      </c>
      <c r="P43" s="12">
        <f>'TUSD BE'!$P$43*'TUSD BF'!$P$58</f>
        <v>0</v>
      </c>
      <c r="Q43" s="12">
        <f>'TUSD BE'!$Q$43*'TUSD BF'!$Q$58</f>
        <v>0</v>
      </c>
      <c r="R43" s="12">
        <f>'TUSD BE'!$R$43*'TUSD BF'!$R$58</f>
        <v>0</v>
      </c>
      <c r="S43" s="12">
        <f>'TUSD BE'!$R$43*'TUSD BF'!$S$58</f>
        <v>0</v>
      </c>
      <c r="T43" s="12">
        <f ca="1">SUM($L$43:$S$43)</f>
        <v>0</v>
      </c>
      <c r="U43" s="12">
        <f>'TUSD BE'!$U$43*'TUSD BF'!$U$58</f>
        <v>0</v>
      </c>
      <c r="V43" s="12">
        <f>'TUSD BE'!$V$43*'TUSD BF'!$V$58</f>
        <v>0</v>
      </c>
      <c r="W43" s="12">
        <f>'TUSD BE'!$W$43*'TUSD BF'!$W$58</f>
        <v>0</v>
      </c>
      <c r="X43" s="12">
        <f>'TUSD BE'!$X$43*'TUSD BF'!$X$58</f>
        <v>0</v>
      </c>
      <c r="Y43" s="12">
        <f>'TUSD BE'!$Y$43*'TUSD BF'!$Y$58</f>
        <v>0</v>
      </c>
      <c r="Z43" s="12">
        <f>'TUSD BE'!$Z$43*'TUSD BF'!$Z$58</f>
        <v>0</v>
      </c>
      <c r="AA43" s="12">
        <f>'TUSD BE'!$AA$43*'TUSD BF'!$AA$58</f>
        <v>0</v>
      </c>
      <c r="AB43" s="12">
        <f>SUM($U$43:$AA$43)</f>
        <v>0</v>
      </c>
      <c r="AC43" s="12">
        <f>'TUSD BE'!$AC$43*'TUSD BF'!$AC$58</f>
        <v>0</v>
      </c>
      <c r="AD43" s="12">
        <f>SUM($AC$43:$AC$43)</f>
        <v>0</v>
      </c>
      <c r="AE43" s="12">
        <f ca="1">$AO$43*$AO$55</f>
        <v>0</v>
      </c>
      <c r="AF43" s="12">
        <f ca="1">$AP$43*$AP$55</f>
        <v>0</v>
      </c>
      <c r="AG43" s="12">
        <f ca="1">SUM($AE$43:$AF$43)</f>
        <v>0</v>
      </c>
      <c r="AH43" s="12">
        <f>'TUSD BE'!$AH$43*'TUSD BF'!$AH$58</f>
        <v>0</v>
      </c>
      <c r="AI43" s="12">
        <f>'TUSD BE'!$AI$43*'TUSD BF'!$AI$58</f>
        <v>0</v>
      </c>
      <c r="AJ43" s="12">
        <f ca="1">'TUSD BE'!$AJ$43*'TUSD BF'!$AJ$58</f>
        <v>0</v>
      </c>
      <c r="AK43" s="12">
        <f ca="1">'TUSD BE'!$AK$43*'TUSD BF'!$AK$58</f>
        <v>0</v>
      </c>
      <c r="AL43" s="12">
        <f ca="1">SUM($AH$43:$AK$43)</f>
        <v>0</v>
      </c>
      <c r="AM43" s="12">
        <f ca="1">SUMIF($L$4:$AL$4,"SUBTOTAL",$L$43:$AL$43)</f>
        <v>0</v>
      </c>
      <c r="AO43" s="20">
        <f ca="1">+'TUSD BE'!$T$43+'TUSD BE'!$AB$43+'TUSD BE'!$AD$43+'TUSD BE'!$AL$43</f>
        <v>818.64916748970745</v>
      </c>
      <c r="AP43" s="20">
        <f ca="1">+'TUSD BE'!$T$43+'TUSD BE'!$AB$43+'TUSD BE'!$AD$43+'TUSD BE'!$AL$43</f>
        <v>818.64916748970745</v>
      </c>
    </row>
    <row r="44" spans="1:42" ht="11.25" customHeight="1" x14ac:dyDescent="0.25">
      <c r="A44" s="102"/>
      <c r="B44" s="102"/>
      <c r="C44" s="102"/>
      <c r="D44" s="18" t="s">
        <v>89</v>
      </c>
      <c r="E44" s="18" t="s">
        <v>25</v>
      </c>
      <c r="F44" s="18" t="s">
        <v>25</v>
      </c>
      <c r="G44" s="17" t="s">
        <v>77</v>
      </c>
      <c r="H44" s="17" t="s">
        <v>71</v>
      </c>
      <c r="I44" s="17">
        <f>'MERCADO TUSD'!$U$41</f>
        <v>0</v>
      </c>
      <c r="J44" s="15"/>
      <c r="L44" s="12">
        <f>'TUSD BE'!$L$44*'TUSD BF'!$L$58</f>
        <v>0</v>
      </c>
      <c r="M44" s="12">
        <f>'TUSD BE'!$M$44*'TUSD BF'!$M$58</f>
        <v>0</v>
      </c>
      <c r="N44" s="12">
        <f ca="1">'TUSD BE'!$N$44*'TUSD BF'!$N$58</f>
        <v>0</v>
      </c>
      <c r="O44" s="12">
        <f>'TUSD BE'!$O$44*'TUSD BF'!$O$58</f>
        <v>0</v>
      </c>
      <c r="P44" s="12">
        <f>'TUSD BE'!$P$44*'TUSD BF'!$P$58</f>
        <v>0</v>
      </c>
      <c r="Q44" s="12">
        <f>'TUSD BE'!$Q$44*'TUSD BF'!$Q$58</f>
        <v>0</v>
      </c>
      <c r="R44" s="12">
        <f>'TUSD BE'!$R$44*'TUSD BF'!$R$58</f>
        <v>0</v>
      </c>
      <c r="S44" s="12">
        <f>'TUSD BE'!$R$44*'TUSD BF'!$S$58</f>
        <v>0</v>
      </c>
      <c r="T44" s="12">
        <f ca="1">SUM($L$44:$S$44)</f>
        <v>0</v>
      </c>
      <c r="U44" s="12">
        <f>'TUSD BE'!$U$44*'TUSD BF'!$U$58</f>
        <v>0</v>
      </c>
      <c r="V44" s="12">
        <f>'TUSD BE'!$V$44*'TUSD BF'!$V$58</f>
        <v>0</v>
      </c>
      <c r="W44" s="12">
        <f>'TUSD BE'!$W$44*'TUSD BF'!$W$58</f>
        <v>0</v>
      </c>
      <c r="X44" s="12">
        <f>'TUSD BE'!$X$44*'TUSD BF'!$X$58</f>
        <v>0</v>
      </c>
      <c r="Y44" s="12">
        <f>'TUSD BE'!$Y$44*'TUSD BF'!$Y$58</f>
        <v>0</v>
      </c>
      <c r="Z44" s="12">
        <f>'TUSD BE'!$Z$44*'TUSD BF'!$Z$58</f>
        <v>0</v>
      </c>
      <c r="AA44" s="12">
        <f>'TUSD BE'!$AA$44*'TUSD BF'!$AA$58</f>
        <v>0</v>
      </c>
      <c r="AB44" s="12">
        <f>SUM($U$44:$AA$44)</f>
        <v>0</v>
      </c>
      <c r="AC44" s="12">
        <f>'TUSD BE'!$AC$44*'TUSD BF'!$AC$58</f>
        <v>0</v>
      </c>
      <c r="AD44" s="12">
        <f>SUM($AC$44:$AC$44)</f>
        <v>0</v>
      </c>
      <c r="AE44" s="12">
        <f ca="1">$AO$44*$AO$55</f>
        <v>0</v>
      </c>
      <c r="AF44" s="12">
        <f ca="1">$AP$44*$AP$55</f>
        <v>0</v>
      </c>
      <c r="AG44" s="12">
        <f ca="1">SUM($AE$44:$AF$44)</f>
        <v>0</v>
      </c>
      <c r="AH44" s="12">
        <f>'TUSD BE'!$AH$44*'TUSD BF'!$AH$58</f>
        <v>0</v>
      </c>
      <c r="AI44" s="12">
        <f>'TUSD BE'!$AI$44*'TUSD BF'!$AI$58</f>
        <v>0</v>
      </c>
      <c r="AJ44" s="12">
        <f ca="1">'TUSD BE'!$AJ$44*'TUSD BF'!$AJ$58</f>
        <v>0</v>
      </c>
      <c r="AK44" s="12">
        <f ca="1">'TUSD BE'!$AK$44*'TUSD BF'!$AK$58</f>
        <v>0</v>
      </c>
      <c r="AL44" s="12">
        <f ca="1">SUM($AH$44:$AK$44)</f>
        <v>0</v>
      </c>
      <c r="AM44" s="12">
        <f ca="1">SUMIF($L$4:$AL$4,"SUBTOTAL",$L$44:$AL$44)</f>
        <v>0</v>
      </c>
      <c r="AO44" s="20">
        <f ca="1">+'TUSD BE'!$T$44+'TUSD BE'!$AB$44+'TUSD BE'!$AD$44+'TUSD BE'!$AL$44</f>
        <v>818.64916748970745</v>
      </c>
      <c r="AP44" s="20">
        <f ca="1">+'TUSD BE'!$T$44+'TUSD BE'!$AB$44+'TUSD BE'!$AD$44+'TUSD BE'!$AL$44</f>
        <v>818.64916748970745</v>
      </c>
    </row>
    <row r="45" spans="1:42" ht="11.25" customHeight="1" x14ac:dyDescent="0.25">
      <c r="A45" s="102" t="s">
        <v>33</v>
      </c>
      <c r="B45" s="102" t="s">
        <v>85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17" t="s">
        <v>72</v>
      </c>
      <c r="H45" s="17" t="s">
        <v>71</v>
      </c>
      <c r="I45" s="17">
        <f>'MERCADO TUSD'!$U$42</f>
        <v>0</v>
      </c>
      <c r="J45" s="15"/>
      <c r="L45" s="12">
        <f>'TUSD BE'!$L$45*'TUSD BF'!$L$58</f>
        <v>0</v>
      </c>
      <c r="M45" s="12">
        <f>'TUSD BE'!$M$45*'TUSD BF'!$M$58</f>
        <v>0</v>
      </c>
      <c r="N45" s="12">
        <f ca="1">'TUSD BE'!$N$45*'TUSD BF'!$N$58</f>
        <v>0</v>
      </c>
      <c r="O45" s="12">
        <f>'TUSD BE'!$O$45*'TUSD BF'!$O$58</f>
        <v>0</v>
      </c>
      <c r="P45" s="12">
        <f>'TUSD BE'!$P$45*'TUSD BF'!$P$58</f>
        <v>0</v>
      </c>
      <c r="Q45" s="12">
        <f>'TUSD BE'!$Q$45*'TUSD BF'!$Q$58</f>
        <v>0</v>
      </c>
      <c r="R45" s="12">
        <f>'TUSD BE'!$R$45*'TUSD BF'!$R$58</f>
        <v>0</v>
      </c>
      <c r="S45" s="12">
        <f>'TUSD BE'!$R$45*'TUSD BF'!$S$58</f>
        <v>0</v>
      </c>
      <c r="T45" s="12">
        <f ca="1">SUM($L$45:$S$45)</f>
        <v>0</v>
      </c>
      <c r="U45" s="12">
        <f>'TUSD BE'!$U$45*'TUSD BF'!$U$58</f>
        <v>0</v>
      </c>
      <c r="V45" s="12">
        <f>'TUSD BE'!$V$45*'TUSD BF'!$V$58</f>
        <v>0</v>
      </c>
      <c r="W45" s="12">
        <f>'TUSD BE'!$W$45*'TUSD BF'!$W$58</f>
        <v>0</v>
      </c>
      <c r="X45" s="12">
        <f>'TUSD BE'!$X$45*'TUSD BF'!$X$58</f>
        <v>0</v>
      </c>
      <c r="Y45" s="12">
        <f>'TUSD BE'!$Y$45*'TUSD BF'!$Y$58</f>
        <v>0</v>
      </c>
      <c r="Z45" s="12">
        <f>'TUSD BE'!$Z$45*'TUSD BF'!$Z$58</f>
        <v>0</v>
      </c>
      <c r="AA45" s="12">
        <f>'TUSD BE'!$AA$45*'TUSD BF'!$AA$58</f>
        <v>0</v>
      </c>
      <c r="AB45" s="12">
        <f>SUM($U$45:$AA$45)</f>
        <v>0</v>
      </c>
      <c r="AC45" s="12">
        <f>'TUSD BE'!$AC$45*'TUSD BF'!$AC$58</f>
        <v>0</v>
      </c>
      <c r="AD45" s="12">
        <f>SUM($AC$45:$AC$45)</f>
        <v>0</v>
      </c>
      <c r="AE45" s="12">
        <f ca="1">$AO$45*$AO$55</f>
        <v>0</v>
      </c>
      <c r="AF45" s="12">
        <f ca="1">$AP$45*$AP$55</f>
        <v>0</v>
      </c>
      <c r="AG45" s="12">
        <f ca="1">SUM($AE$45:$AF$45)</f>
        <v>0</v>
      </c>
      <c r="AH45" s="12">
        <f>'TUSD BE'!$AH$45*'TUSD BF'!$AH$58</f>
        <v>0</v>
      </c>
      <c r="AI45" s="12">
        <f>'TUSD BE'!$AI$45*'TUSD BF'!$AI$58</f>
        <v>0</v>
      </c>
      <c r="AJ45" s="12">
        <f ca="1">'TUSD BE'!$AJ$45*'TUSD BF'!$AJ$58</f>
        <v>0</v>
      </c>
      <c r="AK45" s="12">
        <f ca="1">'TUSD BE'!$AK$45*'TUSD BF'!$AK$58</f>
        <v>0</v>
      </c>
      <c r="AL45" s="12">
        <f ca="1">SUM($AH$45:$AK$45)</f>
        <v>0</v>
      </c>
      <c r="AM45" s="12">
        <f ca="1">SUMIF($L$4:$AL$4,"SUBTOTAL",$L$45:$AL$45)</f>
        <v>0</v>
      </c>
      <c r="AO45" s="20">
        <f ca="1">+'TUSD BE'!$T$45+'TUSD BE'!$AB$45+'TUSD BE'!$AD$45+'TUSD BE'!$AL$45</f>
        <v>2182.9426037890435</v>
      </c>
      <c r="AP45" s="20">
        <f ca="1">+'TUSD BE'!$T$45+'TUSD BE'!$AB$45+'TUSD BE'!$AD$45+'TUSD BE'!$AL$45</f>
        <v>2182.9426037890435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17" t="s">
        <v>83</v>
      </c>
      <c r="H46" s="17" t="s">
        <v>71</v>
      </c>
      <c r="I46" s="17">
        <f>'MERCADO TUSD'!$U$43</f>
        <v>0</v>
      </c>
      <c r="J46" s="15"/>
      <c r="L46" s="12">
        <f>'TUSD BE'!$L$46*'TUSD BF'!$L$58</f>
        <v>0</v>
      </c>
      <c r="M46" s="12">
        <f>'TUSD BE'!$M$46*'TUSD BF'!$M$58</f>
        <v>0</v>
      </c>
      <c r="N46" s="12">
        <f ca="1">'TUSD BE'!$N$46*'TUSD BF'!$N$58</f>
        <v>0</v>
      </c>
      <c r="O46" s="12">
        <f>'TUSD BE'!$O$46*'TUSD BF'!$O$58</f>
        <v>0</v>
      </c>
      <c r="P46" s="12">
        <f>'TUSD BE'!$P$46*'TUSD BF'!$P$58</f>
        <v>0</v>
      </c>
      <c r="Q46" s="12">
        <f>'TUSD BE'!$Q$46*'TUSD BF'!$Q$58</f>
        <v>0</v>
      </c>
      <c r="R46" s="12">
        <f>'TUSD BE'!$R$46*'TUSD BF'!$R$58</f>
        <v>0</v>
      </c>
      <c r="S46" s="12">
        <f>'TUSD BE'!$R$46*'TUSD BF'!$S$58</f>
        <v>0</v>
      </c>
      <c r="T46" s="12">
        <f ca="1">SUM($L$46:$S$46)</f>
        <v>0</v>
      </c>
      <c r="U46" s="12">
        <f>'TUSD BE'!$U$46*'TUSD BF'!$U$58</f>
        <v>0</v>
      </c>
      <c r="V46" s="12">
        <f>'TUSD BE'!$V$46*'TUSD BF'!$V$58</f>
        <v>0</v>
      </c>
      <c r="W46" s="12">
        <f>'TUSD BE'!$W$46*'TUSD BF'!$W$58</f>
        <v>0</v>
      </c>
      <c r="X46" s="12">
        <f>'TUSD BE'!$X$46*'TUSD BF'!$X$58</f>
        <v>0</v>
      </c>
      <c r="Y46" s="12">
        <f>'TUSD BE'!$Y$46*'TUSD BF'!$Y$58</f>
        <v>0</v>
      </c>
      <c r="Z46" s="12">
        <f>'TUSD BE'!$Z$46*'TUSD BF'!$Z$58</f>
        <v>0</v>
      </c>
      <c r="AA46" s="12">
        <f>'TUSD BE'!$AA$46*'TUSD BF'!$AA$58</f>
        <v>0</v>
      </c>
      <c r="AB46" s="12">
        <f>SUM($U$46:$AA$46)</f>
        <v>0</v>
      </c>
      <c r="AC46" s="12">
        <f>'TUSD BE'!$AC$46*'TUSD BF'!$AC$58</f>
        <v>0</v>
      </c>
      <c r="AD46" s="12">
        <f>SUM($AC$46:$AC$46)</f>
        <v>0</v>
      </c>
      <c r="AE46" s="12">
        <f ca="1">$AO$46*$AO$55</f>
        <v>0</v>
      </c>
      <c r="AF46" s="12">
        <f ca="1">$AP$46*$AP$55</f>
        <v>0</v>
      </c>
      <c r="AG46" s="12">
        <f ca="1">SUM($AE$46:$AF$46)</f>
        <v>0</v>
      </c>
      <c r="AH46" s="12">
        <f>'TUSD BE'!$AH$46*'TUSD BF'!$AH$58</f>
        <v>0</v>
      </c>
      <c r="AI46" s="12">
        <f>'TUSD BE'!$AI$46*'TUSD BF'!$AI$58</f>
        <v>0</v>
      </c>
      <c r="AJ46" s="12">
        <f ca="1">'TUSD BE'!$AJ$46*'TUSD BF'!$AJ$58</f>
        <v>0</v>
      </c>
      <c r="AK46" s="12">
        <f ca="1">'TUSD BE'!$AK$46*'TUSD BF'!$AK$58</f>
        <v>0</v>
      </c>
      <c r="AL46" s="12">
        <f ca="1">SUM($AH$46:$AK$46)</f>
        <v>0</v>
      </c>
      <c r="AM46" s="12">
        <f ca="1">SUMIF($L$4:$AL$4,"SUBTOTAL",$L$46:$AL$46)</f>
        <v>0</v>
      </c>
      <c r="AO46" s="20">
        <f ca="1">+'TUSD BE'!$T$46+'TUSD BE'!$AB$46+'TUSD BE'!$AD$46+'TUSD BE'!$AL$46</f>
        <v>1364.3540005545008</v>
      </c>
      <c r="AP46" s="20">
        <f ca="1">+'TUSD BE'!$T$46+'TUSD BE'!$AB$46+'TUSD BE'!$AD$46+'TUSD BE'!$AL$46</f>
        <v>1364.3540005545008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17" t="s">
        <v>73</v>
      </c>
      <c r="H47" s="17" t="s">
        <v>71</v>
      </c>
      <c r="I47" s="17">
        <f>'MERCADO TUSD'!$U$44</f>
        <v>0</v>
      </c>
      <c r="J47" s="15"/>
      <c r="L47" s="12">
        <f>'TUSD BE'!$L$47*'TUSD BF'!$L$58</f>
        <v>0</v>
      </c>
      <c r="M47" s="12">
        <f>'TUSD BE'!$M$47*'TUSD BF'!$M$58</f>
        <v>0</v>
      </c>
      <c r="N47" s="12">
        <f ca="1">'TUSD BE'!$N$47*'TUSD BF'!$N$58</f>
        <v>0</v>
      </c>
      <c r="O47" s="12">
        <f>'TUSD BE'!$O$47*'TUSD BF'!$O$58</f>
        <v>0</v>
      </c>
      <c r="P47" s="12">
        <f>'TUSD BE'!$P$47*'TUSD BF'!$P$58</f>
        <v>0</v>
      </c>
      <c r="Q47" s="12">
        <f>'TUSD BE'!$Q$47*'TUSD BF'!$Q$58</f>
        <v>0</v>
      </c>
      <c r="R47" s="12">
        <f>'TUSD BE'!$R$47*'TUSD BF'!$R$58</f>
        <v>0</v>
      </c>
      <c r="S47" s="12">
        <f>'TUSD BE'!$R$47*'TUSD BF'!$S$58</f>
        <v>0</v>
      </c>
      <c r="T47" s="12">
        <f ca="1">SUM($L$47:$S$47)</f>
        <v>0</v>
      </c>
      <c r="U47" s="12">
        <f>'TUSD BE'!$U$47*'TUSD BF'!$U$58</f>
        <v>0</v>
      </c>
      <c r="V47" s="12">
        <f>'TUSD BE'!$V$47*'TUSD BF'!$V$58</f>
        <v>0</v>
      </c>
      <c r="W47" s="12">
        <f>'TUSD BE'!$W$47*'TUSD BF'!$W$58</f>
        <v>0</v>
      </c>
      <c r="X47" s="12">
        <f>'TUSD BE'!$X$47*'TUSD BF'!$X$58</f>
        <v>0</v>
      </c>
      <c r="Y47" s="12">
        <f>'TUSD BE'!$Y$47*'TUSD BF'!$Y$58</f>
        <v>0</v>
      </c>
      <c r="Z47" s="12">
        <f>'TUSD BE'!$Z$47*'TUSD BF'!$Z$58</f>
        <v>0</v>
      </c>
      <c r="AA47" s="12">
        <f>'TUSD BE'!$AA$47*'TUSD BF'!$AA$58</f>
        <v>0</v>
      </c>
      <c r="AB47" s="12">
        <f>SUM($U$47:$AA$47)</f>
        <v>0</v>
      </c>
      <c r="AC47" s="12">
        <f>'TUSD BE'!$AC$47*'TUSD BF'!$AC$58</f>
        <v>0</v>
      </c>
      <c r="AD47" s="12">
        <f>SUM($AC$47:$AC$47)</f>
        <v>0</v>
      </c>
      <c r="AE47" s="12">
        <f ca="1">$AO$47*$AO$55</f>
        <v>0</v>
      </c>
      <c r="AF47" s="12">
        <f ca="1">$AP$47*$AP$55</f>
        <v>0</v>
      </c>
      <c r="AG47" s="12">
        <f ca="1">SUM($AE$47:$AF$47)</f>
        <v>0</v>
      </c>
      <c r="AH47" s="12">
        <f>'TUSD BE'!$AH$47*'TUSD BF'!$AH$58</f>
        <v>0</v>
      </c>
      <c r="AI47" s="12">
        <f>'TUSD BE'!$AI$47*'TUSD BF'!$AI$58</f>
        <v>0</v>
      </c>
      <c r="AJ47" s="12">
        <f ca="1">'TUSD BE'!$AJ$47*'TUSD BF'!$AJ$58</f>
        <v>0</v>
      </c>
      <c r="AK47" s="12">
        <f ca="1">'TUSD BE'!$AK$47*'TUSD BF'!$AK$58</f>
        <v>0</v>
      </c>
      <c r="AL47" s="12">
        <f ca="1">SUM($AH$47:$AK$47)</f>
        <v>0</v>
      </c>
      <c r="AM47" s="12">
        <f ca="1">SUMIF($L$4:$AL$4,"SUBTOTAL",$L$47:$AL$47)</f>
        <v>0</v>
      </c>
      <c r="AO47" s="20">
        <f ca="1">+'TUSD BE'!$T$47+'TUSD BE'!$AB$47+'TUSD BE'!$AD$47+'TUSD BE'!$AL$47</f>
        <v>545.76582857646599</v>
      </c>
      <c r="AP47" s="20">
        <f ca="1">+'TUSD BE'!$T$47+'TUSD BE'!$AB$47+'TUSD BE'!$AD$47+'TUSD BE'!$AL$47</f>
        <v>545.76582857646599</v>
      </c>
    </row>
    <row r="48" spans="1:42" ht="11.25" customHeight="1" x14ac:dyDescent="0.25">
      <c r="A48" s="102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77</v>
      </c>
      <c r="H48" s="17" t="s">
        <v>71</v>
      </c>
      <c r="I48" s="17">
        <f>'MERCADO TUSD'!$U$45</f>
        <v>9552.121000000001</v>
      </c>
      <c r="J48" s="15"/>
      <c r="L48" s="12">
        <f>'TUSD BE'!$L$48*'TUSD BF'!$L$58</f>
        <v>0</v>
      </c>
      <c r="M48" s="12">
        <f>'TUSD BE'!$M$48*'TUSD BF'!$M$58</f>
        <v>0</v>
      </c>
      <c r="N48" s="12">
        <f ca="1">'TUSD BE'!$N$48*'TUSD BF'!$N$58</f>
        <v>0</v>
      </c>
      <c r="O48" s="12">
        <f>'TUSD BE'!$O$48*'TUSD BF'!$O$58</f>
        <v>0</v>
      </c>
      <c r="P48" s="12">
        <f>'TUSD BE'!$P$48*'TUSD BF'!$P$58</f>
        <v>0</v>
      </c>
      <c r="Q48" s="12">
        <f>'TUSD BE'!$Q$48*'TUSD BF'!$Q$58</f>
        <v>0</v>
      </c>
      <c r="R48" s="12">
        <f>'TUSD BE'!$R$48*'TUSD BF'!$R$58</f>
        <v>0</v>
      </c>
      <c r="S48" s="12">
        <f>'TUSD BE'!$R$48*'TUSD BF'!$S$58</f>
        <v>0</v>
      </c>
      <c r="T48" s="12">
        <f ca="1">SUM($L$48:$S$48)</f>
        <v>0</v>
      </c>
      <c r="U48" s="12">
        <f>'TUSD BE'!$U$48*'TUSD BF'!$U$58</f>
        <v>0</v>
      </c>
      <c r="V48" s="12">
        <f>'TUSD BE'!$V$48*'TUSD BF'!$V$58</f>
        <v>0</v>
      </c>
      <c r="W48" s="12">
        <f>'TUSD BE'!$W$48*'TUSD BF'!$W$58</f>
        <v>0</v>
      </c>
      <c r="X48" s="12">
        <f>'TUSD BE'!$X$48*'TUSD BF'!$X$58</f>
        <v>0</v>
      </c>
      <c r="Y48" s="12">
        <f>'TUSD BE'!$Y$48*'TUSD BF'!$Y$58</f>
        <v>0</v>
      </c>
      <c r="Z48" s="12">
        <f>'TUSD BE'!$Z$48*'TUSD BF'!$Z$58</f>
        <v>0</v>
      </c>
      <c r="AA48" s="12">
        <f>'TUSD BE'!$AA$48*'TUSD BF'!$AA$58</f>
        <v>0</v>
      </c>
      <c r="AB48" s="12">
        <f>SUM($U$48:$AA$48)</f>
        <v>0</v>
      </c>
      <c r="AC48" s="12">
        <f>'TUSD BE'!$AC$48*'TUSD BF'!$AC$58</f>
        <v>0</v>
      </c>
      <c r="AD48" s="12">
        <f>SUM($AC$48:$AC$48)</f>
        <v>0</v>
      </c>
      <c r="AE48" s="12">
        <f ca="1">$AO$48*$AO$55</f>
        <v>0</v>
      </c>
      <c r="AF48" s="12">
        <f ca="1">$AP$48*$AP$55</f>
        <v>0</v>
      </c>
      <c r="AG48" s="12">
        <f ca="1">SUM($AE$48:$AF$48)</f>
        <v>0</v>
      </c>
      <c r="AH48" s="12">
        <f>'TUSD BE'!$AH$48*'TUSD BF'!$AH$58</f>
        <v>0</v>
      </c>
      <c r="AI48" s="12">
        <f>'TUSD BE'!$AI$48*'TUSD BF'!$AI$58</f>
        <v>0</v>
      </c>
      <c r="AJ48" s="12">
        <f ca="1">'TUSD BE'!$AJ$48*'TUSD BF'!$AJ$58</f>
        <v>0</v>
      </c>
      <c r="AK48" s="12">
        <f ca="1">'TUSD BE'!$AK$48*'TUSD BF'!$AK$58</f>
        <v>0</v>
      </c>
      <c r="AL48" s="12">
        <f ca="1">SUM($AH$48:$AK$48)</f>
        <v>0</v>
      </c>
      <c r="AM48" s="12">
        <f ca="1">SUMIF($L$4:$AL$4,"SUBTOTAL",$L$48:$AL$48)</f>
        <v>0</v>
      </c>
      <c r="AO48" s="20">
        <f ca="1">+'TUSD BE'!$T$48+'TUSD BE'!$AB$48+'TUSD BE'!$AD$48+'TUSD BE'!$AL$48</f>
        <v>818.64916748970745</v>
      </c>
      <c r="AP48" s="20">
        <f ca="1">+'TUSD BE'!$T$48+'TUSD BE'!$AB$48+'TUSD BE'!$AD$48+'TUSD BE'!$AL$48</f>
        <v>818.64916748970745</v>
      </c>
    </row>
    <row r="49" spans="1:42" ht="11.25" customHeight="1" x14ac:dyDescent="0.25">
      <c r="A49" s="102"/>
      <c r="B49" s="18" t="s">
        <v>87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77</v>
      </c>
      <c r="H49" s="17" t="s">
        <v>71</v>
      </c>
      <c r="I49" s="17">
        <f>'MERCADO TUSD'!$U$46</f>
        <v>0</v>
      </c>
      <c r="J49" s="15"/>
      <c r="L49" s="12">
        <f>'TUSD BE'!$L$49*'TUSD BF'!$L$58</f>
        <v>0</v>
      </c>
      <c r="M49" s="12">
        <f>'TUSD BE'!$M$49*'TUSD BF'!$M$58</f>
        <v>0</v>
      </c>
      <c r="N49" s="12">
        <f ca="1">'TUSD BE'!$N$49*'TUSD BF'!$N$58</f>
        <v>0</v>
      </c>
      <c r="O49" s="12">
        <f>'TUSD BE'!$O$49*'TUSD BF'!$O$58</f>
        <v>0</v>
      </c>
      <c r="P49" s="12">
        <f>'TUSD BE'!$P$49*'TUSD BF'!$P$58</f>
        <v>0</v>
      </c>
      <c r="Q49" s="12">
        <f>'TUSD BE'!$Q$49*'TUSD BF'!$Q$58</f>
        <v>0</v>
      </c>
      <c r="R49" s="12">
        <f>'TUSD BE'!$R$49*'TUSD BF'!$R$58</f>
        <v>0</v>
      </c>
      <c r="S49" s="12">
        <f>'TUSD BE'!$R$49*'TUSD BF'!$S$58</f>
        <v>0</v>
      </c>
      <c r="T49" s="12">
        <f ca="1">SUM($L$49:$S$49)</f>
        <v>0</v>
      </c>
      <c r="U49" s="12">
        <f>'TUSD BE'!$U$49*'TUSD BF'!$U$58</f>
        <v>0</v>
      </c>
      <c r="V49" s="12">
        <f>'TUSD BE'!$V$49*'TUSD BF'!$V$58</f>
        <v>0</v>
      </c>
      <c r="W49" s="12">
        <f>'TUSD BE'!$W$49*'TUSD BF'!$W$58</f>
        <v>0</v>
      </c>
      <c r="X49" s="12">
        <f>'TUSD BE'!$X$49*'TUSD BF'!$X$58</f>
        <v>0</v>
      </c>
      <c r="Y49" s="12">
        <f>'TUSD BE'!$Y$49*'TUSD BF'!$Y$58</f>
        <v>0</v>
      </c>
      <c r="Z49" s="12">
        <f>'TUSD BE'!$Z$49*'TUSD BF'!$Z$58</f>
        <v>0</v>
      </c>
      <c r="AA49" s="12">
        <f>'TUSD BE'!$AA$49*'TUSD BF'!$AA$58</f>
        <v>0</v>
      </c>
      <c r="AB49" s="12">
        <f>SUM($U$49:$AA$49)</f>
        <v>0</v>
      </c>
      <c r="AC49" s="12">
        <f>'TUSD BE'!$AC$49*'TUSD BF'!$AC$58</f>
        <v>0</v>
      </c>
      <c r="AD49" s="12">
        <f>SUM($AC$49:$AC$49)</f>
        <v>0</v>
      </c>
      <c r="AE49" s="12">
        <f ca="1">$AO$49*$AO$55</f>
        <v>0</v>
      </c>
      <c r="AF49" s="12">
        <f ca="1">$AP$49*$AP$55</f>
        <v>0</v>
      </c>
      <c r="AG49" s="12">
        <f ca="1">SUM($AE$49:$AF$49)</f>
        <v>0</v>
      </c>
      <c r="AH49" s="12">
        <f>'TUSD BE'!$AH$49*'TUSD BF'!$AH$58</f>
        <v>0</v>
      </c>
      <c r="AI49" s="12">
        <f>'TUSD BE'!$AI$49*'TUSD BF'!$AI$58</f>
        <v>0</v>
      </c>
      <c r="AJ49" s="12">
        <f ca="1">'TUSD BE'!$AJ$49*'TUSD BF'!$AJ$58</f>
        <v>0</v>
      </c>
      <c r="AK49" s="12">
        <f ca="1">'TUSD BE'!$AK$49*'TUSD BF'!$AK$58</f>
        <v>0</v>
      </c>
      <c r="AL49" s="12">
        <f ca="1">SUM($AH$49:$AK$49)</f>
        <v>0</v>
      </c>
      <c r="AM49" s="12">
        <f ca="1">SUMIF($L$4:$AL$4,"SUBTOTAL",$L$49:$AL$49)</f>
        <v>0</v>
      </c>
      <c r="AO49" s="20">
        <f ca="1">+'TUSD BE'!$T$49+'TUSD BE'!$AB$49+'TUSD BE'!$AD$49+'TUSD BE'!$AL$49</f>
        <v>818.64916748970745</v>
      </c>
      <c r="AP49" s="20">
        <f ca="1">+'TUSD BE'!$T$49+'TUSD BE'!$AB$49+'TUSD BE'!$AD$49+'TUSD BE'!$AL$49</f>
        <v>818.64916748970745</v>
      </c>
    </row>
    <row r="50" spans="1:42" ht="11.25" customHeight="1" x14ac:dyDescent="0.25">
      <c r="A50" s="102" t="s">
        <v>43</v>
      </c>
      <c r="B50" s="102" t="s">
        <v>23</v>
      </c>
      <c r="C50" s="102" t="s">
        <v>44</v>
      </c>
      <c r="D50" s="18" t="s">
        <v>45</v>
      </c>
      <c r="E50" s="18" t="s">
        <v>25</v>
      </c>
      <c r="F50" s="18" t="s">
        <v>25</v>
      </c>
      <c r="G50" s="17" t="s">
        <v>77</v>
      </c>
      <c r="H50" s="17" t="s">
        <v>71</v>
      </c>
      <c r="I50" s="17">
        <f>'MERCADO TUSD'!$U$47</f>
        <v>4840.4129999999996</v>
      </c>
      <c r="J50" s="15"/>
      <c r="L50" s="12">
        <f>'TUSD BE'!$L$50*'TUSD BF'!$L$58</f>
        <v>0</v>
      </c>
      <c r="M50" s="12">
        <f>'TUSD BE'!$M$50*'TUSD BF'!$M$58</f>
        <v>0</v>
      </c>
      <c r="N50" s="12">
        <f ca="1">'TUSD BE'!$N$50*'TUSD BF'!$N$58</f>
        <v>0</v>
      </c>
      <c r="O50" s="12">
        <f>'TUSD BE'!$O$50*'TUSD BF'!$O$58</f>
        <v>0</v>
      </c>
      <c r="P50" s="12">
        <f>'TUSD BE'!$P$50*'TUSD BF'!$P$58</f>
        <v>0</v>
      </c>
      <c r="Q50" s="12">
        <f>'TUSD BE'!$Q$50*'TUSD BF'!$Q$58</f>
        <v>0</v>
      </c>
      <c r="R50" s="12">
        <f>'TUSD BE'!$R$50*'TUSD BF'!$R$58</f>
        <v>0</v>
      </c>
      <c r="S50" s="12">
        <f>'TUSD BE'!$R$50*'TUSD BF'!$S$58</f>
        <v>0</v>
      </c>
      <c r="T50" s="12">
        <f ca="1">SUM($L$50:$S$50)</f>
        <v>0</v>
      </c>
      <c r="U50" s="12">
        <f>'TUSD BE'!$U$50*'TUSD BF'!$U$58</f>
        <v>0</v>
      </c>
      <c r="V50" s="12">
        <f>'TUSD BE'!$V$50*'TUSD BF'!$V$58</f>
        <v>0</v>
      </c>
      <c r="W50" s="12">
        <f>'TUSD BE'!$W$50*'TUSD BF'!$W$58</f>
        <v>0</v>
      </c>
      <c r="X50" s="12">
        <f>'TUSD BE'!$X$50*'TUSD BF'!$X$58</f>
        <v>0</v>
      </c>
      <c r="Y50" s="12">
        <f>'TUSD BE'!$Y$50*'TUSD BF'!$Y$58</f>
        <v>0</v>
      </c>
      <c r="Z50" s="12">
        <f>'TUSD BE'!$Z$50*'TUSD BF'!$Z$58</f>
        <v>0</v>
      </c>
      <c r="AA50" s="12">
        <f>'TUSD BE'!$AA$50*'TUSD BF'!$AA$58</f>
        <v>0</v>
      </c>
      <c r="AB50" s="12">
        <f>SUM($U$50:$AA$50)</f>
        <v>0</v>
      </c>
      <c r="AC50" s="12">
        <f>'TUSD BE'!$AC$50*'TUSD BF'!$AC$58</f>
        <v>0</v>
      </c>
      <c r="AD50" s="12">
        <f>SUM($AC$50:$AC$50)</f>
        <v>0</v>
      </c>
      <c r="AE50" s="12">
        <f ca="1">$AO$50*$AO$55</f>
        <v>0</v>
      </c>
      <c r="AF50" s="12">
        <f ca="1">$AP$50*$AP$55</f>
        <v>0</v>
      </c>
      <c r="AG50" s="12">
        <f ca="1">SUM($AE$50:$AF$50)</f>
        <v>0</v>
      </c>
      <c r="AH50" s="12">
        <f>'TUSD BE'!$AH$50*'TUSD BF'!$AH$58</f>
        <v>0</v>
      </c>
      <c r="AI50" s="12">
        <f>'TUSD BE'!$AI$50*'TUSD BF'!$AI$58</f>
        <v>0</v>
      </c>
      <c r="AJ50" s="12">
        <f ca="1">'TUSD BE'!$AJ$50*'TUSD BF'!$AJ$58</f>
        <v>0</v>
      </c>
      <c r="AK50" s="12">
        <f ca="1">'TUSD BE'!$AK$50*'TUSD BF'!$AK$58</f>
        <v>0</v>
      </c>
      <c r="AL50" s="12">
        <f ca="1">SUM($AH$50:$AK$50)</f>
        <v>0</v>
      </c>
      <c r="AM50" s="12">
        <f ca="1">SUMIF($L$4:$AL$4,"SUBTOTAL",$L$50:$AL$50)</f>
        <v>0</v>
      </c>
      <c r="AO50" s="20">
        <f ca="1">+'TUSD BE'!$T$50+'TUSD BE'!$AB$50+'TUSD BE'!$AD$50+'TUSD BE'!$AL$50</f>
        <v>450.25704211933908</v>
      </c>
      <c r="AP50" s="20">
        <f ca="1">+'TUSD BE'!$T$50+'TUSD BE'!$AB$50+'TUSD BE'!$AD$50+'TUSD BE'!$AL$50</f>
        <v>450.25704211933908</v>
      </c>
    </row>
    <row r="51" spans="1:42" ht="11.25" customHeight="1" x14ac:dyDescent="0.25">
      <c r="A51" s="102"/>
      <c r="B51" s="102"/>
      <c r="C51" s="102"/>
      <c r="D51" s="17" t="s">
        <v>90</v>
      </c>
      <c r="E51" s="17" t="s">
        <v>25</v>
      </c>
      <c r="F51" s="17" t="s">
        <v>25</v>
      </c>
      <c r="G51" s="17" t="s">
        <v>77</v>
      </c>
      <c r="H51" s="17" t="s">
        <v>71</v>
      </c>
      <c r="I51" s="17">
        <f>'MERCADO TUSD'!$U$48</f>
        <v>0</v>
      </c>
      <c r="J51" s="15"/>
      <c r="L51" s="12">
        <f>'TUSD BE'!$L$51*'TUSD BF'!$L$58</f>
        <v>0</v>
      </c>
      <c r="M51" s="12">
        <f>'TUSD BE'!$M$51*'TUSD BF'!$M$58</f>
        <v>0</v>
      </c>
      <c r="N51" s="12">
        <f ca="1">'TUSD BE'!$N$51*'TUSD BF'!$N$58</f>
        <v>0</v>
      </c>
      <c r="O51" s="12">
        <f>'TUSD BE'!$O$51*'TUSD BF'!$O$58</f>
        <v>0</v>
      </c>
      <c r="P51" s="12">
        <f>'TUSD BE'!$P$51*'TUSD BF'!$P$58</f>
        <v>0</v>
      </c>
      <c r="Q51" s="12">
        <f>'TUSD BE'!$Q$51*'TUSD BF'!$Q$58</f>
        <v>0</v>
      </c>
      <c r="R51" s="12">
        <f>'TUSD BE'!$R$51*'TUSD BF'!$R$58</f>
        <v>0</v>
      </c>
      <c r="S51" s="12">
        <f>'TUSD BE'!$R$51*'TUSD BF'!$S$58</f>
        <v>0</v>
      </c>
      <c r="T51" s="12">
        <f ca="1">SUM($L$51:$S$51)</f>
        <v>0</v>
      </c>
      <c r="U51" s="12">
        <f>'TUSD BE'!$U$51*'TUSD BF'!$U$58</f>
        <v>0</v>
      </c>
      <c r="V51" s="12">
        <f>'TUSD BE'!$V$51*'TUSD BF'!$V$58</f>
        <v>0</v>
      </c>
      <c r="W51" s="12">
        <f>'TUSD BE'!$W$51*'TUSD BF'!$W$58</f>
        <v>0</v>
      </c>
      <c r="X51" s="12">
        <f>'TUSD BE'!$X$51*'TUSD BF'!$X$58</f>
        <v>0</v>
      </c>
      <c r="Y51" s="12">
        <f>'TUSD BE'!$Y$51*'TUSD BF'!$Y$58</f>
        <v>0</v>
      </c>
      <c r="Z51" s="12">
        <f>'TUSD BE'!$Z$51*'TUSD BF'!$Z$58</f>
        <v>0</v>
      </c>
      <c r="AA51" s="12">
        <f>'TUSD BE'!$AA$51*'TUSD BF'!$AA$58</f>
        <v>0</v>
      </c>
      <c r="AB51" s="12">
        <f>SUM($U$51:$AA$51)</f>
        <v>0</v>
      </c>
      <c r="AC51" s="12">
        <f>'TUSD BE'!$AC$51*'TUSD BF'!$AC$58</f>
        <v>0</v>
      </c>
      <c r="AD51" s="12">
        <f>SUM($AC$51:$AC$51)</f>
        <v>0</v>
      </c>
      <c r="AE51" s="12">
        <f ca="1">$AO$51*$AO$55</f>
        <v>0</v>
      </c>
      <c r="AF51" s="12">
        <f ca="1">$AP$51*$AP$55</f>
        <v>0</v>
      </c>
      <c r="AG51" s="12">
        <f ca="1">SUM($AE$51:$AF$51)</f>
        <v>0</v>
      </c>
      <c r="AH51" s="12">
        <f>'TUSD BE'!$AH$51*'TUSD BF'!$AH$58</f>
        <v>0</v>
      </c>
      <c r="AI51" s="12">
        <f>'TUSD BE'!$AI$51*'TUSD BF'!$AI$58</f>
        <v>0</v>
      </c>
      <c r="AJ51" s="12">
        <f ca="1">'TUSD BE'!$AJ$51*'TUSD BF'!$AJ$58</f>
        <v>0</v>
      </c>
      <c r="AK51" s="12">
        <f ca="1">'TUSD BE'!$AK$51*'TUSD BF'!$AK$58</f>
        <v>0</v>
      </c>
      <c r="AL51" s="12">
        <f ca="1">SUM($AH$51:$AK$51)</f>
        <v>0</v>
      </c>
      <c r="AM51" s="12">
        <f ca="1">SUMIF($L$4:$AL$4,"SUBTOTAL",$L$51:$AL$51)</f>
        <v>0</v>
      </c>
      <c r="AO51" s="20">
        <f ca="1">+'TUSD BE'!$T$51+'TUSD BE'!$AB$51+'TUSD BE'!$AD$51+'TUSD BE'!$AL$51</f>
        <v>491.18950049382443</v>
      </c>
      <c r="AP51" s="20">
        <f ca="1">+'TUSD BE'!$T$51+'TUSD BE'!$AB$51+'TUSD BE'!$AD$51+'TUSD BE'!$AL$51</f>
        <v>491.18950049382443</v>
      </c>
    </row>
    <row r="53" spans="1:42" ht="11.25" customHeight="1" x14ac:dyDescent="0.25">
      <c r="K53" s="16" t="s">
        <v>469</v>
      </c>
      <c r="L53" s="12">
        <f>SUMPRODUCT($I$5:$I51,$L$5:$L51)</f>
        <v>0</v>
      </c>
      <c r="M53" s="12">
        <f>SUMPRODUCT($I$5:$I51,$M$5:$M51)</f>
        <v>0</v>
      </c>
      <c r="N53" s="12">
        <f ca="1">SUMPRODUCT($I$5:$I51,$N$5:$N51)</f>
        <v>0</v>
      </c>
      <c r="O53" s="12">
        <f>SUMPRODUCT($I$5:$I51,$O$5:$O51)</f>
        <v>0</v>
      </c>
      <c r="P53" s="12">
        <f>SUMPRODUCT($I$5:$I51,$P$5:$P51)</f>
        <v>0</v>
      </c>
      <c r="Q53" s="12">
        <f>SUMPRODUCT($I$5:$I51,$Q$5:$Q51)</f>
        <v>0</v>
      </c>
      <c r="R53" s="12">
        <f>SUMPRODUCT($I$5:$I51,$R$5:$R51)</f>
        <v>0</v>
      </c>
      <c r="S53" s="12">
        <f>SUMPRODUCT($I$5:$I51,$S$5:$S51)</f>
        <v>0</v>
      </c>
      <c r="T53" s="12">
        <f ca="1">SUMPRODUCT($I$5:$I51,$T$5:$T51)</f>
        <v>0</v>
      </c>
      <c r="U53" s="12">
        <f>SUMPRODUCT($I$5:$I51,$U$5:$U51)</f>
        <v>0</v>
      </c>
      <c r="V53" s="12">
        <f>SUMPRODUCT($I$5:$I51,$V$5:$V51)</f>
        <v>0</v>
      </c>
      <c r="W53" s="12">
        <f>SUMPRODUCT($I$5:$I51,$W$5:$W51)</f>
        <v>0</v>
      </c>
      <c r="X53" s="12">
        <f>SUMPRODUCT($I$5:$I51,$X$5:$X51)</f>
        <v>0</v>
      </c>
      <c r="Y53" s="12">
        <f>SUMPRODUCT($I$5:$I51,$Y$5:$Y51)</f>
        <v>0</v>
      </c>
      <c r="Z53" s="12">
        <f>SUMPRODUCT($I$5:$I51,$Z$5:$Z51)</f>
        <v>0</v>
      </c>
      <c r="AA53" s="12">
        <f>SUMPRODUCT($I$5:$I51,$AA$5:$AA51)</f>
        <v>0</v>
      </c>
      <c r="AB53" s="12">
        <f>SUMPRODUCT($I$5:$I51,$AB$5:$AB51)</f>
        <v>0</v>
      </c>
      <c r="AC53" s="12">
        <f>SUMPRODUCT($I$5:$I51,$AC$5:$AC51)</f>
        <v>0</v>
      </c>
      <c r="AD53" s="12">
        <f>SUMPRODUCT($I$5:$I51,$AD$5:$AD51)</f>
        <v>0</v>
      </c>
      <c r="AE53" s="12">
        <f ca="1">SUMPRODUCT($I$5:$I51,$AE$5:$AE51)</f>
        <v>0</v>
      </c>
      <c r="AF53" s="12">
        <f ca="1">SUMPRODUCT($I$5:$I51,$AF$5:$AF51)</f>
        <v>0</v>
      </c>
      <c r="AG53" s="12">
        <f ca="1">SUMPRODUCT($I$5:$I51,$AG$5:$AG51)</f>
        <v>0</v>
      </c>
      <c r="AH53" s="12">
        <f>SUMPRODUCT($I$5:$I51,$AH$5:$AH51)</f>
        <v>0</v>
      </c>
      <c r="AI53" s="12">
        <f>SUMPRODUCT($I$5:$I51,$AI$5:$AI51)</f>
        <v>0</v>
      </c>
      <c r="AJ53" s="12">
        <f ca="1">SUMPRODUCT($I$5:$I51,$AJ$5:$AJ51)</f>
        <v>0</v>
      </c>
      <c r="AK53" s="12">
        <f ca="1">SUMPRODUCT($I$5:$I51,$AK$5:$AK51)</f>
        <v>0</v>
      </c>
      <c r="AL53" s="12">
        <f ca="1">SUMPRODUCT($I$5:$I51,$AL$5:$AL51)</f>
        <v>0</v>
      </c>
      <c r="AM53" s="12">
        <f ca="1">SUMPRODUCT($I$5:$I51,$AM$5:$AM51)</f>
        <v>0</v>
      </c>
      <c r="AO53" s="17">
        <f ca="1">SUMPRODUCT($I$5:$I51,$AO$5:$AO51)</f>
        <v>74224429.213411957</v>
      </c>
      <c r="AP53" s="17">
        <f ca="1">SUMPRODUCT($I$5:$I51,$AP$5:$AP51)</f>
        <v>74224429.213411957</v>
      </c>
    </row>
    <row r="54" spans="1:42" ht="11.25" customHeight="1" x14ac:dyDescent="0.25">
      <c r="K54" s="16" t="s">
        <v>402</v>
      </c>
      <c r="L54" s="12">
        <f>'TR TUSD'!$L$56</f>
        <v>0</v>
      </c>
      <c r="M54" s="12">
        <f>'TR TUSD'!$M$56</f>
        <v>224382.49700997537</v>
      </c>
      <c r="N54" s="12">
        <f>'TR TUSD'!$N$56</f>
        <v>0</v>
      </c>
      <c r="O54" s="12">
        <f>'TR TUSD'!$O$56</f>
        <v>0</v>
      </c>
      <c r="P54" s="12">
        <f>'TR TUSD'!$P$56</f>
        <v>0</v>
      </c>
      <c r="Q54" s="12">
        <f>'TR TUSD'!$Q$56</f>
        <v>7967235.2594800005</v>
      </c>
      <c r="R54" s="12">
        <f>'TR TUSD'!$R$56</f>
        <v>1295379.5909400003</v>
      </c>
      <c r="S54" s="12">
        <f>'TR TUSD'!$S$56</f>
        <v>0</v>
      </c>
      <c r="T54" s="12">
        <f>'TR TUSD'!$T$56</f>
        <v>9486997.3474299759</v>
      </c>
      <c r="U54" s="12">
        <f>'TR TUSD'!$U$56</f>
        <v>0</v>
      </c>
      <c r="V54" s="12">
        <f>'TR TUSD'!$V$56</f>
        <v>0</v>
      </c>
      <c r="W54" s="12">
        <f>'TR TUSD'!$W$56</f>
        <v>0</v>
      </c>
      <c r="X54" s="12">
        <f>'TR TUSD'!$X$56</f>
        <v>0</v>
      </c>
      <c r="Y54" s="12">
        <f>'TR TUSD'!$Y$56</f>
        <v>14682368.972575199</v>
      </c>
      <c r="Z54" s="12">
        <f>'TR TUSD'!$Z$56</f>
        <v>0</v>
      </c>
      <c r="AA54" s="12">
        <f>'TR TUSD'!$AA$56</f>
        <v>0</v>
      </c>
      <c r="AB54" s="12">
        <f>'TR TUSD'!$AB$56</f>
        <v>14682368.972575199</v>
      </c>
      <c r="AC54" s="12">
        <f>'TR TUSD'!$AC$56</f>
        <v>47785171.07</v>
      </c>
      <c r="AD54" s="12">
        <f>'TR TUSD'!$AD$56</f>
        <v>47785171.07</v>
      </c>
      <c r="AE54" s="12">
        <f>'TR TUSD'!$AE$56</f>
        <v>0</v>
      </c>
      <c r="AF54" s="12">
        <f>'TR TUSD'!$AF$56</f>
        <v>0</v>
      </c>
      <c r="AG54" s="12">
        <f>'TR TUSD'!$AG$56</f>
        <v>0</v>
      </c>
      <c r="AH54" s="12">
        <f>'TR TUSD'!$AH$56</f>
        <v>2269891.8234067685</v>
      </c>
      <c r="AI54" s="12">
        <f>'TR TUSD'!$AI$56</f>
        <v>0</v>
      </c>
      <c r="AJ54" s="12">
        <f>'TR TUSD'!$AJ$56</f>
        <v>0</v>
      </c>
      <c r="AK54" s="12">
        <f>'TR TUSD'!$AK$56</f>
        <v>0</v>
      </c>
      <c r="AL54" s="12">
        <f>'TR TUSD'!$AL$56</f>
        <v>2269891.8234067685</v>
      </c>
      <c r="AM54" s="12">
        <f>CUSTOS!$D$29</f>
        <v>74224429.213411942</v>
      </c>
      <c r="AO54" s="17">
        <f>$AE$56</f>
        <v>0</v>
      </c>
      <c r="AP54" s="17">
        <f>$AF$56</f>
        <v>0</v>
      </c>
    </row>
    <row r="55" spans="1:42" ht="11.25" customHeight="1" x14ac:dyDescent="0.25">
      <c r="K55" s="16" t="s">
        <v>403</v>
      </c>
      <c r="L55" s="12">
        <f>CUSTOS!$E$2</f>
        <v>0</v>
      </c>
      <c r="M55" s="12">
        <f>CUSTOS!$E$3</f>
        <v>-14709.601146487978</v>
      </c>
      <c r="N55" s="12">
        <f>CUSTOS!$E$4</f>
        <v>0</v>
      </c>
      <c r="O55" s="12">
        <f>CUSTOS!$E$5</f>
        <v>0</v>
      </c>
      <c r="P55" s="12">
        <f>CUSTOS!$E$6</f>
        <v>0</v>
      </c>
      <c r="Q55" s="12">
        <f>CUSTOS!$E$7</f>
        <v>-352322.36415854463</v>
      </c>
      <c r="R55" s="12">
        <f>CUSTOS!$E$8</f>
        <v>-55891.756176992785</v>
      </c>
      <c r="S55" s="12">
        <f>CUSTOS!$E$9</f>
        <v>0</v>
      </c>
      <c r="T55" s="12">
        <f>CUSTOS!$E$10</f>
        <v>-422923.7214820254</v>
      </c>
      <c r="U55" s="12">
        <f>CUSTOS!$E$11</f>
        <v>0</v>
      </c>
      <c r="V55" s="12">
        <f>CUSTOS!$E$12</f>
        <v>0</v>
      </c>
      <c r="W55" s="12">
        <f>CUSTOS!$E$13</f>
        <v>0</v>
      </c>
      <c r="X55" s="12">
        <f>CUSTOS!$E$14</f>
        <v>0</v>
      </c>
      <c r="Y55" s="12">
        <f>CUSTOS!$E$15</f>
        <v>379960.11212711188</v>
      </c>
      <c r="Z55" s="12">
        <f>CUSTOS!$E$16</f>
        <v>0</v>
      </c>
      <c r="AA55" s="12">
        <f>CUSTOS!$E$17</f>
        <v>0</v>
      </c>
      <c r="AB55" s="12">
        <f>CUSTOS!$E$18</f>
        <v>379960.11212711188</v>
      </c>
      <c r="AC55" s="12">
        <f>CUSTOS!$E$19</f>
        <v>-29299244.538198307</v>
      </c>
      <c r="AD55" s="12">
        <f>CUSTOS!$E$20</f>
        <v>-29299244.538198307</v>
      </c>
      <c r="AE55" s="12">
        <f>CUSTOS!$E$21</f>
        <v>0</v>
      </c>
      <c r="AF55" s="12">
        <f>CUSTOS!$E$22</f>
        <v>0</v>
      </c>
      <c r="AG55" s="12">
        <f>CUSTOS!$E$23</f>
        <v>0</v>
      </c>
      <c r="AH55" s="12">
        <f>CUSTOS!$E$24</f>
        <v>162319.00512850611</v>
      </c>
      <c r="AI55" s="12">
        <f>CUSTOS!$E$25</f>
        <v>0</v>
      </c>
      <c r="AJ55" s="12">
        <f>CUSTOS!$E$26</f>
        <v>0</v>
      </c>
      <c r="AK55" s="12">
        <f>CUSTOS!$E$27</f>
        <v>0</v>
      </c>
      <c r="AL55" s="12">
        <f>CUSTOS!$E$28</f>
        <v>162319.00512850611</v>
      </c>
      <c r="AM55" s="12">
        <f>CUSTOS!$E$29</f>
        <v>-29179889.142424714</v>
      </c>
      <c r="AO55" s="17">
        <f ca="1">IF(AO53&lt;&gt;0,AO54/AO53,0)</f>
        <v>0</v>
      </c>
      <c r="AP55" s="17">
        <f ca="1">IF(AP53&lt;&gt;0,AP54/AP53,0)</f>
        <v>0</v>
      </c>
    </row>
    <row r="56" spans="1:42" ht="11.25" customHeight="1" x14ac:dyDescent="0.25">
      <c r="K56" s="16" t="s">
        <v>404</v>
      </c>
      <c r="L56" s="12">
        <f>CUSTOS!$F$2</f>
        <v>0</v>
      </c>
      <c r="M56" s="12">
        <f>CUSTOS!$F$3</f>
        <v>0</v>
      </c>
      <c r="N56" s="12">
        <f>CUSTOS!$F$4</f>
        <v>0</v>
      </c>
      <c r="O56" s="12">
        <f>CUSTOS!$F$5</f>
        <v>0</v>
      </c>
      <c r="P56" s="12">
        <f>CUSTOS!$F$6</f>
        <v>0</v>
      </c>
      <c r="Q56" s="12">
        <f>CUSTOS!$F$7</f>
        <v>0</v>
      </c>
      <c r="R56" s="12">
        <f>CUSTOS!$F$8</f>
        <v>0</v>
      </c>
      <c r="S56" s="12">
        <f>CUSTOS!$F$9</f>
        <v>0</v>
      </c>
      <c r="T56" s="12">
        <f>CUSTOS!$F$10</f>
        <v>0</v>
      </c>
      <c r="U56" s="12">
        <f>CUSTOS!$F$11</f>
        <v>0</v>
      </c>
      <c r="V56" s="12">
        <f>CUSTOS!$F$12</f>
        <v>0</v>
      </c>
      <c r="W56" s="12">
        <f>CUSTOS!$F$13</f>
        <v>0</v>
      </c>
      <c r="X56" s="12">
        <f>CUSTOS!$F$14</f>
        <v>0</v>
      </c>
      <c r="Y56" s="12">
        <f>CUSTOS!$F$15</f>
        <v>0</v>
      </c>
      <c r="Z56" s="12">
        <f>CUSTOS!$F$16</f>
        <v>0</v>
      </c>
      <c r="AA56" s="12">
        <f>CUSTOS!$F$17</f>
        <v>0</v>
      </c>
      <c r="AB56" s="12">
        <f>CUSTOS!$F$18</f>
        <v>0</v>
      </c>
      <c r="AC56" s="12">
        <f>CUSTOS!$F$19</f>
        <v>0</v>
      </c>
      <c r="AD56" s="12">
        <f>CUSTOS!$F$20</f>
        <v>0</v>
      </c>
      <c r="AE56" s="12">
        <f>CUSTOS!$F$21</f>
        <v>0</v>
      </c>
      <c r="AF56" s="12">
        <f>CUSTOS!$F$22</f>
        <v>0</v>
      </c>
      <c r="AG56" s="12">
        <f>CUSTOS!$F$23</f>
        <v>0</v>
      </c>
      <c r="AH56" s="12">
        <f>CUSTOS!$F$24</f>
        <v>0</v>
      </c>
      <c r="AI56" s="12">
        <f>CUSTOS!$F$25</f>
        <v>0</v>
      </c>
      <c r="AJ56" s="12">
        <f>CUSTOS!$F$26</f>
        <v>0</v>
      </c>
      <c r="AK56" s="12">
        <f>CUSTOS!$F$27</f>
        <v>0</v>
      </c>
      <c r="AL56" s="12">
        <f>CUSTOS!$F$28</f>
        <v>0</v>
      </c>
      <c r="AM56" s="12">
        <f>CUSTOS!$F$29</f>
        <v>0</v>
      </c>
    </row>
    <row r="57" spans="1:42" ht="11.25" customHeight="1" x14ac:dyDescent="0.25">
      <c r="K57" s="16" t="s">
        <v>466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/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/>
      <c r="AC57" s="12">
        <v>0</v>
      </c>
      <c r="AD57" s="12"/>
      <c r="AE57" s="12">
        <v>0</v>
      </c>
      <c r="AF57" s="12">
        <v>0</v>
      </c>
      <c r="AG57" s="12"/>
      <c r="AH57" s="12">
        <v>0</v>
      </c>
      <c r="AI57" s="12">
        <v>0</v>
      </c>
      <c r="AJ57" s="12">
        <v>0</v>
      </c>
      <c r="AK57" s="12">
        <v>0</v>
      </c>
      <c r="AL57" s="12"/>
      <c r="AM57" s="12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46" priority="55" operator="notEqual">
      <formula>$L$56</formula>
    </cfRule>
    <cfRule type="cellIs" dxfId="845" priority="56" operator="equal">
      <formula>$L$56</formula>
    </cfRule>
  </conditionalFormatting>
  <conditionalFormatting sqref="M53">
    <cfRule type="cellIs" dxfId="844" priority="53" operator="notEqual">
      <formula>$M$56</formula>
    </cfRule>
    <cfRule type="cellIs" dxfId="843" priority="54" operator="equal">
      <formula>$M$56</formula>
    </cfRule>
  </conditionalFormatting>
  <conditionalFormatting sqref="N53">
    <cfRule type="cellIs" dxfId="842" priority="51" operator="notEqual">
      <formula>$N$56</formula>
    </cfRule>
    <cfRule type="cellIs" dxfId="841" priority="52" operator="equal">
      <formula>$N$56</formula>
    </cfRule>
  </conditionalFormatting>
  <conditionalFormatting sqref="O53">
    <cfRule type="cellIs" dxfId="840" priority="49" operator="notEqual">
      <formula>$O$56</formula>
    </cfRule>
    <cfRule type="cellIs" dxfId="839" priority="50" operator="equal">
      <formula>$O$56</formula>
    </cfRule>
  </conditionalFormatting>
  <conditionalFormatting sqref="P53">
    <cfRule type="cellIs" dxfId="838" priority="47" operator="notEqual">
      <formula>$P$56</formula>
    </cfRule>
    <cfRule type="cellIs" dxfId="837" priority="48" operator="equal">
      <formula>$P$56</formula>
    </cfRule>
  </conditionalFormatting>
  <conditionalFormatting sqref="Q53">
    <cfRule type="cellIs" dxfId="836" priority="45" operator="notEqual">
      <formula>$Q$56</formula>
    </cfRule>
    <cfRule type="cellIs" dxfId="835" priority="46" operator="equal">
      <formula>$Q$56</formula>
    </cfRule>
  </conditionalFormatting>
  <conditionalFormatting sqref="R53">
    <cfRule type="cellIs" dxfId="834" priority="43" operator="notEqual">
      <formula>$R$56</formula>
    </cfRule>
    <cfRule type="cellIs" dxfId="833" priority="44" operator="equal">
      <formula>$R$56</formula>
    </cfRule>
  </conditionalFormatting>
  <conditionalFormatting sqref="S53">
    <cfRule type="cellIs" dxfId="832" priority="41" operator="notEqual">
      <formula>$S$56</formula>
    </cfRule>
    <cfRule type="cellIs" dxfId="831" priority="42" operator="equal">
      <formula>$S$56</formula>
    </cfRule>
  </conditionalFormatting>
  <conditionalFormatting sqref="T53">
    <cfRule type="cellIs" dxfId="830" priority="39" operator="notEqual">
      <formula>$T$56</formula>
    </cfRule>
    <cfRule type="cellIs" dxfId="829" priority="40" operator="equal">
      <formula>$T$56</formula>
    </cfRule>
  </conditionalFormatting>
  <conditionalFormatting sqref="U53">
    <cfRule type="cellIs" dxfId="828" priority="37" operator="notEqual">
      <formula>$U$56</formula>
    </cfRule>
    <cfRule type="cellIs" dxfId="827" priority="38" operator="equal">
      <formula>$U$56</formula>
    </cfRule>
  </conditionalFormatting>
  <conditionalFormatting sqref="V53">
    <cfRule type="cellIs" dxfId="826" priority="35" operator="notEqual">
      <formula>$V$56</formula>
    </cfRule>
    <cfRule type="cellIs" dxfId="825" priority="36" operator="equal">
      <formula>$V$56</formula>
    </cfRule>
  </conditionalFormatting>
  <conditionalFormatting sqref="W53">
    <cfRule type="cellIs" dxfId="824" priority="33" operator="notEqual">
      <formula>$W$56</formula>
    </cfRule>
    <cfRule type="cellIs" dxfId="823" priority="34" operator="equal">
      <formula>$W$56</formula>
    </cfRule>
  </conditionalFormatting>
  <conditionalFormatting sqref="X53">
    <cfRule type="cellIs" dxfId="822" priority="31" operator="notEqual">
      <formula>$X$56</formula>
    </cfRule>
    <cfRule type="cellIs" dxfId="821" priority="32" operator="equal">
      <formula>$X$56</formula>
    </cfRule>
  </conditionalFormatting>
  <conditionalFormatting sqref="Y53">
    <cfRule type="cellIs" dxfId="820" priority="29" operator="notEqual">
      <formula>$Y$56</formula>
    </cfRule>
    <cfRule type="cellIs" dxfId="819" priority="30" operator="equal">
      <formula>$Y$56</formula>
    </cfRule>
  </conditionalFormatting>
  <conditionalFormatting sqref="Z53">
    <cfRule type="cellIs" dxfId="818" priority="27" operator="notEqual">
      <formula>$Z$56</formula>
    </cfRule>
    <cfRule type="cellIs" dxfId="817" priority="28" operator="equal">
      <formula>$Z$56</formula>
    </cfRule>
  </conditionalFormatting>
  <conditionalFormatting sqref="AA53">
    <cfRule type="cellIs" dxfId="816" priority="25" operator="notEqual">
      <formula>$AA$56</formula>
    </cfRule>
    <cfRule type="cellIs" dxfId="815" priority="26" operator="equal">
      <formula>$AA$56</formula>
    </cfRule>
  </conditionalFormatting>
  <conditionalFormatting sqref="AB53">
    <cfRule type="cellIs" dxfId="814" priority="23" operator="notEqual">
      <formula>$AB$56</formula>
    </cfRule>
    <cfRule type="cellIs" dxfId="813" priority="24" operator="equal">
      <formula>$AB$56</formula>
    </cfRule>
  </conditionalFormatting>
  <conditionalFormatting sqref="AC53">
    <cfRule type="cellIs" dxfId="812" priority="21" operator="notEqual">
      <formula>$AC$56</formula>
    </cfRule>
    <cfRule type="cellIs" dxfId="811" priority="22" operator="equal">
      <formula>$AC$56</formula>
    </cfRule>
  </conditionalFormatting>
  <conditionalFormatting sqref="AD53">
    <cfRule type="cellIs" dxfId="810" priority="19" operator="notEqual">
      <formula>$AD$56</formula>
    </cfRule>
    <cfRule type="cellIs" dxfId="809" priority="20" operator="equal">
      <formula>$AD$56</formula>
    </cfRule>
  </conditionalFormatting>
  <conditionalFormatting sqref="AE53">
    <cfRule type="cellIs" dxfId="808" priority="17" operator="notEqual">
      <formula>$AE$56</formula>
    </cfRule>
    <cfRule type="cellIs" dxfId="807" priority="18" operator="equal">
      <formula>$AE$56</formula>
    </cfRule>
  </conditionalFormatting>
  <conditionalFormatting sqref="AF53">
    <cfRule type="cellIs" dxfId="806" priority="16" operator="equal">
      <formula>$AF$56</formula>
    </cfRule>
  </conditionalFormatting>
  <conditionalFormatting sqref="AF53">
    <cfRule type="cellIs" dxfId="805" priority="15" operator="notEqual">
      <formula>$AF$56</formula>
    </cfRule>
  </conditionalFormatting>
  <conditionalFormatting sqref="AG53">
    <cfRule type="cellIs" dxfId="804" priority="14" operator="equal">
      <formula>$AG$56</formula>
    </cfRule>
  </conditionalFormatting>
  <conditionalFormatting sqref="AG53">
    <cfRule type="cellIs" dxfId="803" priority="13" operator="notEqual">
      <formula>$AG$56</formula>
    </cfRule>
  </conditionalFormatting>
  <conditionalFormatting sqref="AH53">
    <cfRule type="cellIs" dxfId="802" priority="12" operator="equal">
      <formula>$AH$56</formula>
    </cfRule>
  </conditionalFormatting>
  <conditionalFormatting sqref="AH53">
    <cfRule type="cellIs" dxfId="801" priority="11" operator="notEqual">
      <formula>$AH$56</formula>
    </cfRule>
  </conditionalFormatting>
  <conditionalFormatting sqref="AI53">
    <cfRule type="cellIs" dxfId="800" priority="10" operator="equal">
      <formula>$AI$56</formula>
    </cfRule>
  </conditionalFormatting>
  <conditionalFormatting sqref="AI53">
    <cfRule type="cellIs" dxfId="799" priority="9" operator="notEqual">
      <formula>$AI$56</formula>
    </cfRule>
  </conditionalFormatting>
  <conditionalFormatting sqref="AJ53">
    <cfRule type="cellIs" dxfId="798" priority="8" operator="equal">
      <formula>$AJ$56</formula>
    </cfRule>
  </conditionalFormatting>
  <conditionalFormatting sqref="AJ53">
    <cfRule type="cellIs" dxfId="797" priority="7" operator="notEqual">
      <formula>$AJ$56</formula>
    </cfRule>
  </conditionalFormatting>
  <conditionalFormatting sqref="AK53">
    <cfRule type="cellIs" dxfId="796" priority="6" operator="equal">
      <formula>$AK$56</formula>
    </cfRule>
  </conditionalFormatting>
  <conditionalFormatting sqref="AK53">
    <cfRule type="cellIs" dxfId="795" priority="5" operator="notEqual">
      <formula>$AK$56</formula>
    </cfRule>
  </conditionalFormatting>
  <conditionalFormatting sqref="AL53">
    <cfRule type="cellIs" dxfId="794" priority="4" operator="equal">
      <formula>$AL$56</formula>
    </cfRule>
  </conditionalFormatting>
  <conditionalFormatting sqref="AL53">
    <cfRule type="cellIs" dxfId="793" priority="3" operator="notEqual">
      <formula>$AL$56</formula>
    </cfRule>
  </conditionalFormatting>
  <conditionalFormatting sqref="AM53">
    <cfRule type="cellIs" dxfId="792" priority="2" operator="equal">
      <formula>$AM$56</formula>
    </cfRule>
  </conditionalFormatting>
  <conditionalFormatting sqref="AM53">
    <cfRule type="cellIs" dxfId="791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D095-2897-4E96-B51D-8BD988C5C7C7}">
  <sheetPr codeName="Planilha12"/>
  <dimension ref="A1:AB49"/>
  <sheetViews>
    <sheetView showGridLines="0" topLeftCell="A30" workbookViewId="0">
      <selection activeCell="K43" sqref="K43:AB49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12" t="s">
        <v>61</v>
      </c>
      <c r="B1" s="112" t="s">
        <v>62</v>
      </c>
      <c r="C1" s="112" t="s">
        <v>63</v>
      </c>
      <c r="D1" s="112" t="s">
        <v>64</v>
      </c>
      <c r="E1" s="112" t="s">
        <v>65</v>
      </c>
      <c r="F1" s="112" t="s">
        <v>15</v>
      </c>
      <c r="G1" s="112" t="s">
        <v>67</v>
      </c>
      <c r="H1" s="112" t="s">
        <v>68</v>
      </c>
      <c r="I1" s="112" t="s">
        <v>460</v>
      </c>
      <c r="J1" s="100"/>
      <c r="L1" s="110" t="s">
        <v>481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8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00"/>
      <c r="L2" s="110" t="s">
        <v>388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</row>
    <row r="3" spans="1:28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00"/>
      <c r="L3" s="110" t="s">
        <v>361</v>
      </c>
      <c r="M3" s="110"/>
      <c r="N3" s="110"/>
      <c r="O3" s="110"/>
      <c r="P3" s="110"/>
      <c r="Q3" s="110"/>
      <c r="R3" s="110" t="s">
        <v>392</v>
      </c>
      <c r="S3" s="110"/>
      <c r="T3" s="110" t="s">
        <v>370</v>
      </c>
      <c r="U3" s="110"/>
      <c r="V3" s="110"/>
      <c r="W3" s="110"/>
      <c r="X3" s="110" t="s">
        <v>380</v>
      </c>
      <c r="Y3" s="110"/>
      <c r="Z3" s="110" t="s">
        <v>383</v>
      </c>
      <c r="AA3" s="110"/>
      <c r="AB3" s="110" t="s">
        <v>369</v>
      </c>
    </row>
    <row r="4" spans="1:28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100"/>
      <c r="L4" s="24" t="s">
        <v>363</v>
      </c>
      <c r="M4" s="24" t="s">
        <v>389</v>
      </c>
      <c r="N4" s="24" t="s">
        <v>390</v>
      </c>
      <c r="O4" s="24" t="s">
        <v>449</v>
      </c>
      <c r="P4" s="24" t="s">
        <v>391</v>
      </c>
      <c r="Q4" s="24" t="s">
        <v>369</v>
      </c>
      <c r="R4" s="24" t="s">
        <v>393</v>
      </c>
      <c r="S4" s="24" t="s">
        <v>369</v>
      </c>
      <c r="T4" s="24" t="s">
        <v>394</v>
      </c>
      <c r="U4" s="24" t="s">
        <v>395</v>
      </c>
      <c r="V4" s="24" t="s">
        <v>396</v>
      </c>
      <c r="W4" s="24" t="s">
        <v>369</v>
      </c>
      <c r="X4" s="24" t="s">
        <v>381</v>
      </c>
      <c r="Y4" s="24" t="s">
        <v>369</v>
      </c>
      <c r="Z4" s="24" t="s">
        <v>397</v>
      </c>
      <c r="AA4" s="24" t="s">
        <v>369</v>
      </c>
      <c r="AB4" s="111"/>
    </row>
    <row r="5" spans="1:28" ht="11.25" customHeight="1" x14ac:dyDescent="0.25">
      <c r="A5" s="113" t="s">
        <v>35</v>
      </c>
      <c r="B5" s="113" t="s">
        <v>70</v>
      </c>
      <c r="C5" s="113" t="s">
        <v>25</v>
      </c>
      <c r="D5" s="113" t="s">
        <v>25</v>
      </c>
      <c r="E5" s="113" t="s">
        <v>25</v>
      </c>
      <c r="F5" s="113" t="s">
        <v>25</v>
      </c>
      <c r="G5" s="22" t="s">
        <v>72</v>
      </c>
      <c r="H5" s="22" t="s">
        <v>71</v>
      </c>
      <c r="I5" s="22">
        <f>'MERCADO TE'!$U$2</f>
        <v>917.02499999999986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25">
      <c r="A6" s="113"/>
      <c r="B6" s="113"/>
      <c r="C6" s="113"/>
      <c r="D6" s="113"/>
      <c r="E6" s="113"/>
      <c r="F6" s="113"/>
      <c r="G6" s="22" t="s">
        <v>73</v>
      </c>
      <c r="H6" s="22" t="s">
        <v>71</v>
      </c>
      <c r="I6" s="22">
        <f>'MERCADO TE'!$U$3</f>
        <v>14461.756000000001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25">
      <c r="A7" s="113" t="s">
        <v>22</v>
      </c>
      <c r="B7" s="113" t="s">
        <v>70</v>
      </c>
      <c r="C7" s="113" t="s">
        <v>24</v>
      </c>
      <c r="D7" s="113" t="s">
        <v>24</v>
      </c>
      <c r="E7" s="113" t="s">
        <v>25</v>
      </c>
      <c r="F7" s="113" t="s">
        <v>25</v>
      </c>
      <c r="G7" s="22" t="s">
        <v>72</v>
      </c>
      <c r="H7" s="22" t="s">
        <v>71</v>
      </c>
      <c r="I7" s="22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25">
      <c r="A8" s="113"/>
      <c r="B8" s="113"/>
      <c r="C8" s="113"/>
      <c r="D8" s="113"/>
      <c r="E8" s="113"/>
      <c r="F8" s="113"/>
      <c r="G8" s="22" t="s">
        <v>83</v>
      </c>
      <c r="H8" s="22" t="s">
        <v>71</v>
      </c>
      <c r="I8" s="22">
        <f>'MERCADO TE'!$U$5</f>
        <v>0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25">
      <c r="A9" s="113"/>
      <c r="B9" s="113"/>
      <c r="C9" s="113"/>
      <c r="D9" s="113"/>
      <c r="E9" s="113"/>
      <c r="F9" s="113"/>
      <c r="G9" s="22" t="s">
        <v>73</v>
      </c>
      <c r="H9" s="22" t="s">
        <v>71</v>
      </c>
      <c r="I9" s="22">
        <f>'MERCADO TE'!$U$6</f>
        <v>0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25">
      <c r="A10" s="113"/>
      <c r="B10" s="113" t="s">
        <v>84</v>
      </c>
      <c r="C10" s="113" t="s">
        <v>24</v>
      </c>
      <c r="D10" s="23" t="s">
        <v>24</v>
      </c>
      <c r="E10" s="23" t="s">
        <v>25</v>
      </c>
      <c r="F10" s="23" t="s">
        <v>25</v>
      </c>
      <c r="G10" s="22" t="s">
        <v>77</v>
      </c>
      <c r="H10" s="22" t="s">
        <v>71</v>
      </c>
      <c r="I10" s="22">
        <f>'MERCADO TE'!$U$7</f>
        <v>13817.398000000001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25">
      <c r="A11" s="113"/>
      <c r="B11" s="113"/>
      <c r="C11" s="113"/>
      <c r="D11" s="23" t="s">
        <v>29</v>
      </c>
      <c r="E11" s="23" t="s">
        <v>25</v>
      </c>
      <c r="F11" s="23" t="s">
        <v>25</v>
      </c>
      <c r="G11" s="22" t="s">
        <v>77</v>
      </c>
      <c r="H11" s="22" t="s">
        <v>71</v>
      </c>
      <c r="I11" s="22">
        <f>'MERCADO TE'!$U$8</f>
        <v>152.22200000000001</v>
      </c>
      <c r="J11" s="15"/>
      <c r="L11" s="20">
        <f>1 - CUSTOS!$M$24</f>
        <v>1</v>
      </c>
      <c r="M11" s="20">
        <f>1 - CUSTOS!$M$24</f>
        <v>1</v>
      </c>
      <c r="N11" s="20">
        <f>1 - CUSTOS!$M$24</f>
        <v>1</v>
      </c>
      <c r="O11" s="20">
        <f>1 - CUSTOS!$M$24</f>
        <v>1</v>
      </c>
      <c r="P11" s="20">
        <f>1 - CUSTOS!$M$24</f>
        <v>1</v>
      </c>
      <c r="Q11" s="20"/>
      <c r="R11" s="20">
        <f>(1 - CUSTOS!$M$24)*1</f>
        <v>1</v>
      </c>
      <c r="S11" s="20"/>
      <c r="T11" s="20">
        <f>1 - CUSTOS!$M$24</f>
        <v>1</v>
      </c>
      <c r="U11" s="20">
        <f>1 - CUSTOS!$M$24</f>
        <v>1</v>
      </c>
      <c r="V11" s="20">
        <f>1 - CUSTOS!$M$24</f>
        <v>1</v>
      </c>
      <c r="W11" s="20"/>
      <c r="X11" s="20"/>
      <c r="Y11" s="20"/>
      <c r="Z11" s="20">
        <f>1 - CUSTOS!$M$24</f>
        <v>1</v>
      </c>
      <c r="AA11" s="20"/>
      <c r="AB11" s="20"/>
    </row>
    <row r="12" spans="1:28" ht="11.25" customHeight="1" x14ac:dyDescent="0.25">
      <c r="A12" s="113"/>
      <c r="B12" s="113"/>
      <c r="C12" s="113"/>
      <c r="D12" s="23" t="s">
        <v>30</v>
      </c>
      <c r="E12" s="23" t="s">
        <v>25</v>
      </c>
      <c r="F12" s="23" t="s">
        <v>25</v>
      </c>
      <c r="G12" s="22" t="s">
        <v>77</v>
      </c>
      <c r="H12" s="22" t="s">
        <v>71</v>
      </c>
      <c r="I12" s="22">
        <f>'MERCADO TE'!$U$9</f>
        <v>271.62199999999996</v>
      </c>
      <c r="J12" s="15"/>
      <c r="L12" s="20">
        <f>1 - CUSTOS!$M$25</f>
        <v>1</v>
      </c>
      <c r="M12" s="20">
        <f>1 - CUSTOS!$M$25</f>
        <v>1</v>
      </c>
      <c r="N12" s="20">
        <f>1 - CUSTOS!$M$25</f>
        <v>1</v>
      </c>
      <c r="O12" s="20">
        <f>1 - CUSTOS!$M$25</f>
        <v>1</v>
      </c>
      <c r="P12" s="20">
        <f>1 - CUSTOS!$M$25</f>
        <v>1</v>
      </c>
      <c r="Q12" s="20"/>
      <c r="R12" s="20">
        <f>(1 - CUSTOS!$M$25)*1</f>
        <v>1</v>
      </c>
      <c r="S12" s="20"/>
      <c r="T12" s="20">
        <f>1 - CUSTOS!$M$25</f>
        <v>1</v>
      </c>
      <c r="U12" s="20">
        <f>1 - CUSTOS!$M$25</f>
        <v>1</v>
      </c>
      <c r="V12" s="20">
        <f>1 - CUSTOS!$M$25</f>
        <v>1</v>
      </c>
      <c r="W12" s="20"/>
      <c r="X12" s="20"/>
      <c r="Y12" s="20"/>
      <c r="Z12" s="20">
        <f>1 - CUSTOS!$M$25</f>
        <v>1</v>
      </c>
      <c r="AA12" s="20"/>
      <c r="AB12" s="20"/>
    </row>
    <row r="13" spans="1:28" ht="11.25" customHeight="1" x14ac:dyDescent="0.25">
      <c r="A13" s="113"/>
      <c r="B13" s="113"/>
      <c r="C13" s="113"/>
      <c r="D13" s="23" t="s">
        <v>31</v>
      </c>
      <c r="E13" s="23" t="s">
        <v>25</v>
      </c>
      <c r="F13" s="23" t="s">
        <v>25</v>
      </c>
      <c r="G13" s="22" t="s">
        <v>77</v>
      </c>
      <c r="H13" s="22" t="s">
        <v>71</v>
      </c>
      <c r="I13" s="22">
        <f>'MERCADO TE'!$U$10</f>
        <v>195.72200000000001</v>
      </c>
      <c r="J13" s="15"/>
      <c r="L13" s="20">
        <f>1 - CUSTOS!$M$26</f>
        <v>1</v>
      </c>
      <c r="M13" s="20">
        <f>1 - CUSTOS!$M$26</f>
        <v>1</v>
      </c>
      <c r="N13" s="20">
        <f>1 - CUSTOS!$M$26</f>
        <v>1</v>
      </c>
      <c r="O13" s="20">
        <f>1 - CUSTOS!$M$26</f>
        <v>1</v>
      </c>
      <c r="P13" s="20">
        <f>1 - CUSTOS!$M$26</f>
        <v>1</v>
      </c>
      <c r="Q13" s="20"/>
      <c r="R13" s="20">
        <f>(1 - CUSTOS!$M$26)*1</f>
        <v>1</v>
      </c>
      <c r="S13" s="20"/>
      <c r="T13" s="20">
        <f>1 - CUSTOS!$M$26</f>
        <v>1</v>
      </c>
      <c r="U13" s="20">
        <f>1 - CUSTOS!$M$26</f>
        <v>1</v>
      </c>
      <c r="V13" s="20">
        <f>1 - CUSTOS!$M$26</f>
        <v>1</v>
      </c>
      <c r="W13" s="20"/>
      <c r="X13" s="20"/>
      <c r="Y13" s="20"/>
      <c r="Z13" s="20">
        <f>1 - CUSTOS!$M$26</f>
        <v>1</v>
      </c>
      <c r="AA13" s="20"/>
      <c r="AB13" s="20"/>
    </row>
    <row r="14" spans="1:28" ht="11.25" customHeight="1" x14ac:dyDescent="0.25">
      <c r="A14" s="113"/>
      <c r="B14" s="113"/>
      <c r="C14" s="113"/>
      <c r="D14" s="23" t="s">
        <v>32</v>
      </c>
      <c r="E14" s="23" t="s">
        <v>25</v>
      </c>
      <c r="F14" s="23" t="s">
        <v>25</v>
      </c>
      <c r="G14" s="22" t="s">
        <v>77</v>
      </c>
      <c r="H14" s="22" t="s">
        <v>71</v>
      </c>
      <c r="I14" s="22">
        <f>'MERCADO TE'!$U$11</f>
        <v>56.320999999999998</v>
      </c>
      <c r="J14" s="15"/>
      <c r="L14" s="20">
        <f>1 - CUSTOS!$M$27</f>
        <v>1</v>
      </c>
      <c r="M14" s="20">
        <f>1 - CUSTOS!$M$27</f>
        <v>1</v>
      </c>
      <c r="N14" s="20">
        <f>1 - CUSTOS!$M$27</f>
        <v>1</v>
      </c>
      <c r="O14" s="20">
        <f>1 - CUSTOS!$M$27</f>
        <v>1</v>
      </c>
      <c r="P14" s="20">
        <f>1 - CUSTOS!$M$27</f>
        <v>1</v>
      </c>
      <c r="Q14" s="20"/>
      <c r="R14" s="20">
        <f>(1 - CUSTOS!$M$27)*1</f>
        <v>1</v>
      </c>
      <c r="S14" s="20"/>
      <c r="T14" s="20">
        <f>1 - CUSTOS!$M$27</f>
        <v>1</v>
      </c>
      <c r="U14" s="20">
        <f>1 - CUSTOS!$M$27</f>
        <v>1</v>
      </c>
      <c r="V14" s="20">
        <f>1 - CUSTOS!$M$27</f>
        <v>1</v>
      </c>
      <c r="W14" s="20"/>
      <c r="X14" s="20"/>
      <c r="Y14" s="20"/>
      <c r="Z14" s="20">
        <f>1 - CUSTOS!$M$27</f>
        <v>1</v>
      </c>
      <c r="AA14" s="20"/>
      <c r="AB14" s="20"/>
    </row>
    <row r="15" spans="1:28" ht="11.25" customHeight="1" x14ac:dyDescent="0.25">
      <c r="A15" s="113"/>
      <c r="B15" s="113" t="s">
        <v>86</v>
      </c>
      <c r="C15" s="113" t="s">
        <v>24</v>
      </c>
      <c r="D15" s="23" t="s">
        <v>24</v>
      </c>
      <c r="E15" s="23" t="s">
        <v>25</v>
      </c>
      <c r="F15" s="23" t="s">
        <v>25</v>
      </c>
      <c r="G15" s="22" t="s">
        <v>77</v>
      </c>
      <c r="H15" s="22" t="s">
        <v>71</v>
      </c>
      <c r="I15" s="22">
        <f>'MERCADO TE'!$U$12</f>
        <v>0</v>
      </c>
      <c r="J15" s="15"/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/>
      <c r="R15" s="20">
        <v>1</v>
      </c>
      <c r="S15" s="20"/>
      <c r="T15" s="20">
        <v>1</v>
      </c>
      <c r="U15" s="20">
        <v>1</v>
      </c>
      <c r="V15" s="20">
        <v>1</v>
      </c>
      <c r="W15" s="20"/>
      <c r="X15" s="20"/>
      <c r="Y15" s="20"/>
      <c r="Z15" s="20">
        <v>1</v>
      </c>
      <c r="AA15" s="20"/>
      <c r="AB15" s="20"/>
    </row>
    <row r="16" spans="1:28" ht="11.25" customHeight="1" x14ac:dyDescent="0.25">
      <c r="A16" s="113"/>
      <c r="B16" s="113"/>
      <c r="C16" s="113"/>
      <c r="D16" s="23" t="s">
        <v>29</v>
      </c>
      <c r="E16" s="23" t="s">
        <v>25</v>
      </c>
      <c r="F16" s="23" t="s">
        <v>25</v>
      </c>
      <c r="G16" s="22" t="s">
        <v>77</v>
      </c>
      <c r="H16" s="22" t="s">
        <v>71</v>
      </c>
      <c r="I16" s="22">
        <f>'MERCADO TE'!$U$13</f>
        <v>0</v>
      </c>
      <c r="J16" s="15"/>
      <c r="L16" s="20">
        <f>1 - CUSTOS!$M$24</f>
        <v>1</v>
      </c>
      <c r="M16" s="20">
        <f>1 - CUSTOS!$M$24</f>
        <v>1</v>
      </c>
      <c r="N16" s="20">
        <f>1 - CUSTOS!$M$24</f>
        <v>1</v>
      </c>
      <c r="O16" s="20">
        <f>1 - CUSTOS!$M$24</f>
        <v>1</v>
      </c>
      <c r="P16" s="20">
        <f>1 - CUSTOS!$M$24</f>
        <v>1</v>
      </c>
      <c r="Q16" s="20"/>
      <c r="R16" s="20">
        <f>(1 - CUSTOS!$M$24)*1</f>
        <v>1</v>
      </c>
      <c r="S16" s="20"/>
      <c r="T16" s="20">
        <f>1 - CUSTOS!$M$24</f>
        <v>1</v>
      </c>
      <c r="U16" s="20">
        <f>1 - CUSTOS!$M$24</f>
        <v>1</v>
      </c>
      <c r="V16" s="20">
        <f>1 - CUSTOS!$M$24</f>
        <v>1</v>
      </c>
      <c r="W16" s="20"/>
      <c r="X16" s="20"/>
      <c r="Y16" s="20"/>
      <c r="Z16" s="20">
        <f>1 - CUSTOS!$M$24</f>
        <v>1</v>
      </c>
      <c r="AA16" s="20"/>
      <c r="AB16" s="20"/>
    </row>
    <row r="17" spans="1:28" ht="11.25" customHeight="1" x14ac:dyDescent="0.25">
      <c r="A17" s="113"/>
      <c r="B17" s="113"/>
      <c r="C17" s="113"/>
      <c r="D17" s="23" t="s">
        <v>30</v>
      </c>
      <c r="E17" s="23" t="s">
        <v>25</v>
      </c>
      <c r="F17" s="23" t="s">
        <v>25</v>
      </c>
      <c r="G17" s="22" t="s">
        <v>77</v>
      </c>
      <c r="H17" s="22" t="s">
        <v>71</v>
      </c>
      <c r="I17" s="22">
        <f>'MERCADO TE'!$U$14</f>
        <v>0</v>
      </c>
      <c r="J17" s="15"/>
      <c r="L17" s="20">
        <f>1 - CUSTOS!$M$25</f>
        <v>1</v>
      </c>
      <c r="M17" s="20">
        <f>1 - CUSTOS!$M$25</f>
        <v>1</v>
      </c>
      <c r="N17" s="20">
        <f>1 - CUSTOS!$M$25</f>
        <v>1</v>
      </c>
      <c r="O17" s="20">
        <f>1 - CUSTOS!$M$25</f>
        <v>1</v>
      </c>
      <c r="P17" s="20">
        <f>1 - CUSTOS!$M$25</f>
        <v>1</v>
      </c>
      <c r="Q17" s="20"/>
      <c r="R17" s="20">
        <f>(1 - CUSTOS!$M$25)*1</f>
        <v>1</v>
      </c>
      <c r="S17" s="20"/>
      <c r="T17" s="20">
        <f>1 - CUSTOS!$M$25</f>
        <v>1</v>
      </c>
      <c r="U17" s="20">
        <f>1 - CUSTOS!$M$25</f>
        <v>1</v>
      </c>
      <c r="V17" s="20">
        <f>1 - CUSTOS!$M$25</f>
        <v>1</v>
      </c>
      <c r="W17" s="20"/>
      <c r="X17" s="20"/>
      <c r="Y17" s="20"/>
      <c r="Z17" s="20">
        <f>1 - CUSTOS!$M$25</f>
        <v>1</v>
      </c>
      <c r="AA17" s="20"/>
      <c r="AB17" s="20"/>
    </row>
    <row r="18" spans="1:28" ht="11.25" customHeight="1" x14ac:dyDescent="0.25">
      <c r="A18" s="113"/>
      <c r="B18" s="113"/>
      <c r="C18" s="113"/>
      <c r="D18" s="23" t="s">
        <v>31</v>
      </c>
      <c r="E18" s="23" t="s">
        <v>25</v>
      </c>
      <c r="F18" s="23" t="s">
        <v>25</v>
      </c>
      <c r="G18" s="22" t="s">
        <v>77</v>
      </c>
      <c r="H18" s="22" t="s">
        <v>71</v>
      </c>
      <c r="I18" s="22">
        <f>'MERCADO TE'!$U$15</f>
        <v>0</v>
      </c>
      <c r="J18" s="15"/>
      <c r="L18" s="20">
        <f>1 - CUSTOS!$M$26</f>
        <v>1</v>
      </c>
      <c r="M18" s="20">
        <f>1 - CUSTOS!$M$26</f>
        <v>1</v>
      </c>
      <c r="N18" s="20">
        <f>1 - CUSTOS!$M$26</f>
        <v>1</v>
      </c>
      <c r="O18" s="20">
        <f>1 - CUSTOS!$M$26</f>
        <v>1</v>
      </c>
      <c r="P18" s="20">
        <f>1 - CUSTOS!$M$26</f>
        <v>1</v>
      </c>
      <c r="Q18" s="20"/>
      <c r="R18" s="20">
        <f>(1 - CUSTOS!$M$26)*1</f>
        <v>1</v>
      </c>
      <c r="S18" s="20"/>
      <c r="T18" s="20">
        <f>1 - CUSTOS!$M$26</f>
        <v>1</v>
      </c>
      <c r="U18" s="20">
        <f>1 - CUSTOS!$M$26</f>
        <v>1</v>
      </c>
      <c r="V18" s="20">
        <f>1 - CUSTOS!$M$26</f>
        <v>1</v>
      </c>
      <c r="W18" s="20"/>
      <c r="X18" s="20"/>
      <c r="Y18" s="20"/>
      <c r="Z18" s="20">
        <f>1 - CUSTOS!$M$26</f>
        <v>1</v>
      </c>
      <c r="AA18" s="20"/>
      <c r="AB18" s="20"/>
    </row>
    <row r="19" spans="1:28" ht="11.25" customHeight="1" x14ac:dyDescent="0.25">
      <c r="A19" s="113"/>
      <c r="B19" s="113"/>
      <c r="C19" s="113"/>
      <c r="D19" s="23" t="s">
        <v>32</v>
      </c>
      <c r="E19" s="23" t="s">
        <v>25</v>
      </c>
      <c r="F19" s="23" t="s">
        <v>25</v>
      </c>
      <c r="G19" s="22" t="s">
        <v>77</v>
      </c>
      <c r="H19" s="22" t="s">
        <v>71</v>
      </c>
      <c r="I19" s="22">
        <f>'MERCADO TE'!$U$16</f>
        <v>0</v>
      </c>
      <c r="J19" s="15"/>
      <c r="L19" s="20">
        <f>1 - CUSTOS!$M$27</f>
        <v>1</v>
      </c>
      <c r="M19" s="20">
        <f>1 - CUSTOS!$M$27</f>
        <v>1</v>
      </c>
      <c r="N19" s="20">
        <f>1 - CUSTOS!$M$27</f>
        <v>1</v>
      </c>
      <c r="O19" s="20">
        <f>1 - CUSTOS!$M$27</f>
        <v>1</v>
      </c>
      <c r="P19" s="20">
        <f>1 - CUSTOS!$M$27</f>
        <v>1</v>
      </c>
      <c r="Q19" s="20"/>
      <c r="R19" s="20">
        <f>(1 - CUSTOS!$M$27)*1</f>
        <v>1</v>
      </c>
      <c r="S19" s="20"/>
      <c r="T19" s="20">
        <f>1 - CUSTOS!$M$27</f>
        <v>1</v>
      </c>
      <c r="U19" s="20">
        <f>1 - CUSTOS!$M$27</f>
        <v>1</v>
      </c>
      <c r="V19" s="20">
        <f>1 - CUSTOS!$M$27</f>
        <v>1</v>
      </c>
      <c r="W19" s="20"/>
      <c r="X19" s="20"/>
      <c r="Y19" s="20"/>
      <c r="Z19" s="20">
        <f>1 - CUSTOS!$M$27</f>
        <v>1</v>
      </c>
      <c r="AA19" s="20"/>
      <c r="AB19" s="20"/>
    </row>
    <row r="20" spans="1:28" ht="11.25" customHeight="1" x14ac:dyDescent="0.25">
      <c r="A20" s="113" t="s">
        <v>40</v>
      </c>
      <c r="B20" s="113" t="s">
        <v>70</v>
      </c>
      <c r="C20" s="113" t="s">
        <v>41</v>
      </c>
      <c r="D20" s="113" t="s">
        <v>25</v>
      </c>
      <c r="E20" s="113" t="s">
        <v>25</v>
      </c>
      <c r="F20" s="113" t="s">
        <v>25</v>
      </c>
      <c r="G20" s="22" t="s">
        <v>72</v>
      </c>
      <c r="H20" s="22" t="s">
        <v>71</v>
      </c>
      <c r="I20" s="22">
        <f>'MERCADO TE'!$U$17</f>
        <v>0</v>
      </c>
      <c r="J20" s="15"/>
      <c r="L20" s="20">
        <f>1 - CUSTOS!$M$28</f>
        <v>1</v>
      </c>
      <c r="M20" s="20">
        <f>1 - CUSTOS!$M$28</f>
        <v>1</v>
      </c>
      <c r="N20" s="20">
        <f>1 - CUSTOS!$M$28</f>
        <v>1</v>
      </c>
      <c r="O20" s="20">
        <f>1 - CUSTOS!$M$28</f>
        <v>1</v>
      </c>
      <c r="P20" s="20">
        <f>1 - CUSTOS!$M$28</f>
        <v>1</v>
      </c>
      <c r="Q20" s="20"/>
      <c r="R20" s="20">
        <f>(1 - CUSTOS!$M$28)*1</f>
        <v>1</v>
      </c>
      <c r="S20" s="20"/>
      <c r="T20" s="20">
        <f>1 - CUSTOS!$M$28</f>
        <v>1</v>
      </c>
      <c r="U20" s="20">
        <f>1 - CUSTOS!$M$28</f>
        <v>1</v>
      </c>
      <c r="V20" s="20">
        <f>1 - CUSTOS!$M$28</f>
        <v>1</v>
      </c>
      <c r="W20" s="20"/>
      <c r="X20" s="20"/>
      <c r="Y20" s="20"/>
      <c r="Z20" s="20">
        <f>1 - CUSTOS!$M$28</f>
        <v>1</v>
      </c>
      <c r="AA20" s="20"/>
      <c r="AB20" s="20"/>
    </row>
    <row r="21" spans="1:28" ht="11.25" customHeight="1" x14ac:dyDescent="0.25">
      <c r="A21" s="113"/>
      <c r="B21" s="113"/>
      <c r="C21" s="113"/>
      <c r="D21" s="113"/>
      <c r="E21" s="113"/>
      <c r="F21" s="113"/>
      <c r="G21" s="22" t="s">
        <v>83</v>
      </c>
      <c r="H21" s="22" t="s">
        <v>71</v>
      </c>
      <c r="I21" s="22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25">
      <c r="A22" s="113"/>
      <c r="B22" s="113"/>
      <c r="C22" s="113"/>
      <c r="D22" s="113"/>
      <c r="E22" s="113"/>
      <c r="F22" s="113"/>
      <c r="G22" s="22" t="s">
        <v>73</v>
      </c>
      <c r="H22" s="22" t="s">
        <v>71</v>
      </c>
      <c r="I22" s="22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25">
      <c r="A23" s="113"/>
      <c r="B23" s="23" t="s">
        <v>84</v>
      </c>
      <c r="C23" s="23" t="s">
        <v>41</v>
      </c>
      <c r="D23" s="23" t="s">
        <v>25</v>
      </c>
      <c r="E23" s="23" t="s">
        <v>25</v>
      </c>
      <c r="F23" s="23" t="s">
        <v>25</v>
      </c>
      <c r="G23" s="22" t="s">
        <v>77</v>
      </c>
      <c r="H23" s="22" t="s">
        <v>71</v>
      </c>
      <c r="I23" s="22">
        <f>'MERCADO TE'!$U$20</f>
        <v>47790.548000000003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25">
      <c r="A24" s="113"/>
      <c r="B24" s="113" t="s">
        <v>70</v>
      </c>
      <c r="C24" s="113" t="s">
        <v>41</v>
      </c>
      <c r="D24" s="113" t="s">
        <v>88</v>
      </c>
      <c r="E24" s="113" t="s">
        <v>25</v>
      </c>
      <c r="F24" s="113" t="s">
        <v>25</v>
      </c>
      <c r="G24" s="22" t="s">
        <v>72</v>
      </c>
      <c r="H24" s="22" t="s">
        <v>71</v>
      </c>
      <c r="I24" s="22">
        <f>'MERCADO TE'!$U$21</f>
        <v>0</v>
      </c>
      <c r="J24" s="15"/>
      <c r="L24" s="20">
        <f>1 - CUSTOS!$M$29</f>
        <v>1</v>
      </c>
      <c r="M24" s="20">
        <f>1 - CUSTOS!$M$29</f>
        <v>1</v>
      </c>
      <c r="N24" s="20">
        <f>1 - CUSTOS!$M$29</f>
        <v>1</v>
      </c>
      <c r="O24" s="20">
        <f>1 - CUSTOS!$M$29</f>
        <v>1</v>
      </c>
      <c r="P24" s="20">
        <f>1 - CUSTOS!$M$29</f>
        <v>1</v>
      </c>
      <c r="Q24" s="20"/>
      <c r="R24" s="20">
        <f>(1 - CUSTOS!$M$29)*1</f>
        <v>1</v>
      </c>
      <c r="S24" s="20"/>
      <c r="T24" s="20">
        <f>1 - CUSTOS!$M$29</f>
        <v>1</v>
      </c>
      <c r="U24" s="20">
        <f>1 - CUSTOS!$M$29</f>
        <v>1</v>
      </c>
      <c r="V24" s="20">
        <f>1 - CUSTOS!$M$29</f>
        <v>1</v>
      </c>
      <c r="W24" s="20"/>
      <c r="X24" s="20"/>
      <c r="Y24" s="20"/>
      <c r="Z24" s="20">
        <f>1 - CUSTOS!$M$29</f>
        <v>1</v>
      </c>
      <c r="AA24" s="20"/>
      <c r="AB24" s="20"/>
    </row>
    <row r="25" spans="1:28" ht="11.25" customHeight="1" x14ac:dyDescent="0.25">
      <c r="A25" s="113"/>
      <c r="B25" s="113"/>
      <c r="C25" s="113"/>
      <c r="D25" s="113"/>
      <c r="E25" s="113"/>
      <c r="F25" s="113"/>
      <c r="G25" s="22" t="s">
        <v>83</v>
      </c>
      <c r="H25" s="22" t="s">
        <v>71</v>
      </c>
      <c r="I25" s="22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25">
      <c r="A26" s="113"/>
      <c r="B26" s="113"/>
      <c r="C26" s="113"/>
      <c r="D26" s="113"/>
      <c r="E26" s="113"/>
      <c r="F26" s="113"/>
      <c r="G26" s="22" t="s">
        <v>73</v>
      </c>
      <c r="H26" s="22" t="s">
        <v>71</v>
      </c>
      <c r="I26" s="22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25">
      <c r="A27" s="113"/>
      <c r="B27" s="23" t="s">
        <v>84</v>
      </c>
      <c r="C27" s="23" t="s">
        <v>41</v>
      </c>
      <c r="D27" s="23" t="s">
        <v>88</v>
      </c>
      <c r="E27" s="23" t="s">
        <v>25</v>
      </c>
      <c r="F27" s="23" t="s">
        <v>25</v>
      </c>
      <c r="G27" s="22" t="s">
        <v>77</v>
      </c>
      <c r="H27" s="22" t="s">
        <v>71</v>
      </c>
      <c r="I27" s="22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25">
      <c r="A28" s="113"/>
      <c r="B28" s="113" t="s">
        <v>70</v>
      </c>
      <c r="C28" s="113" t="s">
        <v>41</v>
      </c>
      <c r="D28" s="113" t="s">
        <v>89</v>
      </c>
      <c r="E28" s="113" t="s">
        <v>25</v>
      </c>
      <c r="F28" s="113" t="s">
        <v>25</v>
      </c>
      <c r="G28" s="22" t="s">
        <v>72</v>
      </c>
      <c r="H28" s="22" t="s">
        <v>71</v>
      </c>
      <c r="I28" s="22">
        <f>'MERCADO TE'!$U$25</f>
        <v>0</v>
      </c>
      <c r="J28" s="15"/>
      <c r="L28" s="20">
        <f>1 - CUSTOS!$M$30</f>
        <v>1</v>
      </c>
      <c r="M28" s="20">
        <f>1 - CUSTOS!$M$30</f>
        <v>1</v>
      </c>
      <c r="N28" s="20">
        <f>1 - CUSTOS!$M$30</f>
        <v>1</v>
      </c>
      <c r="O28" s="20">
        <f>1 - CUSTOS!$M$30</f>
        <v>1</v>
      </c>
      <c r="P28" s="20">
        <f>1 - CUSTOS!$M$30</f>
        <v>1</v>
      </c>
      <c r="Q28" s="20"/>
      <c r="R28" s="20">
        <f>(1 - CUSTOS!$M$30)*1</f>
        <v>1</v>
      </c>
      <c r="S28" s="20"/>
      <c r="T28" s="20">
        <f>1 - CUSTOS!$M$30</f>
        <v>1</v>
      </c>
      <c r="U28" s="20">
        <f>1 - CUSTOS!$M$30</f>
        <v>1</v>
      </c>
      <c r="V28" s="20">
        <f>1 - CUSTOS!$M$30</f>
        <v>1</v>
      </c>
      <c r="W28" s="20"/>
      <c r="X28" s="20"/>
      <c r="Y28" s="20"/>
      <c r="Z28" s="20">
        <f>1 - CUSTOS!$M$30</f>
        <v>1</v>
      </c>
      <c r="AA28" s="20"/>
      <c r="AB28" s="20"/>
    </row>
    <row r="29" spans="1:28" ht="11.25" customHeight="1" x14ac:dyDescent="0.25">
      <c r="A29" s="113"/>
      <c r="B29" s="113"/>
      <c r="C29" s="113"/>
      <c r="D29" s="113"/>
      <c r="E29" s="113"/>
      <c r="F29" s="113"/>
      <c r="G29" s="22" t="s">
        <v>83</v>
      </c>
      <c r="H29" s="22" t="s">
        <v>71</v>
      </c>
      <c r="I29" s="22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25">
      <c r="A30" s="113"/>
      <c r="B30" s="113"/>
      <c r="C30" s="113"/>
      <c r="D30" s="113"/>
      <c r="E30" s="113"/>
      <c r="F30" s="113"/>
      <c r="G30" s="22" t="s">
        <v>73</v>
      </c>
      <c r="H30" s="22" t="s">
        <v>71</v>
      </c>
      <c r="I30" s="22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25">
      <c r="A31" s="113"/>
      <c r="B31" s="23" t="s">
        <v>84</v>
      </c>
      <c r="C31" s="23" t="s">
        <v>41</v>
      </c>
      <c r="D31" s="23" t="s">
        <v>89</v>
      </c>
      <c r="E31" s="23" t="s">
        <v>25</v>
      </c>
      <c r="F31" s="23" t="s">
        <v>25</v>
      </c>
      <c r="G31" s="22" t="s">
        <v>77</v>
      </c>
      <c r="H31" s="22" t="s">
        <v>71</v>
      </c>
      <c r="I31" s="22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25">
      <c r="A32" s="113"/>
      <c r="B32" s="113" t="s">
        <v>86</v>
      </c>
      <c r="C32" s="113" t="s">
        <v>41</v>
      </c>
      <c r="D32" s="23" t="s">
        <v>25</v>
      </c>
      <c r="E32" s="23" t="s">
        <v>25</v>
      </c>
      <c r="F32" s="23" t="s">
        <v>25</v>
      </c>
      <c r="G32" s="22" t="s">
        <v>77</v>
      </c>
      <c r="H32" s="22" t="s">
        <v>71</v>
      </c>
      <c r="I32" s="22">
        <f>'MERCADO TE'!$U$29</f>
        <v>0</v>
      </c>
      <c r="J32" s="15"/>
      <c r="L32" s="20">
        <f>1 - CUSTOS!$M$28</f>
        <v>1</v>
      </c>
      <c r="M32" s="20">
        <f>1 - CUSTOS!$M$28</f>
        <v>1</v>
      </c>
      <c r="N32" s="20">
        <f>1 - CUSTOS!$M$28</f>
        <v>1</v>
      </c>
      <c r="O32" s="20">
        <f>1 - CUSTOS!$M$28</f>
        <v>1</v>
      </c>
      <c r="P32" s="20">
        <f>1 - CUSTOS!$M$28</f>
        <v>1</v>
      </c>
      <c r="Q32" s="20"/>
      <c r="R32" s="20">
        <f>(1 - CUSTOS!$M$28)*1</f>
        <v>1</v>
      </c>
      <c r="S32" s="20"/>
      <c r="T32" s="20">
        <f>1 - CUSTOS!$M$28</f>
        <v>1</v>
      </c>
      <c r="U32" s="20">
        <f>1 - CUSTOS!$M$28</f>
        <v>1</v>
      </c>
      <c r="V32" s="20">
        <f>1 - CUSTOS!$M$28</f>
        <v>1</v>
      </c>
      <c r="W32" s="20"/>
      <c r="X32" s="20"/>
      <c r="Y32" s="20"/>
      <c r="Z32" s="20">
        <f>1 - CUSTOS!$M$28</f>
        <v>1</v>
      </c>
      <c r="AA32" s="20"/>
      <c r="AB32" s="20"/>
    </row>
    <row r="33" spans="1:28" ht="11.25" customHeight="1" x14ac:dyDescent="0.25">
      <c r="A33" s="113"/>
      <c r="B33" s="113"/>
      <c r="C33" s="113"/>
      <c r="D33" s="23" t="s">
        <v>88</v>
      </c>
      <c r="E33" s="23" t="s">
        <v>25</v>
      </c>
      <c r="F33" s="23" t="s">
        <v>25</v>
      </c>
      <c r="G33" s="22" t="s">
        <v>77</v>
      </c>
      <c r="H33" s="22" t="s">
        <v>71</v>
      </c>
      <c r="I33" s="22">
        <f>'MERCADO TE'!$U$30</f>
        <v>0</v>
      </c>
      <c r="J33" s="15"/>
      <c r="L33" s="20">
        <f>1 - CUSTOS!$M$29</f>
        <v>1</v>
      </c>
      <c r="M33" s="20">
        <f>1 - CUSTOS!$M$29</f>
        <v>1</v>
      </c>
      <c r="N33" s="20">
        <f>1 - CUSTOS!$M$29</f>
        <v>1</v>
      </c>
      <c r="O33" s="20">
        <f>1 - CUSTOS!$M$29</f>
        <v>1</v>
      </c>
      <c r="P33" s="20">
        <f>1 - CUSTOS!$M$29</f>
        <v>1</v>
      </c>
      <c r="Q33" s="20"/>
      <c r="R33" s="20">
        <f>(1 - CUSTOS!$M$29)*1</f>
        <v>1</v>
      </c>
      <c r="S33" s="20"/>
      <c r="T33" s="20">
        <f>1 - CUSTOS!$M$29</f>
        <v>1</v>
      </c>
      <c r="U33" s="20">
        <f>1 - CUSTOS!$M$29</f>
        <v>1</v>
      </c>
      <c r="V33" s="20">
        <f>1 - CUSTOS!$M$29</f>
        <v>1</v>
      </c>
      <c r="W33" s="20"/>
      <c r="X33" s="20"/>
      <c r="Y33" s="20"/>
      <c r="Z33" s="20">
        <f>1 - CUSTOS!$M$29</f>
        <v>1</v>
      </c>
      <c r="AA33" s="20"/>
      <c r="AB33" s="20"/>
    </row>
    <row r="34" spans="1:28" ht="11.25" customHeight="1" x14ac:dyDescent="0.25">
      <c r="A34" s="113"/>
      <c r="B34" s="113"/>
      <c r="C34" s="113"/>
      <c r="D34" s="23" t="s">
        <v>89</v>
      </c>
      <c r="E34" s="23" t="s">
        <v>25</v>
      </c>
      <c r="F34" s="23" t="s">
        <v>25</v>
      </c>
      <c r="G34" s="22" t="s">
        <v>77</v>
      </c>
      <c r="H34" s="22" t="s">
        <v>71</v>
      </c>
      <c r="I34" s="22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25">
      <c r="A35" s="113" t="s">
        <v>33</v>
      </c>
      <c r="B35" s="113" t="s">
        <v>70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2" t="s">
        <v>72</v>
      </c>
      <c r="H35" s="22" t="s">
        <v>71</v>
      </c>
      <c r="I35" s="22">
        <f>'MERCADO TE'!$U$32</f>
        <v>0</v>
      </c>
      <c r="J35" s="15"/>
      <c r="L35" s="20">
        <f>1 - CUSTOS!$M$31</f>
        <v>1</v>
      </c>
      <c r="M35" s="20">
        <f>1 - CUSTOS!$M$31</f>
        <v>1</v>
      </c>
      <c r="N35" s="20">
        <f>1 - CUSTOS!$M$31</f>
        <v>1</v>
      </c>
      <c r="O35" s="20">
        <f>1 - CUSTOS!$M$31</f>
        <v>1</v>
      </c>
      <c r="P35" s="20">
        <f>1 - CUSTOS!$M$31</f>
        <v>1</v>
      </c>
      <c r="Q35" s="20"/>
      <c r="R35" s="20">
        <f>(1 - CUSTOS!$M$31)*1</f>
        <v>1</v>
      </c>
      <c r="S35" s="20"/>
      <c r="T35" s="20">
        <f>1 - CUSTOS!$M$31</f>
        <v>1</v>
      </c>
      <c r="U35" s="20">
        <f>1 - CUSTOS!$M$31</f>
        <v>1</v>
      </c>
      <c r="V35" s="20">
        <f>1 - CUSTOS!$M$31</f>
        <v>1</v>
      </c>
      <c r="W35" s="20"/>
      <c r="X35" s="20"/>
      <c r="Y35" s="20"/>
      <c r="Z35" s="20">
        <f>1 - CUSTOS!$M$31</f>
        <v>1</v>
      </c>
      <c r="AA35" s="20"/>
      <c r="AB35" s="20"/>
    </row>
    <row r="36" spans="1:28" ht="11.25" customHeight="1" x14ac:dyDescent="0.25">
      <c r="A36" s="113"/>
      <c r="B36" s="113"/>
      <c r="C36" s="113"/>
      <c r="D36" s="113"/>
      <c r="E36" s="113"/>
      <c r="F36" s="113"/>
      <c r="G36" s="22" t="s">
        <v>83</v>
      </c>
      <c r="H36" s="22" t="s">
        <v>71</v>
      </c>
      <c r="I36" s="22">
        <f>'MERCADO TE'!$U$33</f>
        <v>0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25">
      <c r="A37" s="113"/>
      <c r="B37" s="113"/>
      <c r="C37" s="113"/>
      <c r="D37" s="113"/>
      <c r="E37" s="113"/>
      <c r="F37" s="113"/>
      <c r="G37" s="22" t="s">
        <v>73</v>
      </c>
      <c r="H37" s="22" t="s">
        <v>71</v>
      </c>
      <c r="I37" s="22">
        <f>'MERCADO TE'!$U$34</f>
        <v>0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25">
      <c r="A38" s="113"/>
      <c r="B38" s="23" t="s">
        <v>84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77</v>
      </c>
      <c r="H38" s="22" t="s">
        <v>71</v>
      </c>
      <c r="I38" s="22">
        <f>'MERCADO TE'!$U$35</f>
        <v>9552.121000000001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25">
      <c r="A39" s="113"/>
      <c r="B39" s="23" t="s">
        <v>86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77</v>
      </c>
      <c r="H39" s="22" t="s">
        <v>71</v>
      </c>
      <c r="I39" s="22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25">
      <c r="A40" s="113" t="s">
        <v>43</v>
      </c>
      <c r="B40" s="113" t="s">
        <v>84</v>
      </c>
      <c r="C40" s="113" t="s">
        <v>44</v>
      </c>
      <c r="D40" s="23" t="s">
        <v>45</v>
      </c>
      <c r="E40" s="23" t="s">
        <v>25</v>
      </c>
      <c r="F40" s="23" t="s">
        <v>25</v>
      </c>
      <c r="G40" s="22" t="s">
        <v>77</v>
      </c>
      <c r="H40" s="22" t="s">
        <v>71</v>
      </c>
      <c r="I40" s="22">
        <f>'MERCADO TE'!$U$37</f>
        <v>4840.4129999999996</v>
      </c>
      <c r="J40" s="15"/>
      <c r="L40" s="20">
        <f>1 - CUSTOS!$M$32</f>
        <v>0.55000000000000004</v>
      </c>
      <c r="M40" s="20">
        <f>1 - CUSTOS!$M$32</f>
        <v>0.55000000000000004</v>
      </c>
      <c r="N40" s="20">
        <f>1 - CUSTOS!$M$32</f>
        <v>0.55000000000000004</v>
      </c>
      <c r="O40" s="20">
        <f>1 - CUSTOS!$M$32</f>
        <v>0.55000000000000004</v>
      </c>
      <c r="P40" s="20">
        <f>1 - CUSTOS!$M$32</f>
        <v>0.55000000000000004</v>
      </c>
      <c r="Q40" s="20"/>
      <c r="R40" s="20">
        <f>(1 - CUSTOS!$M$32)*1</f>
        <v>0.55000000000000004</v>
      </c>
      <c r="S40" s="20"/>
      <c r="T40" s="20">
        <f>1 - CUSTOS!$M$32</f>
        <v>0.55000000000000004</v>
      </c>
      <c r="U40" s="20">
        <f>1 - CUSTOS!$M$32</f>
        <v>0.55000000000000004</v>
      </c>
      <c r="V40" s="20">
        <f>1 - CUSTOS!$M$32</f>
        <v>0.55000000000000004</v>
      </c>
      <c r="W40" s="20"/>
      <c r="X40" s="20"/>
      <c r="Y40" s="20"/>
      <c r="Z40" s="20">
        <f>1 - CUSTOS!$M$32</f>
        <v>0.55000000000000004</v>
      </c>
      <c r="AA40" s="20"/>
      <c r="AB40" s="20"/>
    </row>
    <row r="41" spans="1:28" ht="11.25" customHeight="1" x14ac:dyDescent="0.25">
      <c r="A41" s="113"/>
      <c r="B41" s="113"/>
      <c r="C41" s="113"/>
      <c r="D41" s="22" t="s">
        <v>90</v>
      </c>
      <c r="E41" s="22" t="s">
        <v>25</v>
      </c>
      <c r="F41" s="22" t="s">
        <v>25</v>
      </c>
      <c r="G41" s="22" t="s">
        <v>77</v>
      </c>
      <c r="H41" s="22" t="s">
        <v>71</v>
      </c>
      <c r="I41" s="22">
        <f>'MERCADO TE'!$U$38</f>
        <v>0</v>
      </c>
      <c r="J41" s="15"/>
      <c r="L41" s="20">
        <f>1 - CUSTOS!$M$33</f>
        <v>0.6</v>
      </c>
      <c r="M41" s="20">
        <f>1 - CUSTOS!$M$33</f>
        <v>0.6</v>
      </c>
      <c r="N41" s="20">
        <f>1 - CUSTOS!$M$33</f>
        <v>0.6</v>
      </c>
      <c r="O41" s="20">
        <f>1 - CUSTOS!$M$33</f>
        <v>0.6</v>
      </c>
      <c r="P41" s="20">
        <f>1 - CUSTOS!$M$33</f>
        <v>0.6</v>
      </c>
      <c r="Q41" s="20"/>
      <c r="R41" s="20">
        <f>(1 - CUSTOS!$M$33)*1</f>
        <v>0.6</v>
      </c>
      <c r="S41" s="20"/>
      <c r="T41" s="20">
        <f>1 - CUSTOS!$M$33</f>
        <v>0.6</v>
      </c>
      <c r="U41" s="20">
        <f>1 - CUSTOS!$M$33</f>
        <v>0.6</v>
      </c>
      <c r="V41" s="20">
        <f>1 - CUSTOS!$M$33</f>
        <v>0.6</v>
      </c>
      <c r="W41" s="20"/>
      <c r="X41" s="20"/>
      <c r="Y41" s="20"/>
      <c r="Z41" s="20">
        <f>1 - CUSTOS!$M$33</f>
        <v>0.6</v>
      </c>
      <c r="AA41" s="20"/>
      <c r="AB41" s="20"/>
    </row>
    <row r="43" spans="1:28" ht="11.25" customHeight="1" x14ac:dyDescent="0.25">
      <c r="K43" s="25" t="s">
        <v>482</v>
      </c>
      <c r="L43" s="20">
        <f t="shared" ref="L43:AB43" si="0">SUMPRODUCT($I$5:$I$41,L$5:L$41)</f>
        <v>89876.962150000007</v>
      </c>
      <c r="M43" s="20">
        <f t="shared" si="0"/>
        <v>89876.962150000007</v>
      </c>
      <c r="N43" s="20">
        <f t="shared" si="0"/>
        <v>89876.962150000007</v>
      </c>
      <c r="O43" s="20">
        <f t="shared" si="0"/>
        <v>89876.962150000007</v>
      </c>
      <c r="P43" s="20">
        <f t="shared" si="0"/>
        <v>89876.962150000007</v>
      </c>
      <c r="Q43" s="20">
        <f t="shared" si="0"/>
        <v>0</v>
      </c>
      <c r="R43" s="20">
        <f t="shared" si="0"/>
        <v>89876.962150000007</v>
      </c>
      <c r="S43" s="20">
        <f t="shared" si="0"/>
        <v>0</v>
      </c>
      <c r="T43" s="20">
        <f t="shared" si="0"/>
        <v>89876.962150000007</v>
      </c>
      <c r="U43" s="20">
        <f t="shared" si="0"/>
        <v>89876.962150000007</v>
      </c>
      <c r="V43" s="20">
        <f t="shared" si="0"/>
        <v>89876.962150000007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89876.962150000007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402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21131130.163854923</v>
      </c>
      <c r="S44" s="20">
        <f>CUSTOS!$D$37</f>
        <v>21131130.163854923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21131130.163854923</v>
      </c>
    </row>
    <row r="45" spans="1:28" ht="11.25" customHeight="1" x14ac:dyDescent="0.25">
      <c r="K45" s="25" t="s">
        <v>403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1511078.1888671699</v>
      </c>
      <c r="S45" s="20">
        <f>CUSTOS!$E$37</f>
        <v>1511078.1888671699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1511078.1888671699</v>
      </c>
    </row>
    <row r="46" spans="1:28" ht="11.25" customHeight="1" x14ac:dyDescent="0.25">
      <c r="K46" s="25" t="s">
        <v>404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483</v>
      </c>
      <c r="L47" s="20">
        <f>IF(SUMPRODUCT($I$5:$I$41,$L$5:$L$41)&lt;&gt;0,L44/SUMPRODUCT($I$5:$I$41,$L$5:$L$41),0)</f>
        <v>0</v>
      </c>
      <c r="M47" s="20">
        <f>IF(SUMPRODUCT($I$5:$I$41,$M$5:$M$41)&lt;&gt;0,M44/SUMPRODUCT($I$5:$I$41,$M$5:$M$41),0)</f>
        <v>0</v>
      </c>
      <c r="N47" s="20">
        <f>IF(SUMPRODUCT($I$5:$I$41,$N$5:$N$41)&lt;&gt;0,N44/SUMPRODUCT($I$5:$I$41,$N$5:$N$41),0)</f>
        <v>0</v>
      </c>
      <c r="O47" s="20">
        <f>IF(SUMPRODUCT($I$5:$I$41,$O$5:$O$41)&lt;&gt;0,O44/SUMPRODUCT($I$5:$I$41,$O$5:$O$41),0)</f>
        <v>0</v>
      </c>
      <c r="P47" s="20">
        <f>IF(SUMPRODUCT($I$5:$I$41,$P$5:$P$41)&lt;&gt;0,P44/SUMPRODUCT($I$5:$I$41,$P$5:$P$41),0)</f>
        <v>0</v>
      </c>
      <c r="Q47" s="20"/>
      <c r="R47" s="20">
        <f>IF((CUSTOS!$M$12-CUSTOS!$M$13)&lt;&gt;0,(CUSTOS!$M$12*CUSTOS!$M$14)/(CUSTOS!$M$12-CUSTOS!$M$13),0)</f>
        <v>232.97247310101849</v>
      </c>
      <c r="S47" s="20"/>
      <c r="T47" s="20">
        <f>IF(SUMPRODUCT($I$5:$I$41,$T$5:$T$41)&lt;&gt;0,T44/SUMPRODUCT($I$5:$I$41,$T$5:$T$41),0)</f>
        <v>0</v>
      </c>
      <c r="U47" s="20">
        <f>IF(SUMPRODUCT($I$5:$I$41,$U$5:$U$41)&lt;&gt;0,U44/SUMPRODUCT($I$5:$I$41,$U$5:$U$41),0)</f>
        <v>0</v>
      </c>
      <c r="V47" s="20">
        <f>IF(SUMPRODUCT($I$5:$I$41,$V$5:$V$41)&lt;&gt;0,V44/SUMPRODUCT($I$5:$I$41,$V$5:$V$41),0)</f>
        <v>0</v>
      </c>
      <c r="W47" s="20"/>
      <c r="X47" s="20">
        <f>IF(SUMPRODUCT($I$5:$I$41,$X$5:$X$41)&lt;&gt;0,X44/SUMPRODUCT($I$5:$I$41,$X$5:$X$41),0)</f>
        <v>0</v>
      </c>
      <c r="Y47" s="20"/>
      <c r="Z47" s="20">
        <f>IF(SUMPRODUCT($I$5:$I$41,$Z$5:$Z$41)&lt;&gt;0,Z44/SUMPRODUCT($I$5:$I$41,$Z$5:$Z$41),0)</f>
        <v>0</v>
      </c>
      <c r="AA47" s="20"/>
      <c r="AB47" s="20"/>
    </row>
    <row r="48" spans="1:28" ht="11.25" customHeight="1" x14ac:dyDescent="0.25">
      <c r="K48" s="25" t="s">
        <v>484</v>
      </c>
      <c r="L48" s="20">
        <f>IF(L43&lt;&gt;0,(L44-L47*0)/(L43-0),0)</f>
        <v>0</v>
      </c>
      <c r="M48" s="20">
        <f>IF(M43&lt;&gt;0,(M44-M47*0)/(M43-0),0)</f>
        <v>0</v>
      </c>
      <c r="N48" s="20">
        <f>IF(N43&lt;&gt;0,(N44-N47*0)/(N43-0),0)</f>
        <v>0</v>
      </c>
      <c r="O48" s="20">
        <f>IF(O43&lt;&gt;0,(O44-O47*0)/(O43-0),0)</f>
        <v>0</v>
      </c>
      <c r="P48" s="20">
        <f>IF(P43&lt;&gt;0,(P44-P47*0)/(P43-0),0)</f>
        <v>0</v>
      </c>
      <c r="Q48" s="20"/>
      <c r="R48" s="20">
        <f>IF(R43&lt;&gt;0,(R44-R47*0)/(R43-0),0)</f>
        <v>235.11175342784904</v>
      </c>
      <c r="S48" s="20"/>
      <c r="T48" s="20">
        <f>IF(T43&lt;&gt;0,(T44-T47*0)/(T43-0),0)</f>
        <v>0</v>
      </c>
      <c r="U48" s="20">
        <f>IF(U43&lt;&gt;0,(U44-U47*0)/(U43-0),0)</f>
        <v>0</v>
      </c>
      <c r="V48" s="20">
        <f>IF(V43&lt;&gt;0,(V44-V47*0)/(V43-0),0)</f>
        <v>0</v>
      </c>
      <c r="W48" s="20"/>
      <c r="X48" s="20">
        <f>IF(X43&lt;&gt;0,(X44-X47*0)/(X43-0),0)</f>
        <v>0</v>
      </c>
      <c r="Y48" s="20"/>
      <c r="Z48" s="20">
        <f>IF(Z43&lt;&gt;0,(Z44-Z47*0)/(Z43-0),0)</f>
        <v>0</v>
      </c>
      <c r="AA48" s="20"/>
      <c r="AB48" s="20"/>
    </row>
    <row r="49" spans="11:28" ht="11.25" customHeight="1" x14ac:dyDescent="0.25">
      <c r="K49" s="25" t="s">
        <v>485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4F4D-1BDB-4E72-9734-A29D42B510E9}">
  <sheetPr codeName="Planilha13"/>
  <dimension ref="A1:AB49"/>
  <sheetViews>
    <sheetView showGridLines="0" topLeftCell="Q30" workbookViewId="0">
      <selection activeCell="AB43" sqref="AB43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12" t="s">
        <v>61</v>
      </c>
      <c r="B1" s="112" t="s">
        <v>62</v>
      </c>
      <c r="C1" s="112" t="s">
        <v>63</v>
      </c>
      <c r="D1" s="112" t="s">
        <v>64</v>
      </c>
      <c r="E1" s="112" t="s">
        <v>65</v>
      </c>
      <c r="F1" s="112" t="s">
        <v>15</v>
      </c>
      <c r="G1" s="112" t="s">
        <v>67</v>
      </c>
      <c r="H1" s="112" t="s">
        <v>68</v>
      </c>
      <c r="I1" s="112" t="s">
        <v>460</v>
      </c>
      <c r="J1" s="100"/>
      <c r="L1" s="110" t="s">
        <v>486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8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00"/>
      <c r="L2" s="110" t="s">
        <v>388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</row>
    <row r="3" spans="1:28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00"/>
      <c r="L3" s="110" t="s">
        <v>361</v>
      </c>
      <c r="M3" s="110"/>
      <c r="N3" s="110"/>
      <c r="O3" s="110"/>
      <c r="P3" s="110"/>
      <c r="Q3" s="110"/>
      <c r="R3" s="110" t="s">
        <v>392</v>
      </c>
      <c r="S3" s="110"/>
      <c r="T3" s="110" t="s">
        <v>370</v>
      </c>
      <c r="U3" s="110"/>
      <c r="V3" s="110"/>
      <c r="W3" s="110"/>
      <c r="X3" s="110" t="s">
        <v>380</v>
      </c>
      <c r="Y3" s="110"/>
      <c r="Z3" s="110" t="s">
        <v>383</v>
      </c>
      <c r="AA3" s="110"/>
      <c r="AB3" s="110" t="s">
        <v>369</v>
      </c>
    </row>
    <row r="4" spans="1:28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100"/>
      <c r="L4" s="24" t="s">
        <v>363</v>
      </c>
      <c r="M4" s="24" t="s">
        <v>389</v>
      </c>
      <c r="N4" s="24" t="s">
        <v>390</v>
      </c>
      <c r="O4" s="24" t="s">
        <v>449</v>
      </c>
      <c r="P4" s="24" t="s">
        <v>391</v>
      </c>
      <c r="Q4" s="24" t="s">
        <v>369</v>
      </c>
      <c r="R4" s="24" t="s">
        <v>393</v>
      </c>
      <c r="S4" s="24" t="s">
        <v>369</v>
      </c>
      <c r="T4" s="24" t="s">
        <v>394</v>
      </c>
      <c r="U4" s="24" t="s">
        <v>395</v>
      </c>
      <c r="V4" s="24" t="s">
        <v>396</v>
      </c>
      <c r="W4" s="24" t="s">
        <v>369</v>
      </c>
      <c r="X4" s="24" t="s">
        <v>381</v>
      </c>
      <c r="Y4" s="24" t="s">
        <v>369</v>
      </c>
      <c r="Z4" s="24" t="s">
        <v>397</v>
      </c>
      <c r="AA4" s="24" t="s">
        <v>369</v>
      </c>
      <c r="AB4" s="111"/>
    </row>
    <row r="5" spans="1:28" ht="11.25" customHeight="1" x14ac:dyDescent="0.25">
      <c r="A5" s="113" t="s">
        <v>35</v>
      </c>
      <c r="B5" s="113" t="s">
        <v>70</v>
      </c>
      <c r="C5" s="113" t="s">
        <v>25</v>
      </c>
      <c r="D5" s="113" t="s">
        <v>25</v>
      </c>
      <c r="E5" s="113" t="s">
        <v>25</v>
      </c>
      <c r="F5" s="113" t="s">
        <v>25</v>
      </c>
      <c r="G5" s="22" t="s">
        <v>72</v>
      </c>
      <c r="H5" s="22" t="s">
        <v>71</v>
      </c>
      <c r="I5" s="22">
        <f>'MERCADO TE'!$U$2</f>
        <v>917.02499999999986</v>
      </c>
      <c r="J5" s="15"/>
      <c r="L5" s="20">
        <f>'TR TE'!$L$5*'TR TE'!$L$48</f>
        <v>0</v>
      </c>
      <c r="M5" s="20">
        <f>'TR TE'!$M$5*'TR TE'!$M$48</f>
        <v>0</v>
      </c>
      <c r="N5" s="20">
        <f>'TR TE'!$N$5*'TR TE'!$N$48</f>
        <v>0</v>
      </c>
      <c r="O5" s="20">
        <f>'TR TE'!$O$5*'TR TE'!$O$48</f>
        <v>0</v>
      </c>
      <c r="P5" s="20">
        <f>'TR TE'!$P$5*'TR TE'!$P$48</f>
        <v>0</v>
      </c>
      <c r="Q5" s="20">
        <f>SUM($L$5:$P$5)</f>
        <v>0</v>
      </c>
      <c r="R5" s="20">
        <f>'TR TE'!$R$5*'TR TE'!$R$48</f>
        <v>235.11175342784904</v>
      </c>
      <c r="S5" s="20">
        <f>SUM($R$5:$R$5)</f>
        <v>235.11175342784904</v>
      </c>
      <c r="T5" s="20">
        <f>'TR TE'!$T$5*'TR TE'!$T$48</f>
        <v>0</v>
      </c>
      <c r="U5" s="20">
        <f>'TR TE'!$U$5*'TR TE'!$U$48</f>
        <v>0</v>
      </c>
      <c r="V5" s="20">
        <f>'TR TE'!$V$5*'TR TE'!$V$48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TE'!$Z$48</f>
        <v>0</v>
      </c>
      <c r="AA5" s="20">
        <f>SUM($Z$5:$Z$5)</f>
        <v>0</v>
      </c>
      <c r="AB5" s="20">
        <f>SUMIF($L$4:$AA$4,"SUBTOTAL",$L$5:$AA$5)</f>
        <v>235.11175342784904</v>
      </c>
    </row>
    <row r="6" spans="1:28" ht="11.25" customHeight="1" x14ac:dyDescent="0.25">
      <c r="A6" s="113"/>
      <c r="B6" s="113"/>
      <c r="C6" s="113"/>
      <c r="D6" s="113"/>
      <c r="E6" s="113"/>
      <c r="F6" s="113"/>
      <c r="G6" s="22" t="s">
        <v>73</v>
      </c>
      <c r="H6" s="22" t="s">
        <v>71</v>
      </c>
      <c r="I6" s="22">
        <f>'MERCADO TE'!$U$3</f>
        <v>14461.756000000001</v>
      </c>
      <c r="J6" s="15"/>
      <c r="L6" s="20">
        <f>'TR TE'!$L$6*'TR TE'!$L$48</f>
        <v>0</v>
      </c>
      <c r="M6" s="20">
        <f>'TR TE'!$M$6*'TR TE'!$M$48</f>
        <v>0</v>
      </c>
      <c r="N6" s="20">
        <f>'TR TE'!$N$6*'TR TE'!$N$48</f>
        <v>0</v>
      </c>
      <c r="O6" s="20">
        <f>'TR TE'!$O$6*'TR TE'!$O$48</f>
        <v>0</v>
      </c>
      <c r="P6" s="20">
        <f>'TR TE'!$P$6*'TR TE'!$P$48</f>
        <v>0</v>
      </c>
      <c r="Q6" s="20">
        <f>SUM($L$6:$P$6)</f>
        <v>0</v>
      </c>
      <c r="R6" s="20">
        <f>'TR TE'!$R$6*'TR TE'!$R$48</f>
        <v>235.11175342784904</v>
      </c>
      <c r="S6" s="20">
        <f>SUM($R$6:$R$6)</f>
        <v>235.11175342784904</v>
      </c>
      <c r="T6" s="20">
        <f>'TR TE'!$T$6*'TR TE'!$T$48</f>
        <v>0</v>
      </c>
      <c r="U6" s="20">
        <f>'TR TE'!$U$6*'TR TE'!$U$48</f>
        <v>0</v>
      </c>
      <c r="V6" s="20">
        <f>'TR TE'!$V$6*'TR TE'!$V$48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TE'!$Z$48</f>
        <v>0</v>
      </c>
      <c r="AA6" s="20">
        <f>SUM($Z$6:$Z$6)</f>
        <v>0</v>
      </c>
      <c r="AB6" s="20">
        <f>SUMIF($L$4:$AA$4,"SUBTOTAL",$L$6:$AA$6)</f>
        <v>235.11175342784904</v>
      </c>
    </row>
    <row r="7" spans="1:28" ht="11.25" customHeight="1" x14ac:dyDescent="0.25">
      <c r="A7" s="113" t="s">
        <v>22</v>
      </c>
      <c r="B7" s="113" t="s">
        <v>70</v>
      </c>
      <c r="C7" s="113" t="s">
        <v>24</v>
      </c>
      <c r="D7" s="113" t="s">
        <v>24</v>
      </c>
      <c r="E7" s="113" t="s">
        <v>25</v>
      </c>
      <c r="F7" s="113" t="s">
        <v>25</v>
      </c>
      <c r="G7" s="22" t="s">
        <v>72</v>
      </c>
      <c r="H7" s="22" t="s">
        <v>71</v>
      </c>
      <c r="I7" s="22">
        <f>'MERCADO TE'!$U$4</f>
        <v>0</v>
      </c>
      <c r="J7" s="15"/>
      <c r="L7" s="20">
        <f>'TR TE'!$L$7*'TR TE'!$L$48</f>
        <v>0</v>
      </c>
      <c r="M7" s="20">
        <f>'TR TE'!$M$7*'TR TE'!$M$48</f>
        <v>0</v>
      </c>
      <c r="N7" s="20">
        <f>'TR TE'!$N$7*'TR TE'!$N$48</f>
        <v>0</v>
      </c>
      <c r="O7" s="20">
        <f>'TR TE'!$O$7*'TR TE'!$O$48</f>
        <v>0</v>
      </c>
      <c r="P7" s="20">
        <f>'TR TE'!$P$7*'TR TE'!$P$48</f>
        <v>0</v>
      </c>
      <c r="Q7" s="20">
        <f>SUM($L$7:$P$7)</f>
        <v>0</v>
      </c>
      <c r="R7" s="20">
        <f>'TR TE'!$R$7*'TR TE'!$R$48</f>
        <v>235.11175342784904</v>
      </c>
      <c r="S7" s="20">
        <f>SUM($R$7:$R$7)</f>
        <v>235.11175342784904</v>
      </c>
      <c r="T7" s="20">
        <f>'TR TE'!$T$7*'TR TE'!$T$48</f>
        <v>0</v>
      </c>
      <c r="U7" s="20">
        <f>'TR TE'!$U$7*'TR TE'!$U$48</f>
        <v>0</v>
      </c>
      <c r="V7" s="20">
        <f>'TR TE'!$V$7*'TR TE'!$V$48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TE'!$Z$48</f>
        <v>0</v>
      </c>
      <c r="AA7" s="20">
        <f>SUM($Z$7:$Z$7)</f>
        <v>0</v>
      </c>
      <c r="AB7" s="20">
        <f>SUMIF($L$4:$AA$4,"SUBTOTAL",$L$7:$AA$7)</f>
        <v>235.11175342784904</v>
      </c>
    </row>
    <row r="8" spans="1:28" ht="11.25" customHeight="1" x14ac:dyDescent="0.25">
      <c r="A8" s="113"/>
      <c r="B8" s="113"/>
      <c r="C8" s="113"/>
      <c r="D8" s="113"/>
      <c r="E8" s="113"/>
      <c r="F8" s="113"/>
      <c r="G8" s="22" t="s">
        <v>83</v>
      </c>
      <c r="H8" s="22" t="s">
        <v>71</v>
      </c>
      <c r="I8" s="22">
        <f>'MERCADO TE'!$U$5</f>
        <v>0</v>
      </c>
      <c r="J8" s="15"/>
      <c r="L8" s="20">
        <f>'TR TE'!$L$8*'TR TE'!$L$48</f>
        <v>0</v>
      </c>
      <c r="M8" s="20">
        <f>'TR TE'!$M$8*'TR TE'!$M$48</f>
        <v>0</v>
      </c>
      <c r="N8" s="20">
        <f>'TR TE'!$N$8*'TR TE'!$N$48</f>
        <v>0</v>
      </c>
      <c r="O8" s="20">
        <f>'TR TE'!$O$8*'TR TE'!$O$48</f>
        <v>0</v>
      </c>
      <c r="P8" s="20">
        <f>'TR TE'!$P$8*'TR TE'!$P$48</f>
        <v>0</v>
      </c>
      <c r="Q8" s="20">
        <f>SUM($L$8:$P$8)</f>
        <v>0</v>
      </c>
      <c r="R8" s="20">
        <f>'TR TE'!$R$8*'TR TE'!$R$48</f>
        <v>235.11175342784904</v>
      </c>
      <c r="S8" s="20">
        <f>SUM($R$8:$R$8)</f>
        <v>235.11175342784904</v>
      </c>
      <c r="T8" s="20">
        <f>'TR TE'!$T$8*'TR TE'!$T$48</f>
        <v>0</v>
      </c>
      <c r="U8" s="20">
        <f>'TR TE'!$U$8*'TR TE'!$U$48</f>
        <v>0</v>
      </c>
      <c r="V8" s="20">
        <f>'TR TE'!$V$8*'TR TE'!$V$48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TE'!$Z$48</f>
        <v>0</v>
      </c>
      <c r="AA8" s="20">
        <f>SUM($Z$8:$Z$8)</f>
        <v>0</v>
      </c>
      <c r="AB8" s="20">
        <f>SUMIF($L$4:$AA$4,"SUBTOTAL",$L$8:$AA$8)</f>
        <v>235.11175342784904</v>
      </c>
    </row>
    <row r="9" spans="1:28" ht="11.25" customHeight="1" x14ac:dyDescent="0.25">
      <c r="A9" s="113"/>
      <c r="B9" s="113"/>
      <c r="C9" s="113"/>
      <c r="D9" s="113"/>
      <c r="E9" s="113"/>
      <c r="F9" s="113"/>
      <c r="G9" s="22" t="s">
        <v>73</v>
      </c>
      <c r="H9" s="22" t="s">
        <v>71</v>
      </c>
      <c r="I9" s="22">
        <f>'MERCADO TE'!$U$6</f>
        <v>0</v>
      </c>
      <c r="J9" s="15"/>
      <c r="L9" s="20">
        <f>'TR TE'!$L$9*'TR TE'!$L$48</f>
        <v>0</v>
      </c>
      <c r="M9" s="20">
        <f>'TR TE'!$M$9*'TR TE'!$M$48</f>
        <v>0</v>
      </c>
      <c r="N9" s="20">
        <f>'TR TE'!$N$9*'TR TE'!$N$48</f>
        <v>0</v>
      </c>
      <c r="O9" s="20">
        <f>'TR TE'!$O$9*'TR TE'!$O$48</f>
        <v>0</v>
      </c>
      <c r="P9" s="20">
        <f>'TR TE'!$P$9*'TR TE'!$P$48</f>
        <v>0</v>
      </c>
      <c r="Q9" s="20">
        <f>SUM($L$9:$P$9)</f>
        <v>0</v>
      </c>
      <c r="R9" s="20">
        <f>'TR TE'!$R$9*'TR TE'!$R$48</f>
        <v>235.11175342784904</v>
      </c>
      <c r="S9" s="20">
        <f>SUM($R$9:$R$9)</f>
        <v>235.11175342784904</v>
      </c>
      <c r="T9" s="20">
        <f>'TR TE'!$T$9*'TR TE'!$T$48</f>
        <v>0</v>
      </c>
      <c r="U9" s="20">
        <f>'TR TE'!$U$9*'TR TE'!$U$48</f>
        <v>0</v>
      </c>
      <c r="V9" s="20">
        <f>'TR TE'!$V$9*'TR TE'!$V$48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TE'!$Z$48</f>
        <v>0</v>
      </c>
      <c r="AA9" s="20">
        <f>SUM($Z$9:$Z$9)</f>
        <v>0</v>
      </c>
      <c r="AB9" s="20">
        <f>SUMIF($L$4:$AA$4,"SUBTOTAL",$L$9:$AA$9)</f>
        <v>235.11175342784904</v>
      </c>
    </row>
    <row r="10" spans="1:28" ht="11.25" customHeight="1" x14ac:dyDescent="0.25">
      <c r="A10" s="113"/>
      <c r="B10" s="113" t="s">
        <v>84</v>
      </c>
      <c r="C10" s="113" t="s">
        <v>24</v>
      </c>
      <c r="D10" s="23" t="s">
        <v>24</v>
      </c>
      <c r="E10" s="23" t="s">
        <v>25</v>
      </c>
      <c r="F10" s="23" t="s">
        <v>25</v>
      </c>
      <c r="G10" s="22" t="s">
        <v>77</v>
      </c>
      <c r="H10" s="22" t="s">
        <v>71</v>
      </c>
      <c r="I10" s="22">
        <f>'MERCADO TE'!$U$7</f>
        <v>13817.398000000001</v>
      </c>
      <c r="J10" s="15"/>
      <c r="L10" s="20">
        <f>'TR TE'!$L$10*'TR TE'!$L$48</f>
        <v>0</v>
      </c>
      <c r="M10" s="20">
        <f>'TR TE'!$M$10*'TR TE'!$M$48</f>
        <v>0</v>
      </c>
      <c r="N10" s="20">
        <f>'TR TE'!$N$10*'TR TE'!$N$48</f>
        <v>0</v>
      </c>
      <c r="O10" s="20">
        <f>'TR TE'!$O$10*'TR TE'!$O$48</f>
        <v>0</v>
      </c>
      <c r="P10" s="20">
        <f>'TR TE'!$P$10*'TR TE'!$P$48</f>
        <v>0</v>
      </c>
      <c r="Q10" s="20">
        <f>SUM($L$10:$P$10)</f>
        <v>0</v>
      </c>
      <c r="R10" s="20">
        <f>'TR TE'!$R$10*'TR TE'!$R$48</f>
        <v>235.11175342784904</v>
      </c>
      <c r="S10" s="20">
        <f>SUM($R$10:$R$10)</f>
        <v>235.11175342784904</v>
      </c>
      <c r="T10" s="20">
        <f>'TR TE'!$T$10*'TR TE'!$T$48</f>
        <v>0</v>
      </c>
      <c r="U10" s="20">
        <f>'TR TE'!$U$10*'TR TE'!$U$48</f>
        <v>0</v>
      </c>
      <c r="V10" s="20">
        <f>'TR TE'!$V$10*'TR TE'!$V$48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TE'!$Z$48</f>
        <v>0</v>
      </c>
      <c r="AA10" s="20">
        <f>SUM($Z$10:$Z$10)</f>
        <v>0</v>
      </c>
      <c r="AB10" s="20">
        <f>SUMIF($L$4:$AA$4,"SUBTOTAL",$L$10:$AA$10)</f>
        <v>235.11175342784904</v>
      </c>
    </row>
    <row r="11" spans="1:28" ht="11.25" customHeight="1" x14ac:dyDescent="0.25">
      <c r="A11" s="113"/>
      <c r="B11" s="113"/>
      <c r="C11" s="113"/>
      <c r="D11" s="23" t="s">
        <v>29</v>
      </c>
      <c r="E11" s="23" t="s">
        <v>25</v>
      </c>
      <c r="F11" s="23" t="s">
        <v>25</v>
      </c>
      <c r="G11" s="22" t="s">
        <v>77</v>
      </c>
      <c r="H11" s="22" t="s">
        <v>71</v>
      </c>
      <c r="I11" s="22">
        <f>'MERCADO TE'!$U$8</f>
        <v>152.22200000000001</v>
      </c>
      <c r="J11" s="15"/>
      <c r="L11" s="20">
        <f>'TR TE'!$L$11*'TR TE'!$L$48</f>
        <v>0</v>
      </c>
      <c r="M11" s="20">
        <f>'TR TE'!$M$11*'TR TE'!$M$48</f>
        <v>0</v>
      </c>
      <c r="N11" s="20">
        <f>'TR TE'!$N$11*'TR TE'!$N$48</f>
        <v>0</v>
      </c>
      <c r="O11" s="20">
        <f>'TR TE'!$O$11*'TR TE'!$O$48</f>
        <v>0</v>
      </c>
      <c r="P11" s="20">
        <f>'TR TE'!$P$11*'TR TE'!$P$48</f>
        <v>0</v>
      </c>
      <c r="Q11" s="20">
        <f>SUM($L$11:$P$11)</f>
        <v>0</v>
      </c>
      <c r="R11" s="20">
        <f>'TR TE'!$R$11*'TR TE'!$R$48</f>
        <v>235.11175342784904</v>
      </c>
      <c r="S11" s="20">
        <f>SUM($R$11:$R$11)</f>
        <v>235.11175342784904</v>
      </c>
      <c r="T11" s="20">
        <f>'TR TE'!$T$11*'TR TE'!$T$48</f>
        <v>0</v>
      </c>
      <c r="U11" s="20">
        <f>'TR TE'!$U$11*'TR TE'!$U$48</f>
        <v>0</v>
      </c>
      <c r="V11" s="20">
        <f>'TR TE'!$V$11*'TR TE'!$V$48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TE'!$Z$48</f>
        <v>0</v>
      </c>
      <c r="AA11" s="20">
        <f>SUM($Z$11:$Z$11)</f>
        <v>0</v>
      </c>
      <c r="AB11" s="20">
        <f>SUMIF($L$4:$AA$4,"SUBTOTAL",$L$11:$AA$11)</f>
        <v>235.11175342784904</v>
      </c>
    </row>
    <row r="12" spans="1:28" ht="11.25" customHeight="1" x14ac:dyDescent="0.25">
      <c r="A12" s="113"/>
      <c r="B12" s="113"/>
      <c r="C12" s="113"/>
      <c r="D12" s="23" t="s">
        <v>30</v>
      </c>
      <c r="E12" s="23" t="s">
        <v>25</v>
      </c>
      <c r="F12" s="23" t="s">
        <v>25</v>
      </c>
      <c r="G12" s="22" t="s">
        <v>77</v>
      </c>
      <c r="H12" s="22" t="s">
        <v>71</v>
      </c>
      <c r="I12" s="22">
        <f>'MERCADO TE'!$U$9</f>
        <v>271.62199999999996</v>
      </c>
      <c r="J12" s="15"/>
      <c r="L12" s="20">
        <f>'TR TE'!$L$12*'TR TE'!$L$48</f>
        <v>0</v>
      </c>
      <c r="M12" s="20">
        <f>'TR TE'!$M$12*'TR TE'!$M$48</f>
        <v>0</v>
      </c>
      <c r="N12" s="20">
        <f>'TR TE'!$N$12*'TR TE'!$N$48</f>
        <v>0</v>
      </c>
      <c r="O12" s="20">
        <f>'TR TE'!$O$12*'TR TE'!$O$48</f>
        <v>0</v>
      </c>
      <c r="P12" s="20">
        <f>'TR TE'!$P$12*'TR TE'!$P$48</f>
        <v>0</v>
      </c>
      <c r="Q12" s="20">
        <f>SUM($L$12:$P$12)</f>
        <v>0</v>
      </c>
      <c r="R12" s="20">
        <f>'TR TE'!$R$12*'TR TE'!$R$48</f>
        <v>235.11175342784904</v>
      </c>
      <c r="S12" s="20">
        <f>SUM($R$12:$R$12)</f>
        <v>235.11175342784904</v>
      </c>
      <c r="T12" s="20">
        <f>'TR TE'!$T$12*'TR TE'!$T$48</f>
        <v>0</v>
      </c>
      <c r="U12" s="20">
        <f>'TR TE'!$U$12*'TR TE'!$U$48</f>
        <v>0</v>
      </c>
      <c r="V12" s="20">
        <f>'TR TE'!$V$12*'TR TE'!$V$48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TE'!$Z$48</f>
        <v>0</v>
      </c>
      <c r="AA12" s="20">
        <f>SUM($Z$12:$Z$12)</f>
        <v>0</v>
      </c>
      <c r="AB12" s="20">
        <f>SUMIF($L$4:$AA$4,"SUBTOTAL",$L$12:$AA$12)</f>
        <v>235.11175342784904</v>
      </c>
    </row>
    <row r="13" spans="1:28" ht="11.25" customHeight="1" x14ac:dyDescent="0.25">
      <c r="A13" s="113"/>
      <c r="B13" s="113"/>
      <c r="C13" s="113"/>
      <c r="D13" s="23" t="s">
        <v>31</v>
      </c>
      <c r="E13" s="23" t="s">
        <v>25</v>
      </c>
      <c r="F13" s="23" t="s">
        <v>25</v>
      </c>
      <c r="G13" s="22" t="s">
        <v>77</v>
      </c>
      <c r="H13" s="22" t="s">
        <v>71</v>
      </c>
      <c r="I13" s="22">
        <f>'MERCADO TE'!$U$10</f>
        <v>195.72200000000001</v>
      </c>
      <c r="J13" s="15"/>
      <c r="L13" s="20">
        <f>'TR TE'!$L$13*'TR TE'!$L$48</f>
        <v>0</v>
      </c>
      <c r="M13" s="20">
        <f>'TR TE'!$M$13*'TR TE'!$M$48</f>
        <v>0</v>
      </c>
      <c r="N13" s="20">
        <f>'TR TE'!$N$13*'TR TE'!$N$48</f>
        <v>0</v>
      </c>
      <c r="O13" s="20">
        <f>'TR TE'!$O$13*'TR TE'!$O$48</f>
        <v>0</v>
      </c>
      <c r="P13" s="20">
        <f>'TR TE'!$P$13*'TR TE'!$P$48</f>
        <v>0</v>
      </c>
      <c r="Q13" s="20">
        <f>SUM($L$13:$P$13)</f>
        <v>0</v>
      </c>
      <c r="R13" s="20">
        <f>'TR TE'!$R$13*'TR TE'!$R$48</f>
        <v>235.11175342784904</v>
      </c>
      <c r="S13" s="20">
        <f>SUM($R$13:$R$13)</f>
        <v>235.11175342784904</v>
      </c>
      <c r="T13" s="20">
        <f>'TR TE'!$T$13*'TR TE'!$T$48</f>
        <v>0</v>
      </c>
      <c r="U13" s="20">
        <f>'TR TE'!$U$13*'TR TE'!$U$48</f>
        <v>0</v>
      </c>
      <c r="V13" s="20">
        <f>'TR TE'!$V$13*'TR TE'!$V$48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TE'!$Z$48</f>
        <v>0</v>
      </c>
      <c r="AA13" s="20">
        <f>SUM($Z$13:$Z$13)</f>
        <v>0</v>
      </c>
      <c r="AB13" s="20">
        <f>SUMIF($L$4:$AA$4,"SUBTOTAL",$L$13:$AA$13)</f>
        <v>235.11175342784904</v>
      </c>
    </row>
    <row r="14" spans="1:28" ht="11.25" customHeight="1" x14ac:dyDescent="0.25">
      <c r="A14" s="113"/>
      <c r="B14" s="113"/>
      <c r="C14" s="113"/>
      <c r="D14" s="23" t="s">
        <v>32</v>
      </c>
      <c r="E14" s="23" t="s">
        <v>25</v>
      </c>
      <c r="F14" s="23" t="s">
        <v>25</v>
      </c>
      <c r="G14" s="22" t="s">
        <v>77</v>
      </c>
      <c r="H14" s="22" t="s">
        <v>71</v>
      </c>
      <c r="I14" s="22">
        <f>'MERCADO TE'!$U$11</f>
        <v>56.320999999999998</v>
      </c>
      <c r="J14" s="15"/>
      <c r="L14" s="20">
        <f>'TR TE'!$L$14*'TR TE'!$L$48</f>
        <v>0</v>
      </c>
      <c r="M14" s="20">
        <f>'TR TE'!$M$14*'TR TE'!$M$48</f>
        <v>0</v>
      </c>
      <c r="N14" s="20">
        <f>'TR TE'!$N$14*'TR TE'!$N$48</f>
        <v>0</v>
      </c>
      <c r="O14" s="20">
        <f>'TR TE'!$O$14*'TR TE'!$O$48</f>
        <v>0</v>
      </c>
      <c r="P14" s="20">
        <f>'TR TE'!$P$14*'TR TE'!$P$48</f>
        <v>0</v>
      </c>
      <c r="Q14" s="20">
        <f>SUM($L$14:$P$14)</f>
        <v>0</v>
      </c>
      <c r="R14" s="20">
        <f>'TR TE'!$R$14*'TR TE'!$R$48</f>
        <v>235.11175342784904</v>
      </c>
      <c r="S14" s="20">
        <f>SUM($R$14:$R$14)</f>
        <v>235.11175342784904</v>
      </c>
      <c r="T14" s="20">
        <f>'TR TE'!$T$14*'TR TE'!$T$48</f>
        <v>0</v>
      </c>
      <c r="U14" s="20">
        <f>'TR TE'!$U$14*'TR TE'!$U$48</f>
        <v>0</v>
      </c>
      <c r="V14" s="20">
        <f>'TR TE'!$V$14*'TR TE'!$V$48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TE'!$Z$48</f>
        <v>0</v>
      </c>
      <c r="AA14" s="20">
        <f>SUM($Z$14:$Z$14)</f>
        <v>0</v>
      </c>
      <c r="AB14" s="20">
        <f>SUMIF($L$4:$AA$4,"SUBTOTAL",$L$14:$AA$14)</f>
        <v>235.11175342784904</v>
      </c>
    </row>
    <row r="15" spans="1:28" ht="11.25" customHeight="1" x14ac:dyDescent="0.25">
      <c r="A15" s="113"/>
      <c r="B15" s="113" t="s">
        <v>86</v>
      </c>
      <c r="C15" s="113" t="s">
        <v>24</v>
      </c>
      <c r="D15" s="23" t="s">
        <v>24</v>
      </c>
      <c r="E15" s="23" t="s">
        <v>25</v>
      </c>
      <c r="F15" s="23" t="s">
        <v>25</v>
      </c>
      <c r="G15" s="22" t="s">
        <v>77</v>
      </c>
      <c r="H15" s="22" t="s">
        <v>71</v>
      </c>
      <c r="I15" s="22">
        <f>'MERCADO TE'!$U$12</f>
        <v>0</v>
      </c>
      <c r="J15" s="15"/>
      <c r="L15" s="20">
        <f>'TR TE'!$L$15*'TR TE'!$L$48</f>
        <v>0</v>
      </c>
      <c r="M15" s="20">
        <f>'TR TE'!$M$15*'TR TE'!$M$48</f>
        <v>0</v>
      </c>
      <c r="N15" s="20">
        <f>'TR TE'!$N$15*'TR TE'!$N$48</f>
        <v>0</v>
      </c>
      <c r="O15" s="20">
        <f>'TR TE'!$O$15*'TR TE'!$O$48</f>
        <v>0</v>
      </c>
      <c r="P15" s="20">
        <f>'TR TE'!$P$15*'TR TE'!$P$48</f>
        <v>0</v>
      </c>
      <c r="Q15" s="20">
        <f>SUM($L$15:$P$15)</f>
        <v>0</v>
      </c>
      <c r="R15" s="20">
        <f>'TR TE'!$R$15*'TR TE'!$R$48</f>
        <v>235.11175342784904</v>
      </c>
      <c r="S15" s="20">
        <f>SUM($R$15:$R$15)</f>
        <v>235.11175342784904</v>
      </c>
      <c r="T15" s="20">
        <f>'TR TE'!$T$15*'TR TE'!$T$48</f>
        <v>0</v>
      </c>
      <c r="U15" s="20">
        <f>'TR TE'!$U$15*'TR TE'!$U$48</f>
        <v>0</v>
      </c>
      <c r="V15" s="20">
        <f>'TR TE'!$V$15*'TR TE'!$V$48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TE'!$Z$48</f>
        <v>0</v>
      </c>
      <c r="AA15" s="20">
        <f>SUM($Z$15:$Z$15)</f>
        <v>0</v>
      </c>
      <c r="AB15" s="20">
        <f>SUMIF($L$4:$AA$4,"SUBTOTAL",$L$15:$AA$15)</f>
        <v>235.11175342784904</v>
      </c>
    </row>
    <row r="16" spans="1:28" ht="11.25" customHeight="1" x14ac:dyDescent="0.25">
      <c r="A16" s="113"/>
      <c r="B16" s="113"/>
      <c r="C16" s="113"/>
      <c r="D16" s="23" t="s">
        <v>29</v>
      </c>
      <c r="E16" s="23" t="s">
        <v>25</v>
      </c>
      <c r="F16" s="23" t="s">
        <v>25</v>
      </c>
      <c r="G16" s="22" t="s">
        <v>77</v>
      </c>
      <c r="H16" s="22" t="s">
        <v>71</v>
      </c>
      <c r="I16" s="22">
        <f>'MERCADO TE'!$U$13</f>
        <v>0</v>
      </c>
      <c r="J16" s="15"/>
      <c r="L16" s="20">
        <f>'TR TE'!$L$16*'TR TE'!$L$48</f>
        <v>0</v>
      </c>
      <c r="M16" s="20">
        <f>'TR TE'!$M$16*'TR TE'!$M$48</f>
        <v>0</v>
      </c>
      <c r="N16" s="20">
        <f>'TR TE'!$N$16*'TR TE'!$N$48</f>
        <v>0</v>
      </c>
      <c r="O16" s="20">
        <f>'TR TE'!$O$16*'TR TE'!$O$48</f>
        <v>0</v>
      </c>
      <c r="P16" s="20">
        <f>'TR TE'!$P$16*'TR TE'!$P$48</f>
        <v>0</v>
      </c>
      <c r="Q16" s="20">
        <f>SUM($L$16:$P$16)</f>
        <v>0</v>
      </c>
      <c r="R16" s="20">
        <f>'TR TE'!$R$16*'TR TE'!$R$48</f>
        <v>235.11175342784904</v>
      </c>
      <c r="S16" s="20">
        <f>SUM($R$16:$R$16)</f>
        <v>235.11175342784904</v>
      </c>
      <c r="T16" s="20">
        <f>'TR TE'!$T$16*'TR TE'!$T$48</f>
        <v>0</v>
      </c>
      <c r="U16" s="20">
        <f>'TR TE'!$U$16*'TR TE'!$U$48</f>
        <v>0</v>
      </c>
      <c r="V16" s="20">
        <f>'TR TE'!$V$16*'TR TE'!$V$48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TE'!$Z$48</f>
        <v>0</v>
      </c>
      <c r="AA16" s="20">
        <f>SUM($Z$16:$Z$16)</f>
        <v>0</v>
      </c>
      <c r="AB16" s="20">
        <f>SUMIF($L$4:$AA$4,"SUBTOTAL",$L$16:$AA$16)</f>
        <v>235.11175342784904</v>
      </c>
    </row>
    <row r="17" spans="1:28" ht="11.25" customHeight="1" x14ac:dyDescent="0.25">
      <c r="A17" s="113"/>
      <c r="B17" s="113"/>
      <c r="C17" s="113"/>
      <c r="D17" s="23" t="s">
        <v>30</v>
      </c>
      <c r="E17" s="23" t="s">
        <v>25</v>
      </c>
      <c r="F17" s="23" t="s">
        <v>25</v>
      </c>
      <c r="G17" s="22" t="s">
        <v>77</v>
      </c>
      <c r="H17" s="22" t="s">
        <v>71</v>
      </c>
      <c r="I17" s="22">
        <f>'MERCADO TE'!$U$14</f>
        <v>0</v>
      </c>
      <c r="J17" s="15"/>
      <c r="L17" s="20">
        <f>'TR TE'!$L$17*'TR TE'!$L$48</f>
        <v>0</v>
      </c>
      <c r="M17" s="20">
        <f>'TR TE'!$M$17*'TR TE'!$M$48</f>
        <v>0</v>
      </c>
      <c r="N17" s="20">
        <f>'TR TE'!$N$17*'TR TE'!$N$48</f>
        <v>0</v>
      </c>
      <c r="O17" s="20">
        <f>'TR TE'!$O$17*'TR TE'!$O$48</f>
        <v>0</v>
      </c>
      <c r="P17" s="20">
        <f>'TR TE'!$P$17*'TR TE'!$P$48</f>
        <v>0</v>
      </c>
      <c r="Q17" s="20">
        <f>SUM($L$17:$P$17)</f>
        <v>0</v>
      </c>
      <c r="R17" s="20">
        <f>'TR TE'!$R$17*'TR TE'!$R$48</f>
        <v>235.11175342784904</v>
      </c>
      <c r="S17" s="20">
        <f>SUM($R$17:$R$17)</f>
        <v>235.11175342784904</v>
      </c>
      <c r="T17" s="20">
        <f>'TR TE'!$T$17*'TR TE'!$T$48</f>
        <v>0</v>
      </c>
      <c r="U17" s="20">
        <f>'TR TE'!$U$17*'TR TE'!$U$48</f>
        <v>0</v>
      </c>
      <c r="V17" s="20">
        <f>'TR TE'!$V$17*'TR TE'!$V$48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TE'!$Z$48</f>
        <v>0</v>
      </c>
      <c r="AA17" s="20">
        <f>SUM($Z$17:$Z$17)</f>
        <v>0</v>
      </c>
      <c r="AB17" s="20">
        <f>SUMIF($L$4:$AA$4,"SUBTOTAL",$L$17:$AA$17)</f>
        <v>235.11175342784904</v>
      </c>
    </row>
    <row r="18" spans="1:28" ht="11.25" customHeight="1" x14ac:dyDescent="0.25">
      <c r="A18" s="113"/>
      <c r="B18" s="113"/>
      <c r="C18" s="113"/>
      <c r="D18" s="23" t="s">
        <v>31</v>
      </c>
      <c r="E18" s="23" t="s">
        <v>25</v>
      </c>
      <c r="F18" s="23" t="s">
        <v>25</v>
      </c>
      <c r="G18" s="22" t="s">
        <v>77</v>
      </c>
      <c r="H18" s="22" t="s">
        <v>71</v>
      </c>
      <c r="I18" s="22">
        <f>'MERCADO TE'!$U$15</f>
        <v>0</v>
      </c>
      <c r="J18" s="15"/>
      <c r="L18" s="20">
        <f>'TR TE'!$L$18*'TR TE'!$L$48</f>
        <v>0</v>
      </c>
      <c r="M18" s="20">
        <f>'TR TE'!$M$18*'TR TE'!$M$48</f>
        <v>0</v>
      </c>
      <c r="N18" s="20">
        <f>'TR TE'!$N$18*'TR TE'!$N$48</f>
        <v>0</v>
      </c>
      <c r="O18" s="20">
        <f>'TR TE'!$O$18*'TR TE'!$O$48</f>
        <v>0</v>
      </c>
      <c r="P18" s="20">
        <f>'TR TE'!$P$18*'TR TE'!$P$48</f>
        <v>0</v>
      </c>
      <c r="Q18" s="20">
        <f>SUM($L$18:$P$18)</f>
        <v>0</v>
      </c>
      <c r="R18" s="20">
        <f>'TR TE'!$R$18*'TR TE'!$R$48</f>
        <v>235.11175342784904</v>
      </c>
      <c r="S18" s="20">
        <f>SUM($R$18:$R$18)</f>
        <v>235.11175342784904</v>
      </c>
      <c r="T18" s="20">
        <f>'TR TE'!$T$18*'TR TE'!$T$48</f>
        <v>0</v>
      </c>
      <c r="U18" s="20">
        <f>'TR TE'!$U$18*'TR TE'!$U$48</f>
        <v>0</v>
      </c>
      <c r="V18" s="20">
        <f>'TR TE'!$V$18*'TR TE'!$V$48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TE'!$Z$48</f>
        <v>0</v>
      </c>
      <c r="AA18" s="20">
        <f>SUM($Z$18:$Z$18)</f>
        <v>0</v>
      </c>
      <c r="AB18" s="20">
        <f>SUMIF($L$4:$AA$4,"SUBTOTAL",$L$18:$AA$18)</f>
        <v>235.11175342784904</v>
      </c>
    </row>
    <row r="19" spans="1:28" ht="11.25" customHeight="1" x14ac:dyDescent="0.25">
      <c r="A19" s="113"/>
      <c r="B19" s="113"/>
      <c r="C19" s="113"/>
      <c r="D19" s="23" t="s">
        <v>32</v>
      </c>
      <c r="E19" s="23" t="s">
        <v>25</v>
      </c>
      <c r="F19" s="23" t="s">
        <v>25</v>
      </c>
      <c r="G19" s="22" t="s">
        <v>77</v>
      </c>
      <c r="H19" s="22" t="s">
        <v>71</v>
      </c>
      <c r="I19" s="22">
        <f>'MERCADO TE'!$U$16</f>
        <v>0</v>
      </c>
      <c r="J19" s="15"/>
      <c r="L19" s="20">
        <f>'TR TE'!$L$19*'TR TE'!$L$48</f>
        <v>0</v>
      </c>
      <c r="M19" s="20">
        <f>'TR TE'!$M$19*'TR TE'!$M$48</f>
        <v>0</v>
      </c>
      <c r="N19" s="20">
        <f>'TR TE'!$N$19*'TR TE'!$N$48</f>
        <v>0</v>
      </c>
      <c r="O19" s="20">
        <f>'TR TE'!$O$19*'TR TE'!$O$48</f>
        <v>0</v>
      </c>
      <c r="P19" s="20">
        <f>'TR TE'!$P$19*'TR TE'!$P$48</f>
        <v>0</v>
      </c>
      <c r="Q19" s="20">
        <f>SUM($L$19:$P$19)</f>
        <v>0</v>
      </c>
      <c r="R19" s="20">
        <f>'TR TE'!$R$19*'TR TE'!$R$48</f>
        <v>235.11175342784904</v>
      </c>
      <c r="S19" s="20">
        <f>SUM($R$19:$R$19)</f>
        <v>235.11175342784904</v>
      </c>
      <c r="T19" s="20">
        <f>'TR TE'!$T$19*'TR TE'!$T$48</f>
        <v>0</v>
      </c>
      <c r="U19" s="20">
        <f>'TR TE'!$U$19*'TR TE'!$U$48</f>
        <v>0</v>
      </c>
      <c r="V19" s="20">
        <f>'TR TE'!$V$19*'TR TE'!$V$48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TE'!$Z$48</f>
        <v>0</v>
      </c>
      <c r="AA19" s="20">
        <f>SUM($Z$19:$Z$19)</f>
        <v>0</v>
      </c>
      <c r="AB19" s="20">
        <f>SUMIF($L$4:$AA$4,"SUBTOTAL",$L$19:$AA$19)</f>
        <v>235.11175342784904</v>
      </c>
    </row>
    <row r="20" spans="1:28" ht="11.25" customHeight="1" x14ac:dyDescent="0.25">
      <c r="A20" s="113" t="s">
        <v>40</v>
      </c>
      <c r="B20" s="113" t="s">
        <v>70</v>
      </c>
      <c r="C20" s="113" t="s">
        <v>41</v>
      </c>
      <c r="D20" s="113" t="s">
        <v>25</v>
      </c>
      <c r="E20" s="113" t="s">
        <v>25</v>
      </c>
      <c r="F20" s="113" t="s">
        <v>25</v>
      </c>
      <c r="G20" s="22" t="s">
        <v>72</v>
      </c>
      <c r="H20" s="22" t="s">
        <v>71</v>
      </c>
      <c r="I20" s="22">
        <f>'MERCADO TE'!$U$17</f>
        <v>0</v>
      </c>
      <c r="J20" s="15"/>
      <c r="L20" s="20">
        <f>'TR TE'!$L$20*'TR TE'!$L$48</f>
        <v>0</v>
      </c>
      <c r="M20" s="20">
        <f>'TR TE'!$M$20*'TR TE'!$M$48</f>
        <v>0</v>
      </c>
      <c r="N20" s="20">
        <f>'TR TE'!$N$20*'TR TE'!$N$48</f>
        <v>0</v>
      </c>
      <c r="O20" s="20">
        <f>'TR TE'!$O$20*'TR TE'!$O$48</f>
        <v>0</v>
      </c>
      <c r="P20" s="20">
        <f>'TR TE'!$P$20*'TR TE'!$P$48</f>
        <v>0</v>
      </c>
      <c r="Q20" s="20">
        <f>SUM($L$20:$P$20)</f>
        <v>0</v>
      </c>
      <c r="R20" s="20">
        <f>'TR TE'!$R$20*'TR TE'!$R$48</f>
        <v>235.11175342784904</v>
      </c>
      <c r="S20" s="20">
        <f>SUM($R$20:$R$20)</f>
        <v>235.11175342784904</v>
      </c>
      <c r="T20" s="20">
        <f>'TR TE'!$T$20*'TR TE'!$T$48</f>
        <v>0</v>
      </c>
      <c r="U20" s="20">
        <f>'TR TE'!$U$20*'TR TE'!$U$48</f>
        <v>0</v>
      </c>
      <c r="V20" s="20">
        <f>'TR TE'!$V$20*'TR TE'!$V$48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TE'!$Z$48</f>
        <v>0</v>
      </c>
      <c r="AA20" s="20">
        <f>SUM($Z$20:$Z$20)</f>
        <v>0</v>
      </c>
      <c r="AB20" s="20">
        <f>SUMIF($L$4:$AA$4,"SUBTOTAL",$L$20:$AA$20)</f>
        <v>235.11175342784904</v>
      </c>
    </row>
    <row r="21" spans="1:28" ht="11.25" customHeight="1" x14ac:dyDescent="0.25">
      <c r="A21" s="113"/>
      <c r="B21" s="113"/>
      <c r="C21" s="113"/>
      <c r="D21" s="113"/>
      <c r="E21" s="113"/>
      <c r="F21" s="113"/>
      <c r="G21" s="22" t="s">
        <v>83</v>
      </c>
      <c r="H21" s="22" t="s">
        <v>71</v>
      </c>
      <c r="I21" s="22">
        <f>'MERCADO TE'!$U$18</f>
        <v>0</v>
      </c>
      <c r="J21" s="15"/>
      <c r="L21" s="20">
        <f>'TR TE'!$L$21*'TR TE'!$L$48</f>
        <v>0</v>
      </c>
      <c r="M21" s="20">
        <f>'TR TE'!$M$21*'TR TE'!$M$48</f>
        <v>0</v>
      </c>
      <c r="N21" s="20">
        <f>'TR TE'!$N$21*'TR TE'!$N$48</f>
        <v>0</v>
      </c>
      <c r="O21" s="20">
        <f>'TR TE'!$O$21*'TR TE'!$O$48</f>
        <v>0</v>
      </c>
      <c r="P21" s="20">
        <f>'TR TE'!$P$21*'TR TE'!$P$48</f>
        <v>0</v>
      </c>
      <c r="Q21" s="20">
        <f>SUM($L$21:$P$21)</f>
        <v>0</v>
      </c>
      <c r="R21" s="20">
        <f>'TR TE'!$R$21*'TR TE'!$R$48</f>
        <v>235.11175342784904</v>
      </c>
      <c r="S21" s="20">
        <f>SUM($R$21:$R$21)</f>
        <v>235.11175342784904</v>
      </c>
      <c r="T21" s="20">
        <f>'TR TE'!$T$21*'TR TE'!$T$48</f>
        <v>0</v>
      </c>
      <c r="U21" s="20">
        <f>'TR TE'!$U$21*'TR TE'!$U$48</f>
        <v>0</v>
      </c>
      <c r="V21" s="20">
        <f>'TR TE'!$V$21*'TR TE'!$V$48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TE'!$Z$48</f>
        <v>0</v>
      </c>
      <c r="AA21" s="20">
        <f>SUM($Z$21:$Z$21)</f>
        <v>0</v>
      </c>
      <c r="AB21" s="20">
        <f>SUMIF($L$4:$AA$4,"SUBTOTAL",$L$21:$AA$21)</f>
        <v>235.11175342784904</v>
      </c>
    </row>
    <row r="22" spans="1:28" ht="11.25" customHeight="1" x14ac:dyDescent="0.25">
      <c r="A22" s="113"/>
      <c r="B22" s="113"/>
      <c r="C22" s="113"/>
      <c r="D22" s="113"/>
      <c r="E22" s="113"/>
      <c r="F22" s="113"/>
      <c r="G22" s="22" t="s">
        <v>73</v>
      </c>
      <c r="H22" s="22" t="s">
        <v>71</v>
      </c>
      <c r="I22" s="22">
        <f>'MERCADO TE'!$U$19</f>
        <v>0</v>
      </c>
      <c r="J22" s="15"/>
      <c r="L22" s="20">
        <f>'TR TE'!$L$22*'TR TE'!$L$48</f>
        <v>0</v>
      </c>
      <c r="M22" s="20">
        <f>'TR TE'!$M$22*'TR TE'!$M$48</f>
        <v>0</v>
      </c>
      <c r="N22" s="20">
        <f>'TR TE'!$N$22*'TR TE'!$N$48</f>
        <v>0</v>
      </c>
      <c r="O22" s="20">
        <f>'TR TE'!$O$22*'TR TE'!$O$48</f>
        <v>0</v>
      </c>
      <c r="P22" s="20">
        <f>'TR TE'!$P$22*'TR TE'!$P$48</f>
        <v>0</v>
      </c>
      <c r="Q22" s="20">
        <f>SUM($L$22:$P$22)</f>
        <v>0</v>
      </c>
      <c r="R22" s="20">
        <f>'TR TE'!$R$22*'TR TE'!$R$48</f>
        <v>235.11175342784904</v>
      </c>
      <c r="S22" s="20">
        <f>SUM($R$22:$R$22)</f>
        <v>235.11175342784904</v>
      </c>
      <c r="T22" s="20">
        <f>'TR TE'!$T$22*'TR TE'!$T$48</f>
        <v>0</v>
      </c>
      <c r="U22" s="20">
        <f>'TR TE'!$U$22*'TR TE'!$U$48</f>
        <v>0</v>
      </c>
      <c r="V22" s="20">
        <f>'TR TE'!$V$22*'TR TE'!$V$48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TE'!$Z$48</f>
        <v>0</v>
      </c>
      <c r="AA22" s="20">
        <f>SUM($Z$22:$Z$22)</f>
        <v>0</v>
      </c>
      <c r="AB22" s="20">
        <f>SUMIF($L$4:$AA$4,"SUBTOTAL",$L$22:$AA$22)</f>
        <v>235.11175342784904</v>
      </c>
    </row>
    <row r="23" spans="1:28" ht="11.25" customHeight="1" x14ac:dyDescent="0.25">
      <c r="A23" s="113"/>
      <c r="B23" s="23" t="s">
        <v>84</v>
      </c>
      <c r="C23" s="23" t="s">
        <v>41</v>
      </c>
      <c r="D23" s="23" t="s">
        <v>25</v>
      </c>
      <c r="E23" s="23" t="s">
        <v>25</v>
      </c>
      <c r="F23" s="23" t="s">
        <v>25</v>
      </c>
      <c r="G23" s="22" t="s">
        <v>77</v>
      </c>
      <c r="H23" s="22" t="s">
        <v>71</v>
      </c>
      <c r="I23" s="22">
        <f>'MERCADO TE'!$U$20</f>
        <v>47790.548000000003</v>
      </c>
      <c r="J23" s="15"/>
      <c r="L23" s="20">
        <f>'TR TE'!$L$23*'TR TE'!$L$48</f>
        <v>0</v>
      </c>
      <c r="M23" s="20">
        <f>'TR TE'!$M$23*'TR TE'!$M$48</f>
        <v>0</v>
      </c>
      <c r="N23" s="20">
        <f>'TR TE'!$N$23*'TR TE'!$N$48</f>
        <v>0</v>
      </c>
      <c r="O23" s="20">
        <f>'TR TE'!$O$23*'TR TE'!$O$48</f>
        <v>0</v>
      </c>
      <c r="P23" s="20">
        <f>'TR TE'!$P$23*'TR TE'!$P$48</f>
        <v>0</v>
      </c>
      <c r="Q23" s="20">
        <f>SUM($L$23:$P$23)</f>
        <v>0</v>
      </c>
      <c r="R23" s="20">
        <f>'TR TE'!$R$23*'TR TE'!$R$48</f>
        <v>235.11175342784904</v>
      </c>
      <c r="S23" s="20">
        <f>SUM($R$23:$R$23)</f>
        <v>235.11175342784904</v>
      </c>
      <c r="T23" s="20">
        <f>'TR TE'!$T$23*'TR TE'!$T$48</f>
        <v>0</v>
      </c>
      <c r="U23" s="20">
        <f>'TR TE'!$U$23*'TR TE'!$U$48</f>
        <v>0</v>
      </c>
      <c r="V23" s="20">
        <f>'TR TE'!$V$23*'TR TE'!$V$48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TE'!$Z$48</f>
        <v>0</v>
      </c>
      <c r="AA23" s="20">
        <f>SUM($Z$23:$Z$23)</f>
        <v>0</v>
      </c>
      <c r="AB23" s="20">
        <f>SUMIF($L$4:$AA$4,"SUBTOTAL",$L$23:$AA$23)</f>
        <v>235.11175342784904</v>
      </c>
    </row>
    <row r="24" spans="1:28" ht="11.25" customHeight="1" x14ac:dyDescent="0.25">
      <c r="A24" s="113"/>
      <c r="B24" s="113" t="s">
        <v>70</v>
      </c>
      <c r="C24" s="113" t="s">
        <v>41</v>
      </c>
      <c r="D24" s="113" t="s">
        <v>88</v>
      </c>
      <c r="E24" s="113" t="s">
        <v>25</v>
      </c>
      <c r="F24" s="113" t="s">
        <v>25</v>
      </c>
      <c r="G24" s="22" t="s">
        <v>72</v>
      </c>
      <c r="H24" s="22" t="s">
        <v>71</v>
      </c>
      <c r="I24" s="22">
        <f>'MERCADO TE'!$U$21</f>
        <v>0</v>
      </c>
      <c r="J24" s="15"/>
      <c r="L24" s="20">
        <f>'TR TE'!$L$24*'TR TE'!$L$48</f>
        <v>0</v>
      </c>
      <c r="M24" s="20">
        <f>'TR TE'!$M$24*'TR TE'!$M$48</f>
        <v>0</v>
      </c>
      <c r="N24" s="20">
        <f>'TR TE'!$N$24*'TR TE'!$N$48</f>
        <v>0</v>
      </c>
      <c r="O24" s="20">
        <f>'TR TE'!$O$24*'TR TE'!$O$48</f>
        <v>0</v>
      </c>
      <c r="P24" s="20">
        <f>'TR TE'!$P$24*'TR TE'!$P$48</f>
        <v>0</v>
      </c>
      <c r="Q24" s="20">
        <f>SUM($L$24:$P$24)</f>
        <v>0</v>
      </c>
      <c r="R24" s="20">
        <f>'TR TE'!$R$24*'TR TE'!$R$48</f>
        <v>235.11175342784904</v>
      </c>
      <c r="S24" s="20">
        <f>SUM($R$24:$R$24)</f>
        <v>235.11175342784904</v>
      </c>
      <c r="T24" s="20">
        <f>'TR TE'!$T$24*'TR TE'!$T$48</f>
        <v>0</v>
      </c>
      <c r="U24" s="20">
        <f>'TR TE'!$U$24*'TR TE'!$U$48</f>
        <v>0</v>
      </c>
      <c r="V24" s="20">
        <f>'TR TE'!$V$24*'TR TE'!$V$48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TE'!$Z$48</f>
        <v>0</v>
      </c>
      <c r="AA24" s="20">
        <f>SUM($Z$24:$Z$24)</f>
        <v>0</v>
      </c>
      <c r="AB24" s="20">
        <f>SUMIF($L$4:$AA$4,"SUBTOTAL",$L$24:$AA$24)</f>
        <v>235.11175342784904</v>
      </c>
    </row>
    <row r="25" spans="1:28" ht="11.25" customHeight="1" x14ac:dyDescent="0.25">
      <c r="A25" s="113"/>
      <c r="B25" s="113"/>
      <c r="C25" s="113"/>
      <c r="D25" s="113"/>
      <c r="E25" s="113"/>
      <c r="F25" s="113"/>
      <c r="G25" s="22" t="s">
        <v>83</v>
      </c>
      <c r="H25" s="22" t="s">
        <v>71</v>
      </c>
      <c r="I25" s="22">
        <f>'MERCADO TE'!$U$22</f>
        <v>0</v>
      </c>
      <c r="J25" s="15"/>
      <c r="L25" s="20">
        <f>'TR TE'!$L$25*'TR TE'!$L$48</f>
        <v>0</v>
      </c>
      <c r="M25" s="20">
        <f>'TR TE'!$M$25*'TR TE'!$M$48</f>
        <v>0</v>
      </c>
      <c r="N25" s="20">
        <f>'TR TE'!$N$25*'TR TE'!$N$48</f>
        <v>0</v>
      </c>
      <c r="O25" s="20">
        <f>'TR TE'!$O$25*'TR TE'!$O$48</f>
        <v>0</v>
      </c>
      <c r="P25" s="20">
        <f>'TR TE'!$P$25*'TR TE'!$P$48</f>
        <v>0</v>
      </c>
      <c r="Q25" s="20">
        <f>SUM($L$25:$P$25)</f>
        <v>0</v>
      </c>
      <c r="R25" s="20">
        <f>'TR TE'!$R$25*'TR TE'!$R$48</f>
        <v>235.11175342784904</v>
      </c>
      <c r="S25" s="20">
        <f>SUM($R$25:$R$25)</f>
        <v>235.11175342784904</v>
      </c>
      <c r="T25" s="20">
        <f>'TR TE'!$T$25*'TR TE'!$T$48</f>
        <v>0</v>
      </c>
      <c r="U25" s="20">
        <f>'TR TE'!$U$25*'TR TE'!$U$48</f>
        <v>0</v>
      </c>
      <c r="V25" s="20">
        <f>'TR TE'!$V$25*'TR TE'!$V$48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TE'!$Z$48</f>
        <v>0</v>
      </c>
      <c r="AA25" s="20">
        <f>SUM($Z$25:$Z$25)</f>
        <v>0</v>
      </c>
      <c r="AB25" s="20">
        <f>SUMIF($L$4:$AA$4,"SUBTOTAL",$L$25:$AA$25)</f>
        <v>235.11175342784904</v>
      </c>
    </row>
    <row r="26" spans="1:28" ht="11.25" customHeight="1" x14ac:dyDescent="0.25">
      <c r="A26" s="113"/>
      <c r="B26" s="113"/>
      <c r="C26" s="113"/>
      <c r="D26" s="113"/>
      <c r="E26" s="113"/>
      <c r="F26" s="113"/>
      <c r="G26" s="22" t="s">
        <v>73</v>
      </c>
      <c r="H26" s="22" t="s">
        <v>71</v>
      </c>
      <c r="I26" s="22">
        <f>'MERCADO TE'!$U$23</f>
        <v>0</v>
      </c>
      <c r="J26" s="15"/>
      <c r="L26" s="20">
        <f>'TR TE'!$L$26*'TR TE'!$L$48</f>
        <v>0</v>
      </c>
      <c r="M26" s="20">
        <f>'TR TE'!$M$26*'TR TE'!$M$48</f>
        <v>0</v>
      </c>
      <c r="N26" s="20">
        <f>'TR TE'!$N$26*'TR TE'!$N$48</f>
        <v>0</v>
      </c>
      <c r="O26" s="20">
        <f>'TR TE'!$O$26*'TR TE'!$O$48</f>
        <v>0</v>
      </c>
      <c r="P26" s="20">
        <f>'TR TE'!$P$26*'TR TE'!$P$48</f>
        <v>0</v>
      </c>
      <c r="Q26" s="20">
        <f>SUM($L$26:$P$26)</f>
        <v>0</v>
      </c>
      <c r="R26" s="20">
        <f>'TR TE'!$R$26*'TR TE'!$R$48</f>
        <v>235.11175342784904</v>
      </c>
      <c r="S26" s="20">
        <f>SUM($R$26:$R$26)</f>
        <v>235.11175342784904</v>
      </c>
      <c r="T26" s="20">
        <f>'TR TE'!$T$26*'TR TE'!$T$48</f>
        <v>0</v>
      </c>
      <c r="U26" s="20">
        <f>'TR TE'!$U$26*'TR TE'!$U$48</f>
        <v>0</v>
      </c>
      <c r="V26" s="20">
        <f>'TR TE'!$V$26*'TR TE'!$V$48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TE'!$Z$48</f>
        <v>0</v>
      </c>
      <c r="AA26" s="20">
        <f>SUM($Z$26:$Z$26)</f>
        <v>0</v>
      </c>
      <c r="AB26" s="20">
        <f>SUMIF($L$4:$AA$4,"SUBTOTAL",$L$26:$AA$26)</f>
        <v>235.11175342784904</v>
      </c>
    </row>
    <row r="27" spans="1:28" ht="11.25" customHeight="1" x14ac:dyDescent="0.25">
      <c r="A27" s="113"/>
      <c r="B27" s="23" t="s">
        <v>84</v>
      </c>
      <c r="C27" s="23" t="s">
        <v>41</v>
      </c>
      <c r="D27" s="23" t="s">
        <v>88</v>
      </c>
      <c r="E27" s="23" t="s">
        <v>25</v>
      </c>
      <c r="F27" s="23" t="s">
        <v>25</v>
      </c>
      <c r="G27" s="22" t="s">
        <v>77</v>
      </c>
      <c r="H27" s="22" t="s">
        <v>71</v>
      </c>
      <c r="I27" s="22">
        <f>'MERCADO TE'!$U$24</f>
        <v>0</v>
      </c>
      <c r="J27" s="15"/>
      <c r="L27" s="20">
        <f>'TR TE'!$L$27*'TR TE'!$L$48</f>
        <v>0</v>
      </c>
      <c r="M27" s="20">
        <f>'TR TE'!$M$27*'TR TE'!$M$48</f>
        <v>0</v>
      </c>
      <c r="N27" s="20">
        <f>'TR TE'!$N$27*'TR TE'!$N$48</f>
        <v>0</v>
      </c>
      <c r="O27" s="20">
        <f>'TR TE'!$O$27*'TR TE'!$O$48</f>
        <v>0</v>
      </c>
      <c r="P27" s="20">
        <f>'TR TE'!$P$27*'TR TE'!$P$48</f>
        <v>0</v>
      </c>
      <c r="Q27" s="20">
        <f>SUM($L$27:$P$27)</f>
        <v>0</v>
      </c>
      <c r="R27" s="20">
        <f>'TR TE'!$R$27*'TR TE'!$R$48</f>
        <v>235.11175342784904</v>
      </c>
      <c r="S27" s="20">
        <f>SUM($R$27:$R$27)</f>
        <v>235.11175342784904</v>
      </c>
      <c r="T27" s="20">
        <f>'TR TE'!$T$27*'TR TE'!$T$48</f>
        <v>0</v>
      </c>
      <c r="U27" s="20">
        <f>'TR TE'!$U$27*'TR TE'!$U$48</f>
        <v>0</v>
      </c>
      <c r="V27" s="20">
        <f>'TR TE'!$V$27*'TR TE'!$V$48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TE'!$Z$48</f>
        <v>0</v>
      </c>
      <c r="AA27" s="20">
        <f>SUM($Z$27:$Z$27)</f>
        <v>0</v>
      </c>
      <c r="AB27" s="20">
        <f>SUMIF($L$4:$AA$4,"SUBTOTAL",$L$27:$AA$27)</f>
        <v>235.11175342784904</v>
      </c>
    </row>
    <row r="28" spans="1:28" ht="11.25" customHeight="1" x14ac:dyDescent="0.25">
      <c r="A28" s="113"/>
      <c r="B28" s="113" t="s">
        <v>70</v>
      </c>
      <c r="C28" s="113" t="s">
        <v>41</v>
      </c>
      <c r="D28" s="113" t="s">
        <v>89</v>
      </c>
      <c r="E28" s="113" t="s">
        <v>25</v>
      </c>
      <c r="F28" s="113" t="s">
        <v>25</v>
      </c>
      <c r="G28" s="22" t="s">
        <v>72</v>
      </c>
      <c r="H28" s="22" t="s">
        <v>71</v>
      </c>
      <c r="I28" s="22">
        <f>'MERCADO TE'!$U$25</f>
        <v>0</v>
      </c>
      <c r="J28" s="15"/>
      <c r="L28" s="20">
        <f>'TR TE'!$L$28*'TR TE'!$L$48</f>
        <v>0</v>
      </c>
      <c r="M28" s="20">
        <f>'TR TE'!$M$28*'TR TE'!$M$48</f>
        <v>0</v>
      </c>
      <c r="N28" s="20">
        <f>'TR TE'!$N$28*'TR TE'!$N$48</f>
        <v>0</v>
      </c>
      <c r="O28" s="20">
        <f>'TR TE'!$O$28*'TR TE'!$O$48</f>
        <v>0</v>
      </c>
      <c r="P28" s="20">
        <f>'TR TE'!$P$28*'TR TE'!$P$48</f>
        <v>0</v>
      </c>
      <c r="Q28" s="20">
        <f>SUM($L$28:$P$28)</f>
        <v>0</v>
      </c>
      <c r="R28" s="20">
        <f>'TR TE'!$R$28*'TR TE'!$R$48</f>
        <v>235.11175342784904</v>
      </c>
      <c r="S28" s="20">
        <f>SUM($R$28:$R$28)</f>
        <v>235.11175342784904</v>
      </c>
      <c r="T28" s="20">
        <f>'TR TE'!$T$28*'TR TE'!$T$48</f>
        <v>0</v>
      </c>
      <c r="U28" s="20">
        <f>'TR TE'!$U$28*'TR TE'!$U$48</f>
        <v>0</v>
      </c>
      <c r="V28" s="20">
        <f>'TR TE'!$V$28*'TR TE'!$V$48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TE'!$Z$48</f>
        <v>0</v>
      </c>
      <c r="AA28" s="20">
        <f>SUM($Z$28:$Z$28)</f>
        <v>0</v>
      </c>
      <c r="AB28" s="20">
        <f>SUMIF($L$4:$AA$4,"SUBTOTAL",$L$28:$AA$28)</f>
        <v>235.11175342784904</v>
      </c>
    </row>
    <row r="29" spans="1:28" ht="11.25" customHeight="1" x14ac:dyDescent="0.25">
      <c r="A29" s="113"/>
      <c r="B29" s="113"/>
      <c r="C29" s="113"/>
      <c r="D29" s="113"/>
      <c r="E29" s="113"/>
      <c r="F29" s="113"/>
      <c r="G29" s="22" t="s">
        <v>83</v>
      </c>
      <c r="H29" s="22" t="s">
        <v>71</v>
      </c>
      <c r="I29" s="22">
        <f>'MERCADO TE'!$U$26</f>
        <v>0</v>
      </c>
      <c r="J29" s="15"/>
      <c r="L29" s="20">
        <f>'TR TE'!$L$29*'TR TE'!$L$48</f>
        <v>0</v>
      </c>
      <c r="M29" s="20">
        <f>'TR TE'!$M$29*'TR TE'!$M$48</f>
        <v>0</v>
      </c>
      <c r="N29" s="20">
        <f>'TR TE'!$N$29*'TR TE'!$N$48</f>
        <v>0</v>
      </c>
      <c r="O29" s="20">
        <f>'TR TE'!$O$29*'TR TE'!$O$48</f>
        <v>0</v>
      </c>
      <c r="P29" s="20">
        <f>'TR TE'!$P$29*'TR TE'!$P$48</f>
        <v>0</v>
      </c>
      <c r="Q29" s="20">
        <f>SUM($L$29:$P$29)</f>
        <v>0</v>
      </c>
      <c r="R29" s="20">
        <f>'TR TE'!$R$29*'TR TE'!$R$48</f>
        <v>235.11175342784904</v>
      </c>
      <c r="S29" s="20">
        <f>SUM($R$29:$R$29)</f>
        <v>235.11175342784904</v>
      </c>
      <c r="T29" s="20">
        <f>'TR TE'!$T$29*'TR TE'!$T$48</f>
        <v>0</v>
      </c>
      <c r="U29" s="20">
        <f>'TR TE'!$U$29*'TR TE'!$U$48</f>
        <v>0</v>
      </c>
      <c r="V29" s="20">
        <f>'TR TE'!$V$29*'TR TE'!$V$48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TE'!$Z$48</f>
        <v>0</v>
      </c>
      <c r="AA29" s="20">
        <f>SUM($Z$29:$Z$29)</f>
        <v>0</v>
      </c>
      <c r="AB29" s="20">
        <f>SUMIF($L$4:$AA$4,"SUBTOTAL",$L$29:$AA$29)</f>
        <v>235.11175342784904</v>
      </c>
    </row>
    <row r="30" spans="1:28" ht="11.25" customHeight="1" x14ac:dyDescent="0.25">
      <c r="A30" s="113"/>
      <c r="B30" s="113"/>
      <c r="C30" s="113"/>
      <c r="D30" s="113"/>
      <c r="E30" s="113"/>
      <c r="F30" s="113"/>
      <c r="G30" s="22" t="s">
        <v>73</v>
      </c>
      <c r="H30" s="22" t="s">
        <v>71</v>
      </c>
      <c r="I30" s="22">
        <f>'MERCADO TE'!$U$27</f>
        <v>0</v>
      </c>
      <c r="J30" s="15"/>
      <c r="L30" s="20">
        <f>'TR TE'!$L$30*'TR TE'!$L$48</f>
        <v>0</v>
      </c>
      <c r="M30" s="20">
        <f>'TR TE'!$M$30*'TR TE'!$M$48</f>
        <v>0</v>
      </c>
      <c r="N30" s="20">
        <f>'TR TE'!$N$30*'TR TE'!$N$48</f>
        <v>0</v>
      </c>
      <c r="O30" s="20">
        <f>'TR TE'!$O$30*'TR TE'!$O$48</f>
        <v>0</v>
      </c>
      <c r="P30" s="20">
        <f>'TR TE'!$P$30*'TR TE'!$P$48</f>
        <v>0</v>
      </c>
      <c r="Q30" s="20">
        <f>SUM($L$30:$P$30)</f>
        <v>0</v>
      </c>
      <c r="R30" s="20">
        <f>'TR TE'!$R$30*'TR TE'!$R$48</f>
        <v>235.11175342784904</v>
      </c>
      <c r="S30" s="20">
        <f>SUM($R$30:$R$30)</f>
        <v>235.11175342784904</v>
      </c>
      <c r="T30" s="20">
        <f>'TR TE'!$T$30*'TR TE'!$T$48</f>
        <v>0</v>
      </c>
      <c r="U30" s="20">
        <f>'TR TE'!$U$30*'TR TE'!$U$48</f>
        <v>0</v>
      </c>
      <c r="V30" s="20">
        <f>'TR TE'!$V$30*'TR TE'!$V$48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TE'!$Z$48</f>
        <v>0</v>
      </c>
      <c r="AA30" s="20">
        <f>SUM($Z$30:$Z$30)</f>
        <v>0</v>
      </c>
      <c r="AB30" s="20">
        <f>SUMIF($L$4:$AA$4,"SUBTOTAL",$L$30:$AA$30)</f>
        <v>235.11175342784904</v>
      </c>
    </row>
    <row r="31" spans="1:28" ht="11.25" customHeight="1" x14ac:dyDescent="0.25">
      <c r="A31" s="113"/>
      <c r="B31" s="23" t="s">
        <v>84</v>
      </c>
      <c r="C31" s="23" t="s">
        <v>41</v>
      </c>
      <c r="D31" s="23" t="s">
        <v>89</v>
      </c>
      <c r="E31" s="23" t="s">
        <v>25</v>
      </c>
      <c r="F31" s="23" t="s">
        <v>25</v>
      </c>
      <c r="G31" s="22" t="s">
        <v>77</v>
      </c>
      <c r="H31" s="22" t="s">
        <v>71</v>
      </c>
      <c r="I31" s="22">
        <f>'MERCADO TE'!$U$28</f>
        <v>0</v>
      </c>
      <c r="J31" s="15"/>
      <c r="L31" s="20">
        <f>'TR TE'!$L$31*'TR TE'!$L$48</f>
        <v>0</v>
      </c>
      <c r="M31" s="20">
        <f>'TR TE'!$M$31*'TR TE'!$M$48</f>
        <v>0</v>
      </c>
      <c r="N31" s="20">
        <f>'TR TE'!$N$31*'TR TE'!$N$48</f>
        <v>0</v>
      </c>
      <c r="O31" s="20">
        <f>'TR TE'!$O$31*'TR TE'!$O$48</f>
        <v>0</v>
      </c>
      <c r="P31" s="20">
        <f>'TR TE'!$P$31*'TR TE'!$P$48</f>
        <v>0</v>
      </c>
      <c r="Q31" s="20">
        <f>SUM($L$31:$P$31)</f>
        <v>0</v>
      </c>
      <c r="R31" s="20">
        <f>'TR TE'!$R$31*'TR TE'!$R$48</f>
        <v>235.11175342784904</v>
      </c>
      <c r="S31" s="20">
        <f>SUM($R$31:$R$31)</f>
        <v>235.11175342784904</v>
      </c>
      <c r="T31" s="20">
        <f>'TR TE'!$T$31*'TR TE'!$T$48</f>
        <v>0</v>
      </c>
      <c r="U31" s="20">
        <f>'TR TE'!$U$31*'TR TE'!$U$48</f>
        <v>0</v>
      </c>
      <c r="V31" s="20">
        <f>'TR TE'!$V$31*'TR TE'!$V$48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TE'!$Z$48</f>
        <v>0</v>
      </c>
      <c r="AA31" s="20">
        <f>SUM($Z$31:$Z$31)</f>
        <v>0</v>
      </c>
      <c r="AB31" s="20">
        <f>SUMIF($L$4:$AA$4,"SUBTOTAL",$L$31:$AA$31)</f>
        <v>235.11175342784904</v>
      </c>
    </row>
    <row r="32" spans="1:28" ht="11.25" customHeight="1" x14ac:dyDescent="0.25">
      <c r="A32" s="113"/>
      <c r="B32" s="113" t="s">
        <v>86</v>
      </c>
      <c r="C32" s="113" t="s">
        <v>41</v>
      </c>
      <c r="D32" s="23" t="s">
        <v>25</v>
      </c>
      <c r="E32" s="23" t="s">
        <v>25</v>
      </c>
      <c r="F32" s="23" t="s">
        <v>25</v>
      </c>
      <c r="G32" s="22" t="s">
        <v>77</v>
      </c>
      <c r="H32" s="22" t="s">
        <v>71</v>
      </c>
      <c r="I32" s="22">
        <f>'MERCADO TE'!$U$29</f>
        <v>0</v>
      </c>
      <c r="J32" s="15"/>
      <c r="L32" s="20">
        <f>'TR TE'!$L$32*'TR TE'!$L$48</f>
        <v>0</v>
      </c>
      <c r="M32" s="20">
        <f>'TR TE'!$M$32*'TR TE'!$M$48</f>
        <v>0</v>
      </c>
      <c r="N32" s="20">
        <f>'TR TE'!$N$32*'TR TE'!$N$48</f>
        <v>0</v>
      </c>
      <c r="O32" s="20">
        <f>'TR TE'!$O$32*'TR TE'!$O$48</f>
        <v>0</v>
      </c>
      <c r="P32" s="20">
        <f>'TR TE'!$P$32*'TR TE'!$P$48</f>
        <v>0</v>
      </c>
      <c r="Q32" s="20">
        <f>SUM($L$32:$P$32)</f>
        <v>0</v>
      </c>
      <c r="R32" s="20">
        <f>'TR TE'!$R$32*'TR TE'!$R$48</f>
        <v>235.11175342784904</v>
      </c>
      <c r="S32" s="20">
        <f>SUM($R$32:$R$32)</f>
        <v>235.11175342784904</v>
      </c>
      <c r="T32" s="20">
        <f>'TR TE'!$T$32*'TR TE'!$T$48</f>
        <v>0</v>
      </c>
      <c r="U32" s="20">
        <f>'TR TE'!$U$32*'TR TE'!$U$48</f>
        <v>0</v>
      </c>
      <c r="V32" s="20">
        <f>'TR TE'!$V$32*'TR TE'!$V$48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TE'!$Z$48</f>
        <v>0</v>
      </c>
      <c r="AA32" s="20">
        <f>SUM($Z$32:$Z$32)</f>
        <v>0</v>
      </c>
      <c r="AB32" s="20">
        <f>SUMIF($L$4:$AA$4,"SUBTOTAL",$L$32:$AA$32)</f>
        <v>235.11175342784904</v>
      </c>
    </row>
    <row r="33" spans="1:28" ht="11.25" customHeight="1" x14ac:dyDescent="0.25">
      <c r="A33" s="113"/>
      <c r="B33" s="113"/>
      <c r="C33" s="113"/>
      <c r="D33" s="23" t="s">
        <v>88</v>
      </c>
      <c r="E33" s="23" t="s">
        <v>25</v>
      </c>
      <c r="F33" s="23" t="s">
        <v>25</v>
      </c>
      <c r="G33" s="22" t="s">
        <v>77</v>
      </c>
      <c r="H33" s="22" t="s">
        <v>71</v>
      </c>
      <c r="I33" s="22">
        <f>'MERCADO TE'!$U$30</f>
        <v>0</v>
      </c>
      <c r="J33" s="15"/>
      <c r="L33" s="20">
        <f>'TR TE'!$L$33*'TR TE'!$L$48</f>
        <v>0</v>
      </c>
      <c r="M33" s="20">
        <f>'TR TE'!$M$33*'TR TE'!$M$48</f>
        <v>0</v>
      </c>
      <c r="N33" s="20">
        <f>'TR TE'!$N$33*'TR TE'!$N$48</f>
        <v>0</v>
      </c>
      <c r="O33" s="20">
        <f>'TR TE'!$O$33*'TR TE'!$O$48</f>
        <v>0</v>
      </c>
      <c r="P33" s="20">
        <f>'TR TE'!$P$33*'TR TE'!$P$48</f>
        <v>0</v>
      </c>
      <c r="Q33" s="20">
        <f>SUM($L$33:$P$33)</f>
        <v>0</v>
      </c>
      <c r="R33" s="20">
        <f>'TR TE'!$R$33*'TR TE'!$R$48</f>
        <v>235.11175342784904</v>
      </c>
      <c r="S33" s="20">
        <f>SUM($R$33:$R$33)</f>
        <v>235.11175342784904</v>
      </c>
      <c r="T33" s="20">
        <f>'TR TE'!$T$33*'TR TE'!$T$48</f>
        <v>0</v>
      </c>
      <c r="U33" s="20">
        <f>'TR TE'!$U$33*'TR TE'!$U$48</f>
        <v>0</v>
      </c>
      <c r="V33" s="20">
        <f>'TR TE'!$V$33*'TR TE'!$V$48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TE'!$Z$48</f>
        <v>0</v>
      </c>
      <c r="AA33" s="20">
        <f>SUM($Z$33:$Z$33)</f>
        <v>0</v>
      </c>
      <c r="AB33" s="20">
        <f>SUMIF($L$4:$AA$4,"SUBTOTAL",$L$33:$AA$33)</f>
        <v>235.11175342784904</v>
      </c>
    </row>
    <row r="34" spans="1:28" ht="11.25" customHeight="1" x14ac:dyDescent="0.25">
      <c r="A34" s="113"/>
      <c r="B34" s="113"/>
      <c r="C34" s="113"/>
      <c r="D34" s="23" t="s">
        <v>89</v>
      </c>
      <c r="E34" s="23" t="s">
        <v>25</v>
      </c>
      <c r="F34" s="23" t="s">
        <v>25</v>
      </c>
      <c r="G34" s="22" t="s">
        <v>77</v>
      </c>
      <c r="H34" s="22" t="s">
        <v>71</v>
      </c>
      <c r="I34" s="22">
        <f>'MERCADO TE'!$U$31</f>
        <v>0</v>
      </c>
      <c r="J34" s="15"/>
      <c r="L34" s="20">
        <f>'TR TE'!$L$34*'TR TE'!$L$48</f>
        <v>0</v>
      </c>
      <c r="M34" s="20">
        <f>'TR TE'!$M$34*'TR TE'!$M$48</f>
        <v>0</v>
      </c>
      <c r="N34" s="20">
        <f>'TR TE'!$N$34*'TR TE'!$N$48</f>
        <v>0</v>
      </c>
      <c r="O34" s="20">
        <f>'TR TE'!$O$34*'TR TE'!$O$48</f>
        <v>0</v>
      </c>
      <c r="P34" s="20">
        <f>'TR TE'!$P$34*'TR TE'!$P$48</f>
        <v>0</v>
      </c>
      <c r="Q34" s="20">
        <f>SUM($L$34:$P$34)</f>
        <v>0</v>
      </c>
      <c r="R34" s="20">
        <f>'TR TE'!$R$34*'TR TE'!$R$48</f>
        <v>235.11175342784904</v>
      </c>
      <c r="S34" s="20">
        <f>SUM($R$34:$R$34)</f>
        <v>235.11175342784904</v>
      </c>
      <c r="T34" s="20">
        <f>'TR TE'!$T$34*'TR TE'!$T$48</f>
        <v>0</v>
      </c>
      <c r="U34" s="20">
        <f>'TR TE'!$U$34*'TR TE'!$U$48</f>
        <v>0</v>
      </c>
      <c r="V34" s="20">
        <f>'TR TE'!$V$34*'TR TE'!$V$48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TE'!$Z$48</f>
        <v>0</v>
      </c>
      <c r="AA34" s="20">
        <f>SUM($Z$34:$Z$34)</f>
        <v>0</v>
      </c>
      <c r="AB34" s="20">
        <f>SUMIF($L$4:$AA$4,"SUBTOTAL",$L$34:$AA$34)</f>
        <v>235.11175342784904</v>
      </c>
    </row>
    <row r="35" spans="1:28" ht="11.25" customHeight="1" x14ac:dyDescent="0.25">
      <c r="A35" s="113" t="s">
        <v>33</v>
      </c>
      <c r="B35" s="113" t="s">
        <v>70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2" t="s">
        <v>72</v>
      </c>
      <c r="H35" s="22" t="s">
        <v>71</v>
      </c>
      <c r="I35" s="22">
        <f>'MERCADO TE'!$U$32</f>
        <v>0</v>
      </c>
      <c r="J35" s="15"/>
      <c r="L35" s="20">
        <f>'TR TE'!$L$35*'TR TE'!$L$48</f>
        <v>0</v>
      </c>
      <c r="M35" s="20">
        <f>'TR TE'!$M$35*'TR TE'!$M$48</f>
        <v>0</v>
      </c>
      <c r="N35" s="20">
        <f>'TR TE'!$N$35*'TR TE'!$N$48</f>
        <v>0</v>
      </c>
      <c r="O35" s="20">
        <f>'TR TE'!$O$35*'TR TE'!$O$48</f>
        <v>0</v>
      </c>
      <c r="P35" s="20">
        <f>'TR TE'!$P$35*'TR TE'!$P$48</f>
        <v>0</v>
      </c>
      <c r="Q35" s="20">
        <f>SUM($L$35:$P$35)</f>
        <v>0</v>
      </c>
      <c r="R35" s="20">
        <f>'TR TE'!$R$35*'TR TE'!$R$48</f>
        <v>235.11175342784904</v>
      </c>
      <c r="S35" s="20">
        <f>SUM($R$35:$R$35)</f>
        <v>235.11175342784904</v>
      </c>
      <c r="T35" s="20">
        <f>'TR TE'!$T$35*'TR TE'!$T$48</f>
        <v>0</v>
      </c>
      <c r="U35" s="20">
        <f>'TR TE'!$U$35*'TR TE'!$U$48</f>
        <v>0</v>
      </c>
      <c r="V35" s="20">
        <f>'TR TE'!$V$35*'TR TE'!$V$48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TE'!$Z$48</f>
        <v>0</v>
      </c>
      <c r="AA35" s="20">
        <f>SUM($Z$35:$Z$35)</f>
        <v>0</v>
      </c>
      <c r="AB35" s="20">
        <f>SUMIF($L$4:$AA$4,"SUBTOTAL",$L$35:$AA$35)</f>
        <v>235.11175342784904</v>
      </c>
    </row>
    <row r="36" spans="1:28" ht="11.25" customHeight="1" x14ac:dyDescent="0.25">
      <c r="A36" s="113"/>
      <c r="B36" s="113"/>
      <c r="C36" s="113"/>
      <c r="D36" s="113"/>
      <c r="E36" s="113"/>
      <c r="F36" s="113"/>
      <c r="G36" s="22" t="s">
        <v>83</v>
      </c>
      <c r="H36" s="22" t="s">
        <v>71</v>
      </c>
      <c r="I36" s="22">
        <f>'MERCADO TE'!$U$33</f>
        <v>0</v>
      </c>
      <c r="J36" s="15"/>
      <c r="L36" s="20">
        <f>'TR TE'!$L$36*'TR TE'!$L$48</f>
        <v>0</v>
      </c>
      <c r="M36" s="20">
        <f>'TR TE'!$M$36*'TR TE'!$M$48</f>
        <v>0</v>
      </c>
      <c r="N36" s="20">
        <f>'TR TE'!$N$36*'TR TE'!$N$48</f>
        <v>0</v>
      </c>
      <c r="O36" s="20">
        <f>'TR TE'!$O$36*'TR TE'!$O$48</f>
        <v>0</v>
      </c>
      <c r="P36" s="20">
        <f>'TR TE'!$P$36*'TR TE'!$P$48</f>
        <v>0</v>
      </c>
      <c r="Q36" s="20">
        <f>SUM($L$36:$P$36)</f>
        <v>0</v>
      </c>
      <c r="R36" s="20">
        <f>'TR TE'!$R$36*'TR TE'!$R$48</f>
        <v>235.11175342784904</v>
      </c>
      <c r="S36" s="20">
        <f>SUM($R$36:$R$36)</f>
        <v>235.11175342784904</v>
      </c>
      <c r="T36" s="20">
        <f>'TR TE'!$T$36*'TR TE'!$T$48</f>
        <v>0</v>
      </c>
      <c r="U36" s="20">
        <f>'TR TE'!$U$36*'TR TE'!$U$48</f>
        <v>0</v>
      </c>
      <c r="V36" s="20">
        <f>'TR TE'!$V$36*'TR TE'!$V$48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TE'!$Z$48</f>
        <v>0</v>
      </c>
      <c r="AA36" s="20">
        <f>SUM($Z$36:$Z$36)</f>
        <v>0</v>
      </c>
      <c r="AB36" s="20">
        <f>SUMIF($L$4:$AA$4,"SUBTOTAL",$L$36:$AA$36)</f>
        <v>235.11175342784904</v>
      </c>
    </row>
    <row r="37" spans="1:28" ht="11.25" customHeight="1" x14ac:dyDescent="0.25">
      <c r="A37" s="113"/>
      <c r="B37" s="113"/>
      <c r="C37" s="113"/>
      <c r="D37" s="113"/>
      <c r="E37" s="113"/>
      <c r="F37" s="113"/>
      <c r="G37" s="22" t="s">
        <v>73</v>
      </c>
      <c r="H37" s="22" t="s">
        <v>71</v>
      </c>
      <c r="I37" s="22">
        <f>'MERCADO TE'!$U$34</f>
        <v>0</v>
      </c>
      <c r="J37" s="15"/>
      <c r="L37" s="20">
        <f>'TR TE'!$L$37*'TR TE'!$L$48</f>
        <v>0</v>
      </c>
      <c r="M37" s="20">
        <f>'TR TE'!$M$37*'TR TE'!$M$48</f>
        <v>0</v>
      </c>
      <c r="N37" s="20">
        <f>'TR TE'!$N$37*'TR TE'!$N$48</f>
        <v>0</v>
      </c>
      <c r="O37" s="20">
        <f>'TR TE'!$O$37*'TR TE'!$O$48</f>
        <v>0</v>
      </c>
      <c r="P37" s="20">
        <f>'TR TE'!$P$37*'TR TE'!$P$48</f>
        <v>0</v>
      </c>
      <c r="Q37" s="20">
        <f>SUM($L$37:$P$37)</f>
        <v>0</v>
      </c>
      <c r="R37" s="20">
        <f>'TR TE'!$R$37*'TR TE'!$R$48</f>
        <v>235.11175342784904</v>
      </c>
      <c r="S37" s="20">
        <f>SUM($R$37:$R$37)</f>
        <v>235.11175342784904</v>
      </c>
      <c r="T37" s="20">
        <f>'TR TE'!$T$37*'TR TE'!$T$48</f>
        <v>0</v>
      </c>
      <c r="U37" s="20">
        <f>'TR TE'!$U$37*'TR TE'!$U$48</f>
        <v>0</v>
      </c>
      <c r="V37" s="20">
        <f>'TR TE'!$V$37*'TR TE'!$V$48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TE'!$Z$48</f>
        <v>0</v>
      </c>
      <c r="AA37" s="20">
        <f>SUM($Z$37:$Z$37)</f>
        <v>0</v>
      </c>
      <c r="AB37" s="20">
        <f>SUMIF($L$4:$AA$4,"SUBTOTAL",$L$37:$AA$37)</f>
        <v>235.11175342784904</v>
      </c>
    </row>
    <row r="38" spans="1:28" ht="11.25" customHeight="1" x14ac:dyDescent="0.25">
      <c r="A38" s="113"/>
      <c r="B38" s="23" t="s">
        <v>84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77</v>
      </c>
      <c r="H38" s="22" t="s">
        <v>71</v>
      </c>
      <c r="I38" s="22">
        <f>'MERCADO TE'!$U$35</f>
        <v>9552.121000000001</v>
      </c>
      <c r="J38" s="15"/>
      <c r="L38" s="20">
        <f>'TR TE'!$L$38*'TR TE'!$L$48</f>
        <v>0</v>
      </c>
      <c r="M38" s="20">
        <f>'TR TE'!$M$38*'TR TE'!$M$48</f>
        <v>0</v>
      </c>
      <c r="N38" s="20">
        <f>'TR TE'!$N$38*'TR TE'!$N$48</f>
        <v>0</v>
      </c>
      <c r="O38" s="20">
        <f>'TR TE'!$O$38*'TR TE'!$O$48</f>
        <v>0</v>
      </c>
      <c r="P38" s="20">
        <f>'TR TE'!$P$38*'TR TE'!$P$48</f>
        <v>0</v>
      </c>
      <c r="Q38" s="20">
        <f>SUM($L$38:$P$38)</f>
        <v>0</v>
      </c>
      <c r="R38" s="20">
        <f>'TR TE'!$R$38*'TR TE'!$R$48</f>
        <v>235.11175342784904</v>
      </c>
      <c r="S38" s="20">
        <f>SUM($R$38:$R$38)</f>
        <v>235.11175342784904</v>
      </c>
      <c r="T38" s="20">
        <f>'TR TE'!$T$38*'TR TE'!$T$48</f>
        <v>0</v>
      </c>
      <c r="U38" s="20">
        <f>'TR TE'!$U$38*'TR TE'!$U$48</f>
        <v>0</v>
      </c>
      <c r="V38" s="20">
        <f>'TR TE'!$V$38*'TR TE'!$V$48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TE'!$Z$48</f>
        <v>0</v>
      </c>
      <c r="AA38" s="20">
        <f>SUM($Z$38:$Z$38)</f>
        <v>0</v>
      </c>
      <c r="AB38" s="20">
        <f>SUMIF($L$4:$AA$4,"SUBTOTAL",$L$38:$AA$38)</f>
        <v>235.11175342784904</v>
      </c>
    </row>
    <row r="39" spans="1:28" ht="11.25" customHeight="1" x14ac:dyDescent="0.25">
      <c r="A39" s="113"/>
      <c r="B39" s="23" t="s">
        <v>86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77</v>
      </c>
      <c r="H39" s="22" t="s">
        <v>71</v>
      </c>
      <c r="I39" s="22">
        <f>'MERCADO TE'!$U$36</f>
        <v>0</v>
      </c>
      <c r="J39" s="15"/>
      <c r="L39" s="20">
        <f>'TR TE'!$L$39*'TR TE'!$L$48</f>
        <v>0</v>
      </c>
      <c r="M39" s="20">
        <f>'TR TE'!$M$39*'TR TE'!$M$48</f>
        <v>0</v>
      </c>
      <c r="N39" s="20">
        <f>'TR TE'!$N$39*'TR TE'!$N$48</f>
        <v>0</v>
      </c>
      <c r="O39" s="20">
        <f>'TR TE'!$O$39*'TR TE'!$O$48</f>
        <v>0</v>
      </c>
      <c r="P39" s="20">
        <f>'TR TE'!$P$39*'TR TE'!$P$48</f>
        <v>0</v>
      </c>
      <c r="Q39" s="20">
        <f>SUM($L$39:$P$39)</f>
        <v>0</v>
      </c>
      <c r="R39" s="20">
        <f>'TR TE'!$R$39*'TR TE'!$R$48</f>
        <v>235.11175342784904</v>
      </c>
      <c r="S39" s="20">
        <f>SUM($R$39:$R$39)</f>
        <v>235.11175342784904</v>
      </c>
      <c r="T39" s="20">
        <f>'TR TE'!$T$39*'TR TE'!$T$48</f>
        <v>0</v>
      </c>
      <c r="U39" s="20">
        <f>'TR TE'!$U$39*'TR TE'!$U$48</f>
        <v>0</v>
      </c>
      <c r="V39" s="20">
        <f>'TR TE'!$V$39*'TR TE'!$V$48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TE'!$Z$48</f>
        <v>0</v>
      </c>
      <c r="AA39" s="20">
        <f>SUM($Z$39:$Z$39)</f>
        <v>0</v>
      </c>
      <c r="AB39" s="20">
        <f>SUMIF($L$4:$AA$4,"SUBTOTAL",$L$39:$AA$39)</f>
        <v>235.11175342784904</v>
      </c>
    </row>
    <row r="40" spans="1:28" ht="11.25" customHeight="1" x14ac:dyDescent="0.25">
      <c r="A40" s="113" t="s">
        <v>43</v>
      </c>
      <c r="B40" s="113" t="s">
        <v>84</v>
      </c>
      <c r="C40" s="113" t="s">
        <v>44</v>
      </c>
      <c r="D40" s="23" t="s">
        <v>45</v>
      </c>
      <c r="E40" s="23" t="s">
        <v>25</v>
      </c>
      <c r="F40" s="23" t="s">
        <v>25</v>
      </c>
      <c r="G40" s="22" t="s">
        <v>77</v>
      </c>
      <c r="H40" s="22" t="s">
        <v>71</v>
      </c>
      <c r="I40" s="22">
        <f>'MERCADO TE'!$U$37</f>
        <v>4840.4129999999996</v>
      </c>
      <c r="J40" s="15"/>
      <c r="L40" s="20">
        <f>'TR TE'!$L$40*'TR TE'!$L$48</f>
        <v>0</v>
      </c>
      <c r="M40" s="20">
        <f>'TR TE'!$M$40*'TR TE'!$M$48</f>
        <v>0</v>
      </c>
      <c r="N40" s="20">
        <f>'TR TE'!$N$40*'TR TE'!$N$48</f>
        <v>0</v>
      </c>
      <c r="O40" s="20">
        <f>'TR TE'!$O$40*'TR TE'!$O$48</f>
        <v>0</v>
      </c>
      <c r="P40" s="20">
        <f>'TR TE'!$P$40*'TR TE'!$P$48</f>
        <v>0</v>
      </c>
      <c r="Q40" s="20">
        <f>SUM($L$40:$P$40)</f>
        <v>0</v>
      </c>
      <c r="R40" s="20">
        <f>'TR TE'!$R$40*'TR TE'!$R$48</f>
        <v>129.31146438531698</v>
      </c>
      <c r="S40" s="20">
        <f>SUM($R$40:$R$40)</f>
        <v>129.31146438531698</v>
      </c>
      <c r="T40" s="20">
        <f>'TR TE'!$T$40*'TR TE'!$T$48</f>
        <v>0</v>
      </c>
      <c r="U40" s="20">
        <f>'TR TE'!$U$40*'TR TE'!$U$48</f>
        <v>0</v>
      </c>
      <c r="V40" s="20">
        <f>'TR TE'!$V$40*'TR TE'!$V$48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TE'!$Z$48</f>
        <v>0</v>
      </c>
      <c r="AA40" s="20">
        <f>SUM($Z$40:$Z$40)</f>
        <v>0</v>
      </c>
      <c r="AB40" s="20">
        <f>SUMIF($L$4:$AA$4,"SUBTOTAL",$L$40:$AA$40)</f>
        <v>129.31146438531698</v>
      </c>
    </row>
    <row r="41" spans="1:28" ht="11.25" customHeight="1" x14ac:dyDescent="0.25">
      <c r="A41" s="113"/>
      <c r="B41" s="113"/>
      <c r="C41" s="113"/>
      <c r="D41" s="22" t="s">
        <v>90</v>
      </c>
      <c r="E41" s="22" t="s">
        <v>25</v>
      </c>
      <c r="F41" s="22" t="s">
        <v>25</v>
      </c>
      <c r="G41" s="22" t="s">
        <v>77</v>
      </c>
      <c r="H41" s="22" t="s">
        <v>71</v>
      </c>
      <c r="I41" s="22">
        <f>'MERCADO TE'!$U$38</f>
        <v>0</v>
      </c>
      <c r="J41" s="15"/>
      <c r="L41" s="20">
        <f>'TR TE'!$L$41*'TR TE'!$L$48</f>
        <v>0</v>
      </c>
      <c r="M41" s="20">
        <f>'TR TE'!$M$41*'TR TE'!$M$48</f>
        <v>0</v>
      </c>
      <c r="N41" s="20">
        <f>'TR TE'!$N$41*'TR TE'!$N$48</f>
        <v>0</v>
      </c>
      <c r="O41" s="20">
        <f>'TR TE'!$O$41*'TR TE'!$O$48</f>
        <v>0</v>
      </c>
      <c r="P41" s="20">
        <f>'TR TE'!$P$41*'TR TE'!$P$48</f>
        <v>0</v>
      </c>
      <c r="Q41" s="20">
        <f>SUM($L$41:$P$41)</f>
        <v>0</v>
      </c>
      <c r="R41" s="20">
        <f>'TR TE'!$R$41*'TR TE'!$R$48</f>
        <v>141.06705205670943</v>
      </c>
      <c r="S41" s="20">
        <f>SUM($R$41:$R$41)</f>
        <v>141.06705205670943</v>
      </c>
      <c r="T41" s="20">
        <f>'TR TE'!$T$41*'TR TE'!$T$48</f>
        <v>0</v>
      </c>
      <c r="U41" s="20">
        <f>'TR TE'!$U$41*'TR TE'!$U$48</f>
        <v>0</v>
      </c>
      <c r="V41" s="20">
        <f>'TR TE'!$V$41*'TR TE'!$V$48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TE'!$Z$48</f>
        <v>0</v>
      </c>
      <c r="AA41" s="20">
        <f>SUM($Z$41:$Z$41)</f>
        <v>0</v>
      </c>
      <c r="AB41" s="20">
        <f>SUMIF($L$4:$AA$4,"SUBTOTAL",$L$41:$AA$41)</f>
        <v>141.06705205670943</v>
      </c>
    </row>
    <row r="43" spans="1:28" ht="11.25" customHeight="1" x14ac:dyDescent="0.25">
      <c r="K43" s="25" t="s">
        <v>482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21131130.163854923</v>
      </c>
      <c r="S43" s="20">
        <f t="shared" si="0"/>
        <v>21131130.163854923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21131130.163854923</v>
      </c>
    </row>
    <row r="44" spans="1:28" ht="11.25" customHeight="1" x14ac:dyDescent="0.25">
      <c r="K44" s="25" t="s">
        <v>402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21131130.163854923</v>
      </c>
      <c r="S44" s="20">
        <f>CUSTOS!$D$37</f>
        <v>21131130.163854923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21131130.163854923</v>
      </c>
    </row>
    <row r="45" spans="1:28" ht="11.25" customHeight="1" x14ac:dyDescent="0.25">
      <c r="K45" s="25" t="s">
        <v>403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1511078.1888671699</v>
      </c>
      <c r="S45" s="20">
        <f>CUSTOS!$E$37</f>
        <v>1511078.1888671699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1511078.1888671699</v>
      </c>
    </row>
    <row r="46" spans="1:28" ht="11.25" customHeight="1" x14ac:dyDescent="0.25">
      <c r="K46" s="25" t="s">
        <v>404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483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16.65976310682904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25">
      <c r="K48" s="25" t="s">
        <v>470</v>
      </c>
      <c r="L48" s="20">
        <f>IF(L44&lt;&gt;0,L45/L44,0)</f>
        <v>0</v>
      </c>
      <c r="M48" s="20">
        <f>IF(M44&lt;&gt;0,M45/M44,0)</f>
        <v>0</v>
      </c>
      <c r="N48" s="20">
        <f>IF(N44&lt;&gt;0,N45/N44,0)</f>
        <v>0</v>
      </c>
      <c r="O48" s="20">
        <f>IF(O44&lt;&gt;0,O45/O44,0)</f>
        <v>0</v>
      </c>
      <c r="P48" s="20">
        <f>IF(P44&lt;&gt;0,P45/P44,0)</f>
        <v>0</v>
      </c>
      <c r="Q48" s="20"/>
      <c r="R48" s="20">
        <f>IF(R44&lt;&gt;0,R45/R44,0)</f>
        <v>7.150957744095908E-2</v>
      </c>
      <c r="S48" s="20"/>
      <c r="T48" s="20">
        <f>IF(T44&lt;&gt;0,T45/T44,0)</f>
        <v>0</v>
      </c>
      <c r="U48" s="20">
        <f>IF(U44&lt;&gt;0,U45/U44,0)</f>
        <v>0</v>
      </c>
      <c r="V48" s="20">
        <f>IF(V44&lt;&gt;0,V45/V44,0)</f>
        <v>0</v>
      </c>
      <c r="W48" s="20"/>
      <c r="X48" s="20">
        <f>IF(($AB44-0)&lt;&gt;0,X45/($AB44-0),0)</f>
        <v>0</v>
      </c>
      <c r="Y48" s="20"/>
      <c r="Z48" s="20">
        <f>IF(Z44&lt;&gt;0,Z45/Z44,0)</f>
        <v>0</v>
      </c>
      <c r="AA48" s="20"/>
      <c r="AB48" s="20"/>
    </row>
    <row r="49" spans="11:28" ht="11.25" customHeight="1" x14ac:dyDescent="0.25">
      <c r="K49" s="25" t="s">
        <v>485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90" priority="33" operator="notEqual">
      <formula>$L$44</formula>
    </cfRule>
    <cfRule type="cellIs" dxfId="789" priority="34" operator="equal">
      <formula>$L$44</formula>
    </cfRule>
  </conditionalFormatting>
  <conditionalFormatting sqref="M43">
    <cfRule type="cellIs" dxfId="788" priority="31" operator="notEqual">
      <formula>$M$44</formula>
    </cfRule>
    <cfRule type="cellIs" dxfId="787" priority="32" operator="equal">
      <formula>$M$44</formula>
    </cfRule>
  </conditionalFormatting>
  <conditionalFormatting sqref="N43">
    <cfRule type="cellIs" dxfId="786" priority="29" operator="notEqual">
      <formula>$N$44</formula>
    </cfRule>
    <cfRule type="cellIs" dxfId="785" priority="30" operator="equal">
      <formula>$N$44</formula>
    </cfRule>
  </conditionalFormatting>
  <conditionalFormatting sqref="O43">
    <cfRule type="cellIs" dxfId="784" priority="27" operator="notEqual">
      <formula>$O$44</formula>
    </cfRule>
    <cfRule type="cellIs" dxfId="783" priority="28" operator="equal">
      <formula>$O$44</formula>
    </cfRule>
  </conditionalFormatting>
  <conditionalFormatting sqref="P43">
    <cfRule type="cellIs" dxfId="782" priority="25" operator="notEqual">
      <formula>$P$44</formula>
    </cfRule>
    <cfRule type="cellIs" dxfId="781" priority="26" operator="equal">
      <formula>$P$44</formula>
    </cfRule>
  </conditionalFormatting>
  <conditionalFormatting sqref="Q43">
    <cfRule type="cellIs" dxfId="780" priority="23" operator="notEqual">
      <formula>$Q$44</formula>
    </cfRule>
    <cfRule type="cellIs" dxfId="779" priority="24" operator="equal">
      <formula>$Q$44</formula>
    </cfRule>
  </conditionalFormatting>
  <conditionalFormatting sqref="R43">
    <cfRule type="cellIs" dxfId="778" priority="21" operator="notEqual">
      <formula>$R$44</formula>
    </cfRule>
    <cfRule type="cellIs" dxfId="777" priority="22" operator="equal">
      <formula>$R$44</formula>
    </cfRule>
  </conditionalFormatting>
  <conditionalFormatting sqref="S43">
    <cfRule type="cellIs" dxfId="776" priority="19" operator="notEqual">
      <formula>$S$44</formula>
    </cfRule>
    <cfRule type="cellIs" dxfId="775" priority="20" operator="equal">
      <formula>$S$44</formula>
    </cfRule>
  </conditionalFormatting>
  <conditionalFormatting sqref="T43">
    <cfRule type="cellIs" dxfId="774" priority="17" operator="notEqual">
      <formula>$T$44</formula>
    </cfRule>
    <cfRule type="cellIs" dxfId="773" priority="18" operator="equal">
      <formula>$T$44</formula>
    </cfRule>
  </conditionalFormatting>
  <conditionalFormatting sqref="U43">
    <cfRule type="cellIs" dxfId="772" priority="15" operator="notEqual">
      <formula>$U$44</formula>
    </cfRule>
    <cfRule type="cellIs" dxfId="771" priority="16" operator="equal">
      <formula>$U$44</formula>
    </cfRule>
  </conditionalFormatting>
  <conditionalFormatting sqref="V43">
    <cfRule type="cellIs" dxfId="770" priority="13" operator="notEqual">
      <formula>$V$44</formula>
    </cfRule>
    <cfRule type="cellIs" dxfId="769" priority="14" operator="equal">
      <formula>$V$44</formula>
    </cfRule>
  </conditionalFormatting>
  <conditionalFormatting sqref="W43">
    <cfRule type="cellIs" dxfId="768" priority="11" operator="notEqual">
      <formula>$W$44</formula>
    </cfRule>
    <cfRule type="cellIs" dxfId="767" priority="12" operator="equal">
      <formula>$W$44</formula>
    </cfRule>
  </conditionalFormatting>
  <conditionalFormatting sqref="X43">
    <cfRule type="cellIs" dxfId="766" priority="9" operator="notEqual">
      <formula>$X$44</formula>
    </cfRule>
    <cfRule type="cellIs" dxfId="765" priority="10" operator="equal">
      <formula>$X$44</formula>
    </cfRule>
  </conditionalFormatting>
  <conditionalFormatting sqref="Y43">
    <cfRule type="cellIs" dxfId="764" priority="7" operator="notEqual">
      <formula>$Y$44</formula>
    </cfRule>
    <cfRule type="cellIs" dxfId="763" priority="8" operator="equal">
      <formula>$Y$44</formula>
    </cfRule>
  </conditionalFormatting>
  <conditionalFormatting sqref="Z43">
    <cfRule type="cellIs" dxfId="762" priority="5" operator="notEqual">
      <formula>$Z$44</formula>
    </cfRule>
    <cfRule type="cellIs" dxfId="761" priority="6" operator="equal">
      <formula>$Z$44</formula>
    </cfRule>
  </conditionalFormatting>
  <conditionalFormatting sqref="AA43">
    <cfRule type="cellIs" dxfId="760" priority="3" operator="notEqual">
      <formula>$AA$44</formula>
    </cfRule>
    <cfRule type="cellIs" dxfId="759" priority="4" operator="equal">
      <formula>$AA$44</formula>
    </cfRule>
  </conditionalFormatting>
  <conditionalFormatting sqref="AB43">
    <cfRule type="cellIs" dxfId="758" priority="1" operator="notEqual">
      <formula>$AB$44</formula>
    </cfRule>
    <cfRule type="cellIs" dxfId="757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E049-9FB7-4ADD-B1A5-AB537A6003E7}">
  <sheetPr codeName="Planilha14"/>
  <dimension ref="A1:AB49"/>
  <sheetViews>
    <sheetView showGridLines="0" topLeftCell="Q30" workbookViewId="0">
      <selection activeCell="AB43" sqref="AB43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12" t="s">
        <v>61</v>
      </c>
      <c r="B1" s="112" t="s">
        <v>62</v>
      </c>
      <c r="C1" s="112" t="s">
        <v>63</v>
      </c>
      <c r="D1" s="112" t="s">
        <v>64</v>
      </c>
      <c r="E1" s="112" t="s">
        <v>65</v>
      </c>
      <c r="F1" s="112" t="s">
        <v>15</v>
      </c>
      <c r="G1" s="112" t="s">
        <v>67</v>
      </c>
      <c r="H1" s="112" t="s">
        <v>68</v>
      </c>
      <c r="I1" s="112" t="s">
        <v>460</v>
      </c>
      <c r="J1" s="100"/>
      <c r="L1" s="110" t="s">
        <v>487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8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00"/>
      <c r="L2" s="110" t="s">
        <v>388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</row>
    <row r="3" spans="1:28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00"/>
      <c r="L3" s="110" t="s">
        <v>361</v>
      </c>
      <c r="M3" s="110"/>
      <c r="N3" s="110"/>
      <c r="O3" s="110"/>
      <c r="P3" s="110"/>
      <c r="Q3" s="110"/>
      <c r="R3" s="110" t="s">
        <v>392</v>
      </c>
      <c r="S3" s="110"/>
      <c r="T3" s="110" t="s">
        <v>370</v>
      </c>
      <c r="U3" s="110"/>
      <c r="V3" s="110"/>
      <c r="W3" s="110"/>
      <c r="X3" s="110" t="s">
        <v>380</v>
      </c>
      <c r="Y3" s="110"/>
      <c r="Z3" s="110" t="s">
        <v>383</v>
      </c>
      <c r="AA3" s="110"/>
      <c r="AB3" s="110" t="s">
        <v>369</v>
      </c>
    </row>
    <row r="4" spans="1:28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100"/>
      <c r="L4" s="24" t="s">
        <v>363</v>
      </c>
      <c r="M4" s="24" t="s">
        <v>389</v>
      </c>
      <c r="N4" s="24" t="s">
        <v>390</v>
      </c>
      <c r="O4" s="24" t="s">
        <v>449</v>
      </c>
      <c r="P4" s="24" t="s">
        <v>391</v>
      </c>
      <c r="Q4" s="24" t="s">
        <v>369</v>
      </c>
      <c r="R4" s="24" t="s">
        <v>393</v>
      </c>
      <c r="S4" s="24" t="s">
        <v>369</v>
      </c>
      <c r="T4" s="24" t="s">
        <v>394</v>
      </c>
      <c r="U4" s="24" t="s">
        <v>395</v>
      </c>
      <c r="V4" s="24" t="s">
        <v>396</v>
      </c>
      <c r="W4" s="24" t="s">
        <v>369</v>
      </c>
      <c r="X4" s="24" t="s">
        <v>381</v>
      </c>
      <c r="Y4" s="24" t="s">
        <v>369</v>
      </c>
      <c r="Z4" s="24" t="s">
        <v>397</v>
      </c>
      <c r="AA4" s="24" t="s">
        <v>369</v>
      </c>
      <c r="AB4" s="111"/>
    </row>
    <row r="5" spans="1:28" ht="11.25" customHeight="1" x14ac:dyDescent="0.25">
      <c r="A5" s="113" t="s">
        <v>35</v>
      </c>
      <c r="B5" s="113" t="s">
        <v>70</v>
      </c>
      <c r="C5" s="113" t="s">
        <v>25</v>
      </c>
      <c r="D5" s="113" t="s">
        <v>25</v>
      </c>
      <c r="E5" s="113" t="s">
        <v>25</v>
      </c>
      <c r="F5" s="113" t="s">
        <v>25</v>
      </c>
      <c r="G5" s="22" t="s">
        <v>72</v>
      </c>
      <c r="H5" s="22" t="s">
        <v>71</v>
      </c>
      <c r="I5" s="22">
        <f>'MERCADO TE'!$U$2</f>
        <v>917.02499999999986</v>
      </c>
      <c r="J5" s="15"/>
      <c r="L5" s="20">
        <f>'TE BE'!$L$5*'TE BE'!$L$48</f>
        <v>0</v>
      </c>
      <c r="M5" s="20">
        <f>'TE BE'!$M$5*'TE BE'!$M$48</f>
        <v>0</v>
      </c>
      <c r="N5" s="20">
        <f>'TE BE'!$N$5*'TE BE'!$N$48</f>
        <v>0</v>
      </c>
      <c r="O5" s="20">
        <f>'TE BE'!$O$5*'TE BE'!$O$48</f>
        <v>0</v>
      </c>
      <c r="P5" s="20">
        <f>'TE BE'!$P$5*'TE BE'!$P$48</f>
        <v>0</v>
      </c>
      <c r="Q5" s="20">
        <f>SUM($L$5:$P$5)</f>
        <v>0</v>
      </c>
      <c r="R5" s="20">
        <f>'TE BE'!$R$5*'TE BE'!$R$48</f>
        <v>16.812742139028447</v>
      </c>
      <c r="S5" s="20">
        <f>SUM($R$5:$R$5)</f>
        <v>16.812742139028447</v>
      </c>
      <c r="T5" s="20">
        <f>'TE BE'!$T$5*'TE BE'!$T$48</f>
        <v>0</v>
      </c>
      <c r="U5" s="20">
        <f>'TE BE'!$U$5*'TE BE'!$U$48</f>
        <v>0</v>
      </c>
      <c r="V5" s="20">
        <f>'TE BE'!$V$5*'TE BE'!$V$48</f>
        <v>0</v>
      </c>
      <c r="W5" s="20">
        <f>SUM($T$5:$V$5)</f>
        <v>0</v>
      </c>
      <c r="X5" s="20">
        <f>'TE BE'!$AB$5*'TE BE'!$X$48</f>
        <v>0</v>
      </c>
      <c r="Y5" s="20">
        <f>SUM($X$5:$X$5)</f>
        <v>0</v>
      </c>
      <c r="Z5" s="20">
        <f>'TE BE'!$Z$5*'TE BE'!$Z$48</f>
        <v>0</v>
      </c>
      <c r="AA5" s="20">
        <f>SUM($Z$5:$Z$5)</f>
        <v>0</v>
      </c>
      <c r="AB5" s="20">
        <f>SUMIF($L$4:$AA$4,"SUBTOTAL",$L$5:$AA$5)</f>
        <v>16.812742139028447</v>
      </c>
    </row>
    <row r="6" spans="1:28" ht="11.25" customHeight="1" x14ac:dyDescent="0.25">
      <c r="A6" s="113"/>
      <c r="B6" s="113"/>
      <c r="C6" s="113"/>
      <c r="D6" s="113"/>
      <c r="E6" s="113"/>
      <c r="F6" s="113"/>
      <c r="G6" s="22" t="s">
        <v>73</v>
      </c>
      <c r="H6" s="22" t="s">
        <v>71</v>
      </c>
      <c r="I6" s="22">
        <f>'MERCADO TE'!$U$3</f>
        <v>14461.756000000001</v>
      </c>
      <c r="J6" s="15"/>
      <c r="L6" s="20">
        <f>'TE BE'!$L$6*'TE BE'!$L$48</f>
        <v>0</v>
      </c>
      <c r="M6" s="20">
        <f>'TE BE'!$M$6*'TE BE'!$M$48</f>
        <v>0</v>
      </c>
      <c r="N6" s="20">
        <f>'TE BE'!$N$6*'TE BE'!$N$48</f>
        <v>0</v>
      </c>
      <c r="O6" s="20">
        <f>'TE BE'!$O$6*'TE BE'!$O$48</f>
        <v>0</v>
      </c>
      <c r="P6" s="20">
        <f>'TE BE'!$P$6*'TE BE'!$P$48</f>
        <v>0</v>
      </c>
      <c r="Q6" s="20">
        <f>SUM($L$6:$P$6)</f>
        <v>0</v>
      </c>
      <c r="R6" s="20">
        <f>'TE BE'!$R$6*'TE BE'!$R$48</f>
        <v>16.812742139028447</v>
      </c>
      <c r="S6" s="20">
        <f>SUM($R$6:$R$6)</f>
        <v>16.812742139028447</v>
      </c>
      <c r="T6" s="20">
        <f>'TE BE'!$T$6*'TE BE'!$T$48</f>
        <v>0</v>
      </c>
      <c r="U6" s="20">
        <f>'TE BE'!$U$6*'TE BE'!$U$48</f>
        <v>0</v>
      </c>
      <c r="V6" s="20">
        <f>'TE BE'!$V$6*'TE BE'!$V$48</f>
        <v>0</v>
      </c>
      <c r="W6" s="20">
        <f>SUM($T$6:$V$6)</f>
        <v>0</v>
      </c>
      <c r="X6" s="20">
        <f>'TE BE'!$AB$6*'TE BE'!$X$48</f>
        <v>0</v>
      </c>
      <c r="Y6" s="20">
        <f>SUM($X$6:$X$6)</f>
        <v>0</v>
      </c>
      <c r="Z6" s="20">
        <f>'TE BE'!$Z$6*'TE BE'!$Z$48</f>
        <v>0</v>
      </c>
      <c r="AA6" s="20">
        <f>SUM($Z$6:$Z$6)</f>
        <v>0</v>
      </c>
      <c r="AB6" s="20">
        <f>SUMIF($L$4:$AA$4,"SUBTOTAL",$L$6:$AA$6)</f>
        <v>16.812742139028447</v>
      </c>
    </row>
    <row r="7" spans="1:28" ht="11.25" customHeight="1" x14ac:dyDescent="0.25">
      <c r="A7" s="113" t="s">
        <v>22</v>
      </c>
      <c r="B7" s="113" t="s">
        <v>70</v>
      </c>
      <c r="C7" s="113" t="s">
        <v>24</v>
      </c>
      <c r="D7" s="113" t="s">
        <v>24</v>
      </c>
      <c r="E7" s="113" t="s">
        <v>25</v>
      </c>
      <c r="F7" s="113" t="s">
        <v>25</v>
      </c>
      <c r="G7" s="22" t="s">
        <v>72</v>
      </c>
      <c r="H7" s="22" t="s">
        <v>71</v>
      </c>
      <c r="I7" s="22">
        <f>'MERCADO TE'!$U$4</f>
        <v>0</v>
      </c>
      <c r="J7" s="15"/>
      <c r="L7" s="20">
        <f>'TE BE'!$L$7*'TE BE'!$L$48</f>
        <v>0</v>
      </c>
      <c r="M7" s="20">
        <f>'TE BE'!$M$7*'TE BE'!$M$48</f>
        <v>0</v>
      </c>
      <c r="N7" s="20">
        <f>'TE BE'!$N$7*'TE BE'!$N$48</f>
        <v>0</v>
      </c>
      <c r="O7" s="20">
        <f>'TE BE'!$O$7*'TE BE'!$O$48</f>
        <v>0</v>
      </c>
      <c r="P7" s="20">
        <f>'TE BE'!$P$7*'TE BE'!$P$48</f>
        <v>0</v>
      </c>
      <c r="Q7" s="20">
        <f>SUM($L$7:$P$7)</f>
        <v>0</v>
      </c>
      <c r="R7" s="20">
        <f>'TE BE'!$R$7*'TE BE'!$R$48</f>
        <v>16.812742139028447</v>
      </c>
      <c r="S7" s="20">
        <f>SUM($R$7:$R$7)</f>
        <v>16.812742139028447</v>
      </c>
      <c r="T7" s="20">
        <f>'TE BE'!$T$7*'TE BE'!$T$48</f>
        <v>0</v>
      </c>
      <c r="U7" s="20">
        <f>'TE BE'!$U$7*'TE BE'!$U$48</f>
        <v>0</v>
      </c>
      <c r="V7" s="20">
        <f>'TE BE'!$V$7*'TE BE'!$V$48</f>
        <v>0</v>
      </c>
      <c r="W7" s="20">
        <f>SUM($T$7:$V$7)</f>
        <v>0</v>
      </c>
      <c r="X7" s="20">
        <f>'TE BE'!$AB$7*'TE BE'!$X$48</f>
        <v>0</v>
      </c>
      <c r="Y7" s="20">
        <f>SUM($X$7:$X$7)</f>
        <v>0</v>
      </c>
      <c r="Z7" s="20">
        <f>'TE BE'!$Z$7*'TE BE'!$Z$48</f>
        <v>0</v>
      </c>
      <c r="AA7" s="20">
        <f>SUM($Z$7:$Z$7)</f>
        <v>0</v>
      </c>
      <c r="AB7" s="20">
        <f>SUMIF($L$4:$AA$4,"SUBTOTAL",$L$7:$AA$7)</f>
        <v>16.812742139028447</v>
      </c>
    </row>
    <row r="8" spans="1:28" ht="11.25" customHeight="1" x14ac:dyDescent="0.25">
      <c r="A8" s="113"/>
      <c r="B8" s="113"/>
      <c r="C8" s="113"/>
      <c r="D8" s="113"/>
      <c r="E8" s="113"/>
      <c r="F8" s="113"/>
      <c r="G8" s="22" t="s">
        <v>83</v>
      </c>
      <c r="H8" s="22" t="s">
        <v>71</v>
      </c>
      <c r="I8" s="22">
        <f>'MERCADO TE'!$U$5</f>
        <v>0</v>
      </c>
      <c r="J8" s="15"/>
      <c r="L8" s="20">
        <f>'TE BE'!$L$8*'TE BE'!$L$48</f>
        <v>0</v>
      </c>
      <c r="M8" s="20">
        <f>'TE BE'!$M$8*'TE BE'!$M$48</f>
        <v>0</v>
      </c>
      <c r="N8" s="20">
        <f>'TE BE'!$N$8*'TE BE'!$N$48</f>
        <v>0</v>
      </c>
      <c r="O8" s="20">
        <f>'TE BE'!$O$8*'TE BE'!$O$48</f>
        <v>0</v>
      </c>
      <c r="P8" s="20">
        <f>'TE BE'!$P$8*'TE BE'!$P$48</f>
        <v>0</v>
      </c>
      <c r="Q8" s="20">
        <f>SUM($L$8:$P$8)</f>
        <v>0</v>
      </c>
      <c r="R8" s="20">
        <f>'TE BE'!$R$8*'TE BE'!$R$48</f>
        <v>16.812742139028447</v>
      </c>
      <c r="S8" s="20">
        <f>SUM($R$8:$R$8)</f>
        <v>16.812742139028447</v>
      </c>
      <c r="T8" s="20">
        <f>'TE BE'!$T$8*'TE BE'!$T$48</f>
        <v>0</v>
      </c>
      <c r="U8" s="20">
        <f>'TE BE'!$U$8*'TE BE'!$U$48</f>
        <v>0</v>
      </c>
      <c r="V8" s="20">
        <f>'TE BE'!$V$8*'TE BE'!$V$48</f>
        <v>0</v>
      </c>
      <c r="W8" s="20">
        <f>SUM($T$8:$V$8)</f>
        <v>0</v>
      </c>
      <c r="X8" s="20">
        <f>'TE BE'!$AB$8*'TE BE'!$X$48</f>
        <v>0</v>
      </c>
      <c r="Y8" s="20">
        <f>SUM($X$8:$X$8)</f>
        <v>0</v>
      </c>
      <c r="Z8" s="20">
        <f>'TE BE'!$Z$8*'TE BE'!$Z$48</f>
        <v>0</v>
      </c>
      <c r="AA8" s="20">
        <f>SUM($Z$8:$Z$8)</f>
        <v>0</v>
      </c>
      <c r="AB8" s="20">
        <f>SUMIF($L$4:$AA$4,"SUBTOTAL",$L$8:$AA$8)</f>
        <v>16.812742139028447</v>
      </c>
    </row>
    <row r="9" spans="1:28" ht="11.25" customHeight="1" x14ac:dyDescent="0.25">
      <c r="A9" s="113"/>
      <c r="B9" s="113"/>
      <c r="C9" s="113"/>
      <c r="D9" s="113"/>
      <c r="E9" s="113"/>
      <c r="F9" s="113"/>
      <c r="G9" s="22" t="s">
        <v>73</v>
      </c>
      <c r="H9" s="22" t="s">
        <v>71</v>
      </c>
      <c r="I9" s="22">
        <f>'MERCADO TE'!$U$6</f>
        <v>0</v>
      </c>
      <c r="J9" s="15"/>
      <c r="L9" s="20">
        <f>'TE BE'!$L$9*'TE BE'!$L$48</f>
        <v>0</v>
      </c>
      <c r="M9" s="20">
        <f>'TE BE'!$M$9*'TE BE'!$M$48</f>
        <v>0</v>
      </c>
      <c r="N9" s="20">
        <f>'TE BE'!$N$9*'TE BE'!$N$48</f>
        <v>0</v>
      </c>
      <c r="O9" s="20">
        <f>'TE BE'!$O$9*'TE BE'!$O$48</f>
        <v>0</v>
      </c>
      <c r="P9" s="20">
        <f>'TE BE'!$P$9*'TE BE'!$P$48</f>
        <v>0</v>
      </c>
      <c r="Q9" s="20">
        <f>SUM($L$9:$P$9)</f>
        <v>0</v>
      </c>
      <c r="R9" s="20">
        <f>'TE BE'!$R$9*'TE BE'!$R$48</f>
        <v>16.812742139028447</v>
      </c>
      <c r="S9" s="20">
        <f>SUM($R$9:$R$9)</f>
        <v>16.812742139028447</v>
      </c>
      <c r="T9" s="20">
        <f>'TE BE'!$T$9*'TE BE'!$T$48</f>
        <v>0</v>
      </c>
      <c r="U9" s="20">
        <f>'TE BE'!$U$9*'TE BE'!$U$48</f>
        <v>0</v>
      </c>
      <c r="V9" s="20">
        <f>'TE BE'!$V$9*'TE BE'!$V$48</f>
        <v>0</v>
      </c>
      <c r="W9" s="20">
        <f>SUM($T$9:$V$9)</f>
        <v>0</v>
      </c>
      <c r="X9" s="20">
        <f>'TE BE'!$AB$9*'TE BE'!$X$48</f>
        <v>0</v>
      </c>
      <c r="Y9" s="20">
        <f>SUM($X$9:$X$9)</f>
        <v>0</v>
      </c>
      <c r="Z9" s="20">
        <f>'TE BE'!$Z$9*'TE BE'!$Z$48</f>
        <v>0</v>
      </c>
      <c r="AA9" s="20">
        <f>SUM($Z$9:$Z$9)</f>
        <v>0</v>
      </c>
      <c r="AB9" s="20">
        <f>SUMIF($L$4:$AA$4,"SUBTOTAL",$L$9:$AA$9)</f>
        <v>16.812742139028447</v>
      </c>
    </row>
    <row r="10" spans="1:28" ht="11.25" customHeight="1" x14ac:dyDescent="0.25">
      <c r="A10" s="113"/>
      <c r="B10" s="113" t="s">
        <v>84</v>
      </c>
      <c r="C10" s="113" t="s">
        <v>24</v>
      </c>
      <c r="D10" s="23" t="s">
        <v>24</v>
      </c>
      <c r="E10" s="23" t="s">
        <v>25</v>
      </c>
      <c r="F10" s="23" t="s">
        <v>25</v>
      </c>
      <c r="G10" s="22" t="s">
        <v>77</v>
      </c>
      <c r="H10" s="22" t="s">
        <v>71</v>
      </c>
      <c r="I10" s="22">
        <f>'MERCADO TE'!$U$7</f>
        <v>13817.398000000001</v>
      </c>
      <c r="J10" s="15"/>
      <c r="L10" s="20">
        <f>'TE BE'!$L$10*'TE BE'!$L$48</f>
        <v>0</v>
      </c>
      <c r="M10" s="20">
        <f>'TE BE'!$M$10*'TE BE'!$M$48</f>
        <v>0</v>
      </c>
      <c r="N10" s="20">
        <f>'TE BE'!$N$10*'TE BE'!$N$48</f>
        <v>0</v>
      </c>
      <c r="O10" s="20">
        <f>'TE BE'!$O$10*'TE BE'!$O$48</f>
        <v>0</v>
      </c>
      <c r="P10" s="20">
        <f>'TE BE'!$P$10*'TE BE'!$P$48</f>
        <v>0</v>
      </c>
      <c r="Q10" s="20">
        <f>SUM($L$10:$P$10)</f>
        <v>0</v>
      </c>
      <c r="R10" s="20">
        <f>'TE BE'!$R$10*'TE BE'!$R$48</f>
        <v>16.812742139028447</v>
      </c>
      <c r="S10" s="20">
        <f>SUM($R$10:$R$10)</f>
        <v>16.812742139028447</v>
      </c>
      <c r="T10" s="20">
        <f>'TE BE'!$T$10*'TE BE'!$T$48</f>
        <v>0</v>
      </c>
      <c r="U10" s="20">
        <f>'TE BE'!$U$10*'TE BE'!$U$48</f>
        <v>0</v>
      </c>
      <c r="V10" s="20">
        <f>'TE BE'!$V$10*'TE BE'!$V$48</f>
        <v>0</v>
      </c>
      <c r="W10" s="20">
        <f>SUM($T$10:$V$10)</f>
        <v>0</v>
      </c>
      <c r="X10" s="20">
        <f>'TE BE'!$AB$10*'TE BE'!$X$48</f>
        <v>0</v>
      </c>
      <c r="Y10" s="20">
        <f>SUM($X$10:$X$10)</f>
        <v>0</v>
      </c>
      <c r="Z10" s="20">
        <f>'TE BE'!$Z$10*'TE BE'!$Z$48</f>
        <v>0</v>
      </c>
      <c r="AA10" s="20">
        <f>SUM($Z$10:$Z$10)</f>
        <v>0</v>
      </c>
      <c r="AB10" s="20">
        <f>SUMIF($L$4:$AA$4,"SUBTOTAL",$L$10:$AA$10)</f>
        <v>16.812742139028447</v>
      </c>
    </row>
    <row r="11" spans="1:28" ht="11.25" customHeight="1" x14ac:dyDescent="0.25">
      <c r="A11" s="113"/>
      <c r="B11" s="113"/>
      <c r="C11" s="113"/>
      <c r="D11" s="23" t="s">
        <v>29</v>
      </c>
      <c r="E11" s="23" t="s">
        <v>25</v>
      </c>
      <c r="F11" s="23" t="s">
        <v>25</v>
      </c>
      <c r="G11" s="22" t="s">
        <v>77</v>
      </c>
      <c r="H11" s="22" t="s">
        <v>71</v>
      </c>
      <c r="I11" s="22">
        <f>'MERCADO TE'!$U$8</f>
        <v>152.22200000000001</v>
      </c>
      <c r="J11" s="15"/>
      <c r="L11" s="20">
        <f>'TE BE'!$L$11*'TE BE'!$L$48</f>
        <v>0</v>
      </c>
      <c r="M11" s="20">
        <f>'TE BE'!$M$11*'TE BE'!$M$48</f>
        <v>0</v>
      </c>
      <c r="N11" s="20">
        <f>'TE BE'!$N$11*'TE BE'!$N$48</f>
        <v>0</v>
      </c>
      <c r="O11" s="20">
        <f>'TE BE'!$O$11*'TE BE'!$O$48</f>
        <v>0</v>
      </c>
      <c r="P11" s="20">
        <f>'TE BE'!$P$11*'TE BE'!$P$48</f>
        <v>0</v>
      </c>
      <c r="Q11" s="20">
        <f>SUM($L$11:$P$11)</f>
        <v>0</v>
      </c>
      <c r="R11" s="20">
        <f>'TE BE'!$R$11*'TE BE'!$R$48</f>
        <v>16.812742139028447</v>
      </c>
      <c r="S11" s="20">
        <f>SUM($R$11:$R$11)</f>
        <v>16.812742139028447</v>
      </c>
      <c r="T11" s="20">
        <f>'TE BE'!$T$11*'TE BE'!$T$48</f>
        <v>0</v>
      </c>
      <c r="U11" s="20">
        <f>'TE BE'!$U$11*'TE BE'!$U$48</f>
        <v>0</v>
      </c>
      <c r="V11" s="20">
        <f>'TE BE'!$V$11*'TE BE'!$V$48</f>
        <v>0</v>
      </c>
      <c r="W11" s="20">
        <f>SUM($T$11:$V$11)</f>
        <v>0</v>
      </c>
      <c r="X11" s="20">
        <f>'TE BE'!$AB$11*'TE BE'!$X$48</f>
        <v>0</v>
      </c>
      <c r="Y11" s="20">
        <f>SUM($X$11:$X$11)</f>
        <v>0</v>
      </c>
      <c r="Z11" s="20">
        <f>'TE BE'!$Z$11*'TE BE'!$Z$48</f>
        <v>0</v>
      </c>
      <c r="AA11" s="20">
        <f>SUM($Z$11:$Z$11)</f>
        <v>0</v>
      </c>
      <c r="AB11" s="20">
        <f>SUMIF($L$4:$AA$4,"SUBTOTAL",$L$11:$AA$11)</f>
        <v>16.812742139028447</v>
      </c>
    </row>
    <row r="12" spans="1:28" ht="11.25" customHeight="1" x14ac:dyDescent="0.25">
      <c r="A12" s="113"/>
      <c r="B12" s="113"/>
      <c r="C12" s="113"/>
      <c r="D12" s="23" t="s">
        <v>30</v>
      </c>
      <c r="E12" s="23" t="s">
        <v>25</v>
      </c>
      <c r="F12" s="23" t="s">
        <v>25</v>
      </c>
      <c r="G12" s="22" t="s">
        <v>77</v>
      </c>
      <c r="H12" s="22" t="s">
        <v>71</v>
      </c>
      <c r="I12" s="22">
        <f>'MERCADO TE'!$U$9</f>
        <v>271.62199999999996</v>
      </c>
      <c r="J12" s="15"/>
      <c r="L12" s="20">
        <f>'TE BE'!$L$12*'TE BE'!$L$48</f>
        <v>0</v>
      </c>
      <c r="M12" s="20">
        <f>'TE BE'!$M$12*'TE BE'!$M$48</f>
        <v>0</v>
      </c>
      <c r="N12" s="20">
        <f>'TE BE'!$N$12*'TE BE'!$N$48</f>
        <v>0</v>
      </c>
      <c r="O12" s="20">
        <f>'TE BE'!$O$12*'TE BE'!$O$48</f>
        <v>0</v>
      </c>
      <c r="P12" s="20">
        <f>'TE BE'!$P$12*'TE BE'!$P$48</f>
        <v>0</v>
      </c>
      <c r="Q12" s="20">
        <f>SUM($L$12:$P$12)</f>
        <v>0</v>
      </c>
      <c r="R12" s="20">
        <f>'TE BE'!$R$12*'TE BE'!$R$48</f>
        <v>16.812742139028447</v>
      </c>
      <c r="S12" s="20">
        <f>SUM($R$12:$R$12)</f>
        <v>16.812742139028447</v>
      </c>
      <c r="T12" s="20">
        <f>'TE BE'!$T$12*'TE BE'!$T$48</f>
        <v>0</v>
      </c>
      <c r="U12" s="20">
        <f>'TE BE'!$U$12*'TE BE'!$U$48</f>
        <v>0</v>
      </c>
      <c r="V12" s="20">
        <f>'TE BE'!$V$12*'TE BE'!$V$48</f>
        <v>0</v>
      </c>
      <c r="W12" s="20">
        <f>SUM($T$12:$V$12)</f>
        <v>0</v>
      </c>
      <c r="X12" s="20">
        <f>'TE BE'!$AB$12*'TE BE'!$X$48</f>
        <v>0</v>
      </c>
      <c r="Y12" s="20">
        <f>SUM($X$12:$X$12)</f>
        <v>0</v>
      </c>
      <c r="Z12" s="20">
        <f>'TE BE'!$Z$12*'TE BE'!$Z$48</f>
        <v>0</v>
      </c>
      <c r="AA12" s="20">
        <f>SUM($Z$12:$Z$12)</f>
        <v>0</v>
      </c>
      <c r="AB12" s="20">
        <f>SUMIF($L$4:$AA$4,"SUBTOTAL",$L$12:$AA$12)</f>
        <v>16.812742139028447</v>
      </c>
    </row>
    <row r="13" spans="1:28" ht="11.25" customHeight="1" x14ac:dyDescent="0.25">
      <c r="A13" s="113"/>
      <c r="B13" s="113"/>
      <c r="C13" s="113"/>
      <c r="D13" s="23" t="s">
        <v>31</v>
      </c>
      <c r="E13" s="23" t="s">
        <v>25</v>
      </c>
      <c r="F13" s="23" t="s">
        <v>25</v>
      </c>
      <c r="G13" s="22" t="s">
        <v>77</v>
      </c>
      <c r="H13" s="22" t="s">
        <v>71</v>
      </c>
      <c r="I13" s="22">
        <f>'MERCADO TE'!$U$10</f>
        <v>195.72200000000001</v>
      </c>
      <c r="J13" s="15"/>
      <c r="L13" s="20">
        <f>'TE BE'!$L$13*'TE BE'!$L$48</f>
        <v>0</v>
      </c>
      <c r="M13" s="20">
        <f>'TE BE'!$M$13*'TE BE'!$M$48</f>
        <v>0</v>
      </c>
      <c r="N13" s="20">
        <f>'TE BE'!$N$13*'TE BE'!$N$48</f>
        <v>0</v>
      </c>
      <c r="O13" s="20">
        <f>'TE BE'!$O$13*'TE BE'!$O$48</f>
        <v>0</v>
      </c>
      <c r="P13" s="20">
        <f>'TE BE'!$P$13*'TE BE'!$P$48</f>
        <v>0</v>
      </c>
      <c r="Q13" s="20">
        <f>SUM($L$13:$P$13)</f>
        <v>0</v>
      </c>
      <c r="R13" s="20">
        <f>'TE BE'!$R$13*'TE BE'!$R$48</f>
        <v>16.812742139028447</v>
      </c>
      <c r="S13" s="20">
        <f>SUM($R$13:$R$13)</f>
        <v>16.812742139028447</v>
      </c>
      <c r="T13" s="20">
        <f>'TE BE'!$T$13*'TE BE'!$T$48</f>
        <v>0</v>
      </c>
      <c r="U13" s="20">
        <f>'TE BE'!$U$13*'TE BE'!$U$48</f>
        <v>0</v>
      </c>
      <c r="V13" s="20">
        <f>'TE BE'!$V$13*'TE BE'!$V$48</f>
        <v>0</v>
      </c>
      <c r="W13" s="20">
        <f>SUM($T$13:$V$13)</f>
        <v>0</v>
      </c>
      <c r="X13" s="20">
        <f>'TE BE'!$AB$13*'TE BE'!$X$48</f>
        <v>0</v>
      </c>
      <c r="Y13" s="20">
        <f>SUM($X$13:$X$13)</f>
        <v>0</v>
      </c>
      <c r="Z13" s="20">
        <f>'TE BE'!$Z$13*'TE BE'!$Z$48</f>
        <v>0</v>
      </c>
      <c r="AA13" s="20">
        <f>SUM($Z$13:$Z$13)</f>
        <v>0</v>
      </c>
      <c r="AB13" s="20">
        <f>SUMIF($L$4:$AA$4,"SUBTOTAL",$L$13:$AA$13)</f>
        <v>16.812742139028447</v>
      </c>
    </row>
    <row r="14" spans="1:28" ht="11.25" customHeight="1" x14ac:dyDescent="0.25">
      <c r="A14" s="113"/>
      <c r="B14" s="113"/>
      <c r="C14" s="113"/>
      <c r="D14" s="23" t="s">
        <v>32</v>
      </c>
      <c r="E14" s="23" t="s">
        <v>25</v>
      </c>
      <c r="F14" s="23" t="s">
        <v>25</v>
      </c>
      <c r="G14" s="22" t="s">
        <v>77</v>
      </c>
      <c r="H14" s="22" t="s">
        <v>71</v>
      </c>
      <c r="I14" s="22">
        <f>'MERCADO TE'!$U$11</f>
        <v>56.320999999999998</v>
      </c>
      <c r="J14" s="15"/>
      <c r="L14" s="20">
        <f>'TE BE'!$L$14*'TE BE'!$L$48</f>
        <v>0</v>
      </c>
      <c r="M14" s="20">
        <f>'TE BE'!$M$14*'TE BE'!$M$48</f>
        <v>0</v>
      </c>
      <c r="N14" s="20">
        <f>'TE BE'!$N$14*'TE BE'!$N$48</f>
        <v>0</v>
      </c>
      <c r="O14" s="20">
        <f>'TE BE'!$O$14*'TE BE'!$O$48</f>
        <v>0</v>
      </c>
      <c r="P14" s="20">
        <f>'TE BE'!$P$14*'TE BE'!$P$48</f>
        <v>0</v>
      </c>
      <c r="Q14" s="20">
        <f>SUM($L$14:$P$14)</f>
        <v>0</v>
      </c>
      <c r="R14" s="20">
        <f>'TE BE'!$R$14*'TE BE'!$R$48</f>
        <v>16.812742139028447</v>
      </c>
      <c r="S14" s="20">
        <f>SUM($R$14:$R$14)</f>
        <v>16.812742139028447</v>
      </c>
      <c r="T14" s="20">
        <f>'TE BE'!$T$14*'TE BE'!$T$48</f>
        <v>0</v>
      </c>
      <c r="U14" s="20">
        <f>'TE BE'!$U$14*'TE BE'!$U$48</f>
        <v>0</v>
      </c>
      <c r="V14" s="20">
        <f>'TE BE'!$V$14*'TE BE'!$V$48</f>
        <v>0</v>
      </c>
      <c r="W14" s="20">
        <f>SUM($T$14:$V$14)</f>
        <v>0</v>
      </c>
      <c r="X14" s="20">
        <f>'TE BE'!$AB$14*'TE BE'!$X$48</f>
        <v>0</v>
      </c>
      <c r="Y14" s="20">
        <f>SUM($X$14:$X$14)</f>
        <v>0</v>
      </c>
      <c r="Z14" s="20">
        <f>'TE BE'!$Z$14*'TE BE'!$Z$48</f>
        <v>0</v>
      </c>
      <c r="AA14" s="20">
        <f>SUM($Z$14:$Z$14)</f>
        <v>0</v>
      </c>
      <c r="AB14" s="20">
        <f>SUMIF($L$4:$AA$4,"SUBTOTAL",$L$14:$AA$14)</f>
        <v>16.812742139028447</v>
      </c>
    </row>
    <row r="15" spans="1:28" ht="11.25" customHeight="1" x14ac:dyDescent="0.25">
      <c r="A15" s="113"/>
      <c r="B15" s="113" t="s">
        <v>86</v>
      </c>
      <c r="C15" s="113" t="s">
        <v>24</v>
      </c>
      <c r="D15" s="23" t="s">
        <v>24</v>
      </c>
      <c r="E15" s="23" t="s">
        <v>25</v>
      </c>
      <c r="F15" s="23" t="s">
        <v>25</v>
      </c>
      <c r="G15" s="22" t="s">
        <v>77</v>
      </c>
      <c r="H15" s="22" t="s">
        <v>71</v>
      </c>
      <c r="I15" s="22">
        <f>'MERCADO TE'!$U$12</f>
        <v>0</v>
      </c>
      <c r="J15" s="15"/>
      <c r="L15" s="20">
        <f>'TE BE'!$L$15*'TE BE'!$L$48</f>
        <v>0</v>
      </c>
      <c r="M15" s="20">
        <f>'TE BE'!$M$15*'TE BE'!$M$48</f>
        <v>0</v>
      </c>
      <c r="N15" s="20">
        <f>'TE BE'!$N$15*'TE BE'!$N$48</f>
        <v>0</v>
      </c>
      <c r="O15" s="20">
        <f>'TE BE'!$O$15*'TE BE'!$O$48</f>
        <v>0</v>
      </c>
      <c r="P15" s="20">
        <f>'TE BE'!$P$15*'TE BE'!$P$48</f>
        <v>0</v>
      </c>
      <c r="Q15" s="20">
        <f>SUM($L$15:$P$15)</f>
        <v>0</v>
      </c>
      <c r="R15" s="20">
        <f>'TE BE'!$R$15*'TE BE'!$R$48</f>
        <v>16.812742139028447</v>
      </c>
      <c r="S15" s="20">
        <f>SUM($R$15:$R$15)</f>
        <v>16.812742139028447</v>
      </c>
      <c r="T15" s="20">
        <f>'TE BE'!$T$15*'TE BE'!$T$48</f>
        <v>0</v>
      </c>
      <c r="U15" s="20">
        <f>'TE BE'!$U$15*'TE BE'!$U$48</f>
        <v>0</v>
      </c>
      <c r="V15" s="20">
        <f>'TE BE'!$V$15*'TE BE'!$V$48</f>
        <v>0</v>
      </c>
      <c r="W15" s="20">
        <f>SUM($T$15:$V$15)</f>
        <v>0</v>
      </c>
      <c r="X15" s="20">
        <f>'TE BE'!$AB$15*'TE BE'!$X$48</f>
        <v>0</v>
      </c>
      <c r="Y15" s="20">
        <f>SUM($X$15:$X$15)</f>
        <v>0</v>
      </c>
      <c r="Z15" s="20">
        <f>'TE BE'!$Z$15*'TE BE'!$Z$48</f>
        <v>0</v>
      </c>
      <c r="AA15" s="20">
        <f>SUM($Z$15:$Z$15)</f>
        <v>0</v>
      </c>
      <c r="AB15" s="20">
        <f>SUMIF($L$4:$AA$4,"SUBTOTAL",$L$15:$AA$15)</f>
        <v>16.812742139028447</v>
      </c>
    </row>
    <row r="16" spans="1:28" ht="11.25" customHeight="1" x14ac:dyDescent="0.25">
      <c r="A16" s="113"/>
      <c r="B16" s="113"/>
      <c r="C16" s="113"/>
      <c r="D16" s="23" t="s">
        <v>29</v>
      </c>
      <c r="E16" s="23" t="s">
        <v>25</v>
      </c>
      <c r="F16" s="23" t="s">
        <v>25</v>
      </c>
      <c r="G16" s="22" t="s">
        <v>77</v>
      </c>
      <c r="H16" s="22" t="s">
        <v>71</v>
      </c>
      <c r="I16" s="22">
        <f>'MERCADO TE'!$U$13</f>
        <v>0</v>
      </c>
      <c r="J16" s="15"/>
      <c r="L16" s="20">
        <f>'TE BE'!$L$16*'TE BE'!$L$48</f>
        <v>0</v>
      </c>
      <c r="M16" s="20">
        <f>'TE BE'!$M$16*'TE BE'!$M$48</f>
        <v>0</v>
      </c>
      <c r="N16" s="20">
        <f>'TE BE'!$N$16*'TE BE'!$N$48</f>
        <v>0</v>
      </c>
      <c r="O16" s="20">
        <f>'TE BE'!$O$16*'TE BE'!$O$48</f>
        <v>0</v>
      </c>
      <c r="P16" s="20">
        <f>'TE BE'!$P$16*'TE BE'!$P$48</f>
        <v>0</v>
      </c>
      <c r="Q16" s="20">
        <f>SUM($L$16:$P$16)</f>
        <v>0</v>
      </c>
      <c r="R16" s="20">
        <f>'TE BE'!$R$16*'TE BE'!$R$48</f>
        <v>16.812742139028447</v>
      </c>
      <c r="S16" s="20">
        <f>SUM($R$16:$R$16)</f>
        <v>16.812742139028447</v>
      </c>
      <c r="T16" s="20">
        <f>'TE BE'!$T$16*'TE BE'!$T$48</f>
        <v>0</v>
      </c>
      <c r="U16" s="20">
        <f>'TE BE'!$U$16*'TE BE'!$U$48</f>
        <v>0</v>
      </c>
      <c r="V16" s="20">
        <f>'TE BE'!$V$16*'TE BE'!$V$48</f>
        <v>0</v>
      </c>
      <c r="W16" s="20">
        <f>SUM($T$16:$V$16)</f>
        <v>0</v>
      </c>
      <c r="X16" s="20">
        <f>'TE BE'!$AB$16*'TE BE'!$X$48</f>
        <v>0</v>
      </c>
      <c r="Y16" s="20">
        <f>SUM($X$16:$X$16)</f>
        <v>0</v>
      </c>
      <c r="Z16" s="20">
        <f>'TE BE'!$Z$16*'TE BE'!$Z$48</f>
        <v>0</v>
      </c>
      <c r="AA16" s="20">
        <f>SUM($Z$16:$Z$16)</f>
        <v>0</v>
      </c>
      <c r="AB16" s="20">
        <f>SUMIF($L$4:$AA$4,"SUBTOTAL",$L$16:$AA$16)</f>
        <v>16.812742139028447</v>
      </c>
    </row>
    <row r="17" spans="1:28" ht="11.25" customHeight="1" x14ac:dyDescent="0.25">
      <c r="A17" s="113"/>
      <c r="B17" s="113"/>
      <c r="C17" s="113"/>
      <c r="D17" s="23" t="s">
        <v>30</v>
      </c>
      <c r="E17" s="23" t="s">
        <v>25</v>
      </c>
      <c r="F17" s="23" t="s">
        <v>25</v>
      </c>
      <c r="G17" s="22" t="s">
        <v>77</v>
      </c>
      <c r="H17" s="22" t="s">
        <v>71</v>
      </c>
      <c r="I17" s="22">
        <f>'MERCADO TE'!$U$14</f>
        <v>0</v>
      </c>
      <c r="J17" s="15"/>
      <c r="L17" s="20">
        <f>'TE BE'!$L$17*'TE BE'!$L$48</f>
        <v>0</v>
      </c>
      <c r="M17" s="20">
        <f>'TE BE'!$M$17*'TE BE'!$M$48</f>
        <v>0</v>
      </c>
      <c r="N17" s="20">
        <f>'TE BE'!$N$17*'TE BE'!$N$48</f>
        <v>0</v>
      </c>
      <c r="O17" s="20">
        <f>'TE BE'!$O$17*'TE BE'!$O$48</f>
        <v>0</v>
      </c>
      <c r="P17" s="20">
        <f>'TE BE'!$P$17*'TE BE'!$P$48</f>
        <v>0</v>
      </c>
      <c r="Q17" s="20">
        <f>SUM($L$17:$P$17)</f>
        <v>0</v>
      </c>
      <c r="R17" s="20">
        <f>'TE BE'!$R$17*'TE BE'!$R$48</f>
        <v>16.812742139028447</v>
      </c>
      <c r="S17" s="20">
        <f>SUM($R$17:$R$17)</f>
        <v>16.812742139028447</v>
      </c>
      <c r="T17" s="20">
        <f>'TE BE'!$T$17*'TE BE'!$T$48</f>
        <v>0</v>
      </c>
      <c r="U17" s="20">
        <f>'TE BE'!$U$17*'TE BE'!$U$48</f>
        <v>0</v>
      </c>
      <c r="V17" s="20">
        <f>'TE BE'!$V$17*'TE BE'!$V$48</f>
        <v>0</v>
      </c>
      <c r="W17" s="20">
        <f>SUM($T$17:$V$17)</f>
        <v>0</v>
      </c>
      <c r="X17" s="20">
        <f>'TE BE'!$AB$17*'TE BE'!$X$48</f>
        <v>0</v>
      </c>
      <c r="Y17" s="20">
        <f>SUM($X$17:$X$17)</f>
        <v>0</v>
      </c>
      <c r="Z17" s="20">
        <f>'TE BE'!$Z$17*'TE BE'!$Z$48</f>
        <v>0</v>
      </c>
      <c r="AA17" s="20">
        <f>SUM($Z$17:$Z$17)</f>
        <v>0</v>
      </c>
      <c r="AB17" s="20">
        <f>SUMIF($L$4:$AA$4,"SUBTOTAL",$L$17:$AA$17)</f>
        <v>16.812742139028447</v>
      </c>
    </row>
    <row r="18" spans="1:28" ht="11.25" customHeight="1" x14ac:dyDescent="0.25">
      <c r="A18" s="113"/>
      <c r="B18" s="113"/>
      <c r="C18" s="113"/>
      <c r="D18" s="23" t="s">
        <v>31</v>
      </c>
      <c r="E18" s="23" t="s">
        <v>25</v>
      </c>
      <c r="F18" s="23" t="s">
        <v>25</v>
      </c>
      <c r="G18" s="22" t="s">
        <v>77</v>
      </c>
      <c r="H18" s="22" t="s">
        <v>71</v>
      </c>
      <c r="I18" s="22">
        <f>'MERCADO TE'!$U$15</f>
        <v>0</v>
      </c>
      <c r="J18" s="15"/>
      <c r="L18" s="20">
        <f>'TE BE'!$L$18*'TE BE'!$L$48</f>
        <v>0</v>
      </c>
      <c r="M18" s="20">
        <f>'TE BE'!$M$18*'TE BE'!$M$48</f>
        <v>0</v>
      </c>
      <c r="N18" s="20">
        <f>'TE BE'!$N$18*'TE BE'!$N$48</f>
        <v>0</v>
      </c>
      <c r="O18" s="20">
        <f>'TE BE'!$O$18*'TE BE'!$O$48</f>
        <v>0</v>
      </c>
      <c r="P18" s="20">
        <f>'TE BE'!$P$18*'TE BE'!$P$48</f>
        <v>0</v>
      </c>
      <c r="Q18" s="20">
        <f>SUM($L$18:$P$18)</f>
        <v>0</v>
      </c>
      <c r="R18" s="20">
        <f>'TE BE'!$R$18*'TE BE'!$R$48</f>
        <v>16.812742139028447</v>
      </c>
      <c r="S18" s="20">
        <f>SUM($R$18:$R$18)</f>
        <v>16.812742139028447</v>
      </c>
      <c r="T18" s="20">
        <f>'TE BE'!$T$18*'TE BE'!$T$48</f>
        <v>0</v>
      </c>
      <c r="U18" s="20">
        <f>'TE BE'!$U$18*'TE BE'!$U$48</f>
        <v>0</v>
      </c>
      <c r="V18" s="20">
        <f>'TE BE'!$V$18*'TE BE'!$V$48</f>
        <v>0</v>
      </c>
      <c r="W18" s="20">
        <f>SUM($T$18:$V$18)</f>
        <v>0</v>
      </c>
      <c r="X18" s="20">
        <f>'TE BE'!$AB$18*'TE BE'!$X$48</f>
        <v>0</v>
      </c>
      <c r="Y18" s="20">
        <f>SUM($X$18:$X$18)</f>
        <v>0</v>
      </c>
      <c r="Z18" s="20">
        <f>'TE BE'!$Z$18*'TE BE'!$Z$48</f>
        <v>0</v>
      </c>
      <c r="AA18" s="20">
        <f>SUM($Z$18:$Z$18)</f>
        <v>0</v>
      </c>
      <c r="AB18" s="20">
        <f>SUMIF($L$4:$AA$4,"SUBTOTAL",$L$18:$AA$18)</f>
        <v>16.812742139028447</v>
      </c>
    </row>
    <row r="19" spans="1:28" ht="11.25" customHeight="1" x14ac:dyDescent="0.25">
      <c r="A19" s="113"/>
      <c r="B19" s="113"/>
      <c r="C19" s="113"/>
      <c r="D19" s="23" t="s">
        <v>32</v>
      </c>
      <c r="E19" s="23" t="s">
        <v>25</v>
      </c>
      <c r="F19" s="23" t="s">
        <v>25</v>
      </c>
      <c r="G19" s="22" t="s">
        <v>77</v>
      </c>
      <c r="H19" s="22" t="s">
        <v>71</v>
      </c>
      <c r="I19" s="22">
        <f>'MERCADO TE'!$U$16</f>
        <v>0</v>
      </c>
      <c r="J19" s="15"/>
      <c r="L19" s="20">
        <f>'TE BE'!$L$19*'TE BE'!$L$48</f>
        <v>0</v>
      </c>
      <c r="M19" s="20">
        <f>'TE BE'!$M$19*'TE BE'!$M$48</f>
        <v>0</v>
      </c>
      <c r="N19" s="20">
        <f>'TE BE'!$N$19*'TE BE'!$N$48</f>
        <v>0</v>
      </c>
      <c r="O19" s="20">
        <f>'TE BE'!$O$19*'TE BE'!$O$48</f>
        <v>0</v>
      </c>
      <c r="P19" s="20">
        <f>'TE BE'!$P$19*'TE BE'!$P$48</f>
        <v>0</v>
      </c>
      <c r="Q19" s="20">
        <f>SUM($L$19:$P$19)</f>
        <v>0</v>
      </c>
      <c r="R19" s="20">
        <f>'TE BE'!$R$19*'TE BE'!$R$48</f>
        <v>16.812742139028447</v>
      </c>
      <c r="S19" s="20">
        <f>SUM($R$19:$R$19)</f>
        <v>16.812742139028447</v>
      </c>
      <c r="T19" s="20">
        <f>'TE BE'!$T$19*'TE BE'!$T$48</f>
        <v>0</v>
      </c>
      <c r="U19" s="20">
        <f>'TE BE'!$U$19*'TE BE'!$U$48</f>
        <v>0</v>
      </c>
      <c r="V19" s="20">
        <f>'TE BE'!$V$19*'TE BE'!$V$48</f>
        <v>0</v>
      </c>
      <c r="W19" s="20">
        <f>SUM($T$19:$V$19)</f>
        <v>0</v>
      </c>
      <c r="X19" s="20">
        <f>'TE BE'!$AB$19*'TE BE'!$X$48</f>
        <v>0</v>
      </c>
      <c r="Y19" s="20">
        <f>SUM($X$19:$X$19)</f>
        <v>0</v>
      </c>
      <c r="Z19" s="20">
        <f>'TE BE'!$Z$19*'TE BE'!$Z$48</f>
        <v>0</v>
      </c>
      <c r="AA19" s="20">
        <f>SUM($Z$19:$Z$19)</f>
        <v>0</v>
      </c>
      <c r="AB19" s="20">
        <f>SUMIF($L$4:$AA$4,"SUBTOTAL",$L$19:$AA$19)</f>
        <v>16.812742139028447</v>
      </c>
    </row>
    <row r="20" spans="1:28" ht="11.25" customHeight="1" x14ac:dyDescent="0.25">
      <c r="A20" s="113" t="s">
        <v>40</v>
      </c>
      <c r="B20" s="113" t="s">
        <v>70</v>
      </c>
      <c r="C20" s="113" t="s">
        <v>41</v>
      </c>
      <c r="D20" s="113" t="s">
        <v>25</v>
      </c>
      <c r="E20" s="113" t="s">
        <v>25</v>
      </c>
      <c r="F20" s="113" t="s">
        <v>25</v>
      </c>
      <c r="G20" s="22" t="s">
        <v>72</v>
      </c>
      <c r="H20" s="22" t="s">
        <v>71</v>
      </c>
      <c r="I20" s="22">
        <f>'MERCADO TE'!$U$17</f>
        <v>0</v>
      </c>
      <c r="J20" s="15"/>
      <c r="L20" s="20">
        <f>'TE BE'!$L$20*'TE BE'!$L$48</f>
        <v>0</v>
      </c>
      <c r="M20" s="20">
        <f>'TE BE'!$M$20*'TE BE'!$M$48</f>
        <v>0</v>
      </c>
      <c r="N20" s="20">
        <f>'TE BE'!$N$20*'TE BE'!$N$48</f>
        <v>0</v>
      </c>
      <c r="O20" s="20">
        <f>'TE BE'!$O$20*'TE BE'!$O$48</f>
        <v>0</v>
      </c>
      <c r="P20" s="20">
        <f>'TE BE'!$P$20*'TE BE'!$P$48</f>
        <v>0</v>
      </c>
      <c r="Q20" s="20">
        <f>SUM($L$20:$P$20)</f>
        <v>0</v>
      </c>
      <c r="R20" s="20">
        <f>'TE BE'!$R$20*'TE BE'!$R$48</f>
        <v>16.812742139028447</v>
      </c>
      <c r="S20" s="20">
        <f>SUM($R$20:$R$20)</f>
        <v>16.812742139028447</v>
      </c>
      <c r="T20" s="20">
        <f>'TE BE'!$T$20*'TE BE'!$T$48</f>
        <v>0</v>
      </c>
      <c r="U20" s="20">
        <f>'TE BE'!$U$20*'TE BE'!$U$48</f>
        <v>0</v>
      </c>
      <c r="V20" s="20">
        <f>'TE BE'!$V$20*'TE BE'!$V$48</f>
        <v>0</v>
      </c>
      <c r="W20" s="20">
        <f>SUM($T$20:$V$20)</f>
        <v>0</v>
      </c>
      <c r="X20" s="20">
        <f>'TE BE'!$AB$20*'TE BE'!$X$48</f>
        <v>0</v>
      </c>
      <c r="Y20" s="20">
        <f>SUM($X$20:$X$20)</f>
        <v>0</v>
      </c>
      <c r="Z20" s="20">
        <f>'TE BE'!$Z$20*'TE BE'!$Z$48</f>
        <v>0</v>
      </c>
      <c r="AA20" s="20">
        <f>SUM($Z$20:$Z$20)</f>
        <v>0</v>
      </c>
      <c r="AB20" s="20">
        <f>SUMIF($L$4:$AA$4,"SUBTOTAL",$L$20:$AA$20)</f>
        <v>16.812742139028447</v>
      </c>
    </row>
    <row r="21" spans="1:28" ht="11.25" customHeight="1" x14ac:dyDescent="0.25">
      <c r="A21" s="113"/>
      <c r="B21" s="113"/>
      <c r="C21" s="113"/>
      <c r="D21" s="113"/>
      <c r="E21" s="113"/>
      <c r="F21" s="113"/>
      <c r="G21" s="22" t="s">
        <v>83</v>
      </c>
      <c r="H21" s="22" t="s">
        <v>71</v>
      </c>
      <c r="I21" s="22">
        <f>'MERCADO TE'!$U$18</f>
        <v>0</v>
      </c>
      <c r="J21" s="15"/>
      <c r="L21" s="20">
        <f>'TE BE'!$L$21*'TE BE'!$L$48</f>
        <v>0</v>
      </c>
      <c r="M21" s="20">
        <f>'TE BE'!$M$21*'TE BE'!$M$48</f>
        <v>0</v>
      </c>
      <c r="N21" s="20">
        <f>'TE BE'!$N$21*'TE BE'!$N$48</f>
        <v>0</v>
      </c>
      <c r="O21" s="20">
        <f>'TE BE'!$O$21*'TE BE'!$O$48</f>
        <v>0</v>
      </c>
      <c r="P21" s="20">
        <f>'TE BE'!$P$21*'TE BE'!$P$48</f>
        <v>0</v>
      </c>
      <c r="Q21" s="20">
        <f>SUM($L$21:$P$21)</f>
        <v>0</v>
      </c>
      <c r="R21" s="20">
        <f>'TE BE'!$R$21*'TE BE'!$R$48</f>
        <v>16.812742139028447</v>
      </c>
      <c r="S21" s="20">
        <f>SUM($R$21:$R$21)</f>
        <v>16.812742139028447</v>
      </c>
      <c r="T21" s="20">
        <f>'TE BE'!$T$21*'TE BE'!$T$48</f>
        <v>0</v>
      </c>
      <c r="U21" s="20">
        <f>'TE BE'!$U$21*'TE BE'!$U$48</f>
        <v>0</v>
      </c>
      <c r="V21" s="20">
        <f>'TE BE'!$V$21*'TE BE'!$V$48</f>
        <v>0</v>
      </c>
      <c r="W21" s="20">
        <f>SUM($T$21:$V$21)</f>
        <v>0</v>
      </c>
      <c r="X21" s="20">
        <f>'TE BE'!$AB$21*'TE BE'!$X$48</f>
        <v>0</v>
      </c>
      <c r="Y21" s="20">
        <f>SUM($X$21:$X$21)</f>
        <v>0</v>
      </c>
      <c r="Z21" s="20">
        <f>'TE BE'!$Z$21*'TE BE'!$Z$48</f>
        <v>0</v>
      </c>
      <c r="AA21" s="20">
        <f>SUM($Z$21:$Z$21)</f>
        <v>0</v>
      </c>
      <c r="AB21" s="20">
        <f>SUMIF($L$4:$AA$4,"SUBTOTAL",$L$21:$AA$21)</f>
        <v>16.812742139028447</v>
      </c>
    </row>
    <row r="22" spans="1:28" ht="11.25" customHeight="1" x14ac:dyDescent="0.25">
      <c r="A22" s="113"/>
      <c r="B22" s="113"/>
      <c r="C22" s="113"/>
      <c r="D22" s="113"/>
      <c r="E22" s="113"/>
      <c r="F22" s="113"/>
      <c r="G22" s="22" t="s">
        <v>73</v>
      </c>
      <c r="H22" s="22" t="s">
        <v>71</v>
      </c>
      <c r="I22" s="22">
        <f>'MERCADO TE'!$U$19</f>
        <v>0</v>
      </c>
      <c r="J22" s="15"/>
      <c r="L22" s="20">
        <f>'TE BE'!$L$22*'TE BE'!$L$48</f>
        <v>0</v>
      </c>
      <c r="M22" s="20">
        <f>'TE BE'!$M$22*'TE BE'!$M$48</f>
        <v>0</v>
      </c>
      <c r="N22" s="20">
        <f>'TE BE'!$N$22*'TE BE'!$N$48</f>
        <v>0</v>
      </c>
      <c r="O22" s="20">
        <f>'TE BE'!$O$22*'TE BE'!$O$48</f>
        <v>0</v>
      </c>
      <c r="P22" s="20">
        <f>'TE BE'!$P$22*'TE BE'!$P$48</f>
        <v>0</v>
      </c>
      <c r="Q22" s="20">
        <f>SUM($L$22:$P$22)</f>
        <v>0</v>
      </c>
      <c r="R22" s="20">
        <f>'TE BE'!$R$22*'TE BE'!$R$48</f>
        <v>16.812742139028447</v>
      </c>
      <c r="S22" s="20">
        <f>SUM($R$22:$R$22)</f>
        <v>16.812742139028447</v>
      </c>
      <c r="T22" s="20">
        <f>'TE BE'!$T$22*'TE BE'!$T$48</f>
        <v>0</v>
      </c>
      <c r="U22" s="20">
        <f>'TE BE'!$U$22*'TE BE'!$U$48</f>
        <v>0</v>
      </c>
      <c r="V22" s="20">
        <f>'TE BE'!$V$22*'TE BE'!$V$48</f>
        <v>0</v>
      </c>
      <c r="W22" s="20">
        <f>SUM($T$22:$V$22)</f>
        <v>0</v>
      </c>
      <c r="X22" s="20">
        <f>'TE BE'!$AB$22*'TE BE'!$X$48</f>
        <v>0</v>
      </c>
      <c r="Y22" s="20">
        <f>SUM($X$22:$X$22)</f>
        <v>0</v>
      </c>
      <c r="Z22" s="20">
        <f>'TE BE'!$Z$22*'TE BE'!$Z$48</f>
        <v>0</v>
      </c>
      <c r="AA22" s="20">
        <f>SUM($Z$22:$Z$22)</f>
        <v>0</v>
      </c>
      <c r="AB22" s="20">
        <f>SUMIF($L$4:$AA$4,"SUBTOTAL",$L$22:$AA$22)</f>
        <v>16.812742139028447</v>
      </c>
    </row>
    <row r="23" spans="1:28" ht="11.25" customHeight="1" x14ac:dyDescent="0.25">
      <c r="A23" s="113"/>
      <c r="B23" s="23" t="s">
        <v>84</v>
      </c>
      <c r="C23" s="23" t="s">
        <v>41</v>
      </c>
      <c r="D23" s="23" t="s">
        <v>25</v>
      </c>
      <c r="E23" s="23" t="s">
        <v>25</v>
      </c>
      <c r="F23" s="23" t="s">
        <v>25</v>
      </c>
      <c r="G23" s="22" t="s">
        <v>77</v>
      </c>
      <c r="H23" s="22" t="s">
        <v>71</v>
      </c>
      <c r="I23" s="22">
        <f>'MERCADO TE'!$U$20</f>
        <v>47790.548000000003</v>
      </c>
      <c r="J23" s="15"/>
      <c r="L23" s="20">
        <f>'TE BE'!$L$23*'TE BE'!$L$48</f>
        <v>0</v>
      </c>
      <c r="M23" s="20">
        <f>'TE BE'!$M$23*'TE BE'!$M$48</f>
        <v>0</v>
      </c>
      <c r="N23" s="20">
        <f>'TE BE'!$N$23*'TE BE'!$N$48</f>
        <v>0</v>
      </c>
      <c r="O23" s="20">
        <f>'TE BE'!$O$23*'TE BE'!$O$48</f>
        <v>0</v>
      </c>
      <c r="P23" s="20">
        <f>'TE BE'!$P$23*'TE BE'!$P$48</f>
        <v>0</v>
      </c>
      <c r="Q23" s="20">
        <f>SUM($L$23:$P$23)</f>
        <v>0</v>
      </c>
      <c r="R23" s="20">
        <f>'TE BE'!$R$23*'TE BE'!$R$48</f>
        <v>16.812742139028447</v>
      </c>
      <c r="S23" s="20">
        <f>SUM($R$23:$R$23)</f>
        <v>16.812742139028447</v>
      </c>
      <c r="T23" s="20">
        <f>'TE BE'!$T$23*'TE BE'!$T$48</f>
        <v>0</v>
      </c>
      <c r="U23" s="20">
        <f>'TE BE'!$U$23*'TE BE'!$U$48</f>
        <v>0</v>
      </c>
      <c r="V23" s="20">
        <f>'TE BE'!$V$23*'TE BE'!$V$48</f>
        <v>0</v>
      </c>
      <c r="W23" s="20">
        <f>SUM($T$23:$V$23)</f>
        <v>0</v>
      </c>
      <c r="X23" s="20">
        <f>'TE BE'!$AB$23*'TE BE'!$X$48</f>
        <v>0</v>
      </c>
      <c r="Y23" s="20">
        <f>SUM($X$23:$X$23)</f>
        <v>0</v>
      </c>
      <c r="Z23" s="20">
        <f>'TE BE'!$Z$23*'TE BE'!$Z$48</f>
        <v>0</v>
      </c>
      <c r="AA23" s="20">
        <f>SUM($Z$23:$Z$23)</f>
        <v>0</v>
      </c>
      <c r="AB23" s="20">
        <f>SUMIF($L$4:$AA$4,"SUBTOTAL",$L$23:$AA$23)</f>
        <v>16.812742139028447</v>
      </c>
    </row>
    <row r="24" spans="1:28" ht="11.25" customHeight="1" x14ac:dyDescent="0.25">
      <c r="A24" s="113"/>
      <c r="B24" s="113" t="s">
        <v>70</v>
      </c>
      <c r="C24" s="113" t="s">
        <v>41</v>
      </c>
      <c r="D24" s="113" t="s">
        <v>88</v>
      </c>
      <c r="E24" s="113" t="s">
        <v>25</v>
      </c>
      <c r="F24" s="113" t="s">
        <v>25</v>
      </c>
      <c r="G24" s="22" t="s">
        <v>72</v>
      </c>
      <c r="H24" s="22" t="s">
        <v>71</v>
      </c>
      <c r="I24" s="22">
        <f>'MERCADO TE'!$U$21</f>
        <v>0</v>
      </c>
      <c r="J24" s="15"/>
      <c r="L24" s="20">
        <f>'TE BE'!$L$24*'TE BE'!$L$48</f>
        <v>0</v>
      </c>
      <c r="M24" s="20">
        <f>'TE BE'!$M$24*'TE BE'!$M$48</f>
        <v>0</v>
      </c>
      <c r="N24" s="20">
        <f>'TE BE'!$N$24*'TE BE'!$N$48</f>
        <v>0</v>
      </c>
      <c r="O24" s="20">
        <f>'TE BE'!$O$24*'TE BE'!$O$48</f>
        <v>0</v>
      </c>
      <c r="P24" s="20">
        <f>'TE BE'!$P$24*'TE BE'!$P$48</f>
        <v>0</v>
      </c>
      <c r="Q24" s="20">
        <f>SUM($L$24:$P$24)</f>
        <v>0</v>
      </c>
      <c r="R24" s="20">
        <f>'TE BE'!$R$24*'TE BE'!$R$48</f>
        <v>16.812742139028447</v>
      </c>
      <c r="S24" s="20">
        <f>SUM($R$24:$R$24)</f>
        <v>16.812742139028447</v>
      </c>
      <c r="T24" s="20">
        <f>'TE BE'!$T$24*'TE BE'!$T$48</f>
        <v>0</v>
      </c>
      <c r="U24" s="20">
        <f>'TE BE'!$U$24*'TE BE'!$U$48</f>
        <v>0</v>
      </c>
      <c r="V24" s="20">
        <f>'TE BE'!$V$24*'TE BE'!$V$48</f>
        <v>0</v>
      </c>
      <c r="W24" s="20">
        <f>SUM($T$24:$V$24)</f>
        <v>0</v>
      </c>
      <c r="X24" s="20">
        <f>'TE BE'!$AB$24*'TE BE'!$X$48</f>
        <v>0</v>
      </c>
      <c r="Y24" s="20">
        <f>SUM($X$24:$X$24)</f>
        <v>0</v>
      </c>
      <c r="Z24" s="20">
        <f>'TE BE'!$Z$24*'TE BE'!$Z$48</f>
        <v>0</v>
      </c>
      <c r="AA24" s="20">
        <f>SUM($Z$24:$Z$24)</f>
        <v>0</v>
      </c>
      <c r="AB24" s="20">
        <f>SUMIF($L$4:$AA$4,"SUBTOTAL",$L$24:$AA$24)</f>
        <v>16.812742139028447</v>
      </c>
    </row>
    <row r="25" spans="1:28" ht="11.25" customHeight="1" x14ac:dyDescent="0.25">
      <c r="A25" s="113"/>
      <c r="B25" s="113"/>
      <c r="C25" s="113"/>
      <c r="D25" s="113"/>
      <c r="E25" s="113"/>
      <c r="F25" s="113"/>
      <c r="G25" s="22" t="s">
        <v>83</v>
      </c>
      <c r="H25" s="22" t="s">
        <v>71</v>
      </c>
      <c r="I25" s="22">
        <f>'MERCADO TE'!$U$22</f>
        <v>0</v>
      </c>
      <c r="J25" s="15"/>
      <c r="L25" s="20">
        <f>'TE BE'!$L$25*'TE BE'!$L$48</f>
        <v>0</v>
      </c>
      <c r="M25" s="20">
        <f>'TE BE'!$M$25*'TE BE'!$M$48</f>
        <v>0</v>
      </c>
      <c r="N25" s="20">
        <f>'TE BE'!$N$25*'TE BE'!$N$48</f>
        <v>0</v>
      </c>
      <c r="O25" s="20">
        <f>'TE BE'!$O$25*'TE BE'!$O$48</f>
        <v>0</v>
      </c>
      <c r="P25" s="20">
        <f>'TE BE'!$P$25*'TE BE'!$P$48</f>
        <v>0</v>
      </c>
      <c r="Q25" s="20">
        <f>SUM($L$25:$P$25)</f>
        <v>0</v>
      </c>
      <c r="R25" s="20">
        <f>'TE BE'!$R$25*'TE BE'!$R$48</f>
        <v>16.812742139028447</v>
      </c>
      <c r="S25" s="20">
        <f>SUM($R$25:$R$25)</f>
        <v>16.812742139028447</v>
      </c>
      <c r="T25" s="20">
        <f>'TE BE'!$T$25*'TE BE'!$T$48</f>
        <v>0</v>
      </c>
      <c r="U25" s="20">
        <f>'TE BE'!$U$25*'TE BE'!$U$48</f>
        <v>0</v>
      </c>
      <c r="V25" s="20">
        <f>'TE BE'!$V$25*'TE BE'!$V$48</f>
        <v>0</v>
      </c>
      <c r="W25" s="20">
        <f>SUM($T$25:$V$25)</f>
        <v>0</v>
      </c>
      <c r="X25" s="20">
        <f>'TE BE'!$AB$25*'TE BE'!$X$48</f>
        <v>0</v>
      </c>
      <c r="Y25" s="20">
        <f>SUM($X$25:$X$25)</f>
        <v>0</v>
      </c>
      <c r="Z25" s="20">
        <f>'TE BE'!$Z$25*'TE BE'!$Z$48</f>
        <v>0</v>
      </c>
      <c r="AA25" s="20">
        <f>SUM($Z$25:$Z$25)</f>
        <v>0</v>
      </c>
      <c r="AB25" s="20">
        <f>SUMIF($L$4:$AA$4,"SUBTOTAL",$L$25:$AA$25)</f>
        <v>16.812742139028447</v>
      </c>
    </row>
    <row r="26" spans="1:28" ht="11.25" customHeight="1" x14ac:dyDescent="0.25">
      <c r="A26" s="113"/>
      <c r="B26" s="113"/>
      <c r="C26" s="113"/>
      <c r="D26" s="113"/>
      <c r="E26" s="113"/>
      <c r="F26" s="113"/>
      <c r="G26" s="22" t="s">
        <v>73</v>
      </c>
      <c r="H26" s="22" t="s">
        <v>71</v>
      </c>
      <c r="I26" s="22">
        <f>'MERCADO TE'!$U$23</f>
        <v>0</v>
      </c>
      <c r="J26" s="15"/>
      <c r="L26" s="20">
        <f>'TE BE'!$L$26*'TE BE'!$L$48</f>
        <v>0</v>
      </c>
      <c r="M26" s="20">
        <f>'TE BE'!$M$26*'TE BE'!$M$48</f>
        <v>0</v>
      </c>
      <c r="N26" s="20">
        <f>'TE BE'!$N$26*'TE BE'!$N$48</f>
        <v>0</v>
      </c>
      <c r="O26" s="20">
        <f>'TE BE'!$O$26*'TE BE'!$O$48</f>
        <v>0</v>
      </c>
      <c r="P26" s="20">
        <f>'TE BE'!$P$26*'TE BE'!$P$48</f>
        <v>0</v>
      </c>
      <c r="Q26" s="20">
        <f>SUM($L$26:$P$26)</f>
        <v>0</v>
      </c>
      <c r="R26" s="20">
        <f>'TE BE'!$R$26*'TE BE'!$R$48</f>
        <v>16.812742139028447</v>
      </c>
      <c r="S26" s="20">
        <f>SUM($R$26:$R$26)</f>
        <v>16.812742139028447</v>
      </c>
      <c r="T26" s="20">
        <f>'TE BE'!$T$26*'TE BE'!$T$48</f>
        <v>0</v>
      </c>
      <c r="U26" s="20">
        <f>'TE BE'!$U$26*'TE BE'!$U$48</f>
        <v>0</v>
      </c>
      <c r="V26" s="20">
        <f>'TE BE'!$V$26*'TE BE'!$V$48</f>
        <v>0</v>
      </c>
      <c r="W26" s="20">
        <f>SUM($T$26:$V$26)</f>
        <v>0</v>
      </c>
      <c r="X26" s="20">
        <f>'TE BE'!$AB$26*'TE BE'!$X$48</f>
        <v>0</v>
      </c>
      <c r="Y26" s="20">
        <f>SUM($X$26:$X$26)</f>
        <v>0</v>
      </c>
      <c r="Z26" s="20">
        <f>'TE BE'!$Z$26*'TE BE'!$Z$48</f>
        <v>0</v>
      </c>
      <c r="AA26" s="20">
        <f>SUM($Z$26:$Z$26)</f>
        <v>0</v>
      </c>
      <c r="AB26" s="20">
        <f>SUMIF($L$4:$AA$4,"SUBTOTAL",$L$26:$AA$26)</f>
        <v>16.812742139028447</v>
      </c>
    </row>
    <row r="27" spans="1:28" ht="11.25" customHeight="1" x14ac:dyDescent="0.25">
      <c r="A27" s="113"/>
      <c r="B27" s="23" t="s">
        <v>84</v>
      </c>
      <c r="C27" s="23" t="s">
        <v>41</v>
      </c>
      <c r="D27" s="23" t="s">
        <v>88</v>
      </c>
      <c r="E27" s="23" t="s">
        <v>25</v>
      </c>
      <c r="F27" s="23" t="s">
        <v>25</v>
      </c>
      <c r="G27" s="22" t="s">
        <v>77</v>
      </c>
      <c r="H27" s="22" t="s">
        <v>71</v>
      </c>
      <c r="I27" s="22">
        <f>'MERCADO TE'!$U$24</f>
        <v>0</v>
      </c>
      <c r="J27" s="15"/>
      <c r="L27" s="20">
        <f>'TE BE'!$L$27*'TE BE'!$L$48</f>
        <v>0</v>
      </c>
      <c r="M27" s="20">
        <f>'TE BE'!$M$27*'TE BE'!$M$48</f>
        <v>0</v>
      </c>
      <c r="N27" s="20">
        <f>'TE BE'!$N$27*'TE BE'!$N$48</f>
        <v>0</v>
      </c>
      <c r="O27" s="20">
        <f>'TE BE'!$O$27*'TE BE'!$O$48</f>
        <v>0</v>
      </c>
      <c r="P27" s="20">
        <f>'TE BE'!$P$27*'TE BE'!$P$48</f>
        <v>0</v>
      </c>
      <c r="Q27" s="20">
        <f>SUM($L$27:$P$27)</f>
        <v>0</v>
      </c>
      <c r="R27" s="20">
        <f>'TE BE'!$R$27*'TE BE'!$R$48</f>
        <v>16.812742139028447</v>
      </c>
      <c r="S27" s="20">
        <f>SUM($R$27:$R$27)</f>
        <v>16.812742139028447</v>
      </c>
      <c r="T27" s="20">
        <f>'TE BE'!$T$27*'TE BE'!$T$48</f>
        <v>0</v>
      </c>
      <c r="U27" s="20">
        <f>'TE BE'!$U$27*'TE BE'!$U$48</f>
        <v>0</v>
      </c>
      <c r="V27" s="20">
        <f>'TE BE'!$V$27*'TE BE'!$V$48</f>
        <v>0</v>
      </c>
      <c r="W27" s="20">
        <f>SUM($T$27:$V$27)</f>
        <v>0</v>
      </c>
      <c r="X27" s="20">
        <f>'TE BE'!$AB$27*'TE BE'!$X$48</f>
        <v>0</v>
      </c>
      <c r="Y27" s="20">
        <f>SUM($X$27:$X$27)</f>
        <v>0</v>
      </c>
      <c r="Z27" s="20">
        <f>'TE BE'!$Z$27*'TE BE'!$Z$48</f>
        <v>0</v>
      </c>
      <c r="AA27" s="20">
        <f>SUM($Z$27:$Z$27)</f>
        <v>0</v>
      </c>
      <c r="AB27" s="20">
        <f>SUMIF($L$4:$AA$4,"SUBTOTAL",$L$27:$AA$27)</f>
        <v>16.812742139028447</v>
      </c>
    </row>
    <row r="28" spans="1:28" ht="11.25" customHeight="1" x14ac:dyDescent="0.25">
      <c r="A28" s="113"/>
      <c r="B28" s="113" t="s">
        <v>70</v>
      </c>
      <c r="C28" s="113" t="s">
        <v>41</v>
      </c>
      <c r="D28" s="113" t="s">
        <v>89</v>
      </c>
      <c r="E28" s="113" t="s">
        <v>25</v>
      </c>
      <c r="F28" s="113" t="s">
        <v>25</v>
      </c>
      <c r="G28" s="22" t="s">
        <v>72</v>
      </c>
      <c r="H28" s="22" t="s">
        <v>71</v>
      </c>
      <c r="I28" s="22">
        <f>'MERCADO TE'!$U$25</f>
        <v>0</v>
      </c>
      <c r="J28" s="15"/>
      <c r="L28" s="20">
        <f>'TE BE'!$L$28*'TE BE'!$L$48</f>
        <v>0</v>
      </c>
      <c r="M28" s="20">
        <f>'TE BE'!$M$28*'TE BE'!$M$48</f>
        <v>0</v>
      </c>
      <c r="N28" s="20">
        <f>'TE BE'!$N$28*'TE BE'!$N$48</f>
        <v>0</v>
      </c>
      <c r="O28" s="20">
        <f>'TE BE'!$O$28*'TE BE'!$O$48</f>
        <v>0</v>
      </c>
      <c r="P28" s="20">
        <f>'TE BE'!$P$28*'TE BE'!$P$48</f>
        <v>0</v>
      </c>
      <c r="Q28" s="20">
        <f>SUM($L$28:$P$28)</f>
        <v>0</v>
      </c>
      <c r="R28" s="20">
        <f>'TE BE'!$R$28*'TE BE'!$R$48</f>
        <v>16.812742139028447</v>
      </c>
      <c r="S28" s="20">
        <f>SUM($R$28:$R$28)</f>
        <v>16.812742139028447</v>
      </c>
      <c r="T28" s="20">
        <f>'TE BE'!$T$28*'TE BE'!$T$48</f>
        <v>0</v>
      </c>
      <c r="U28" s="20">
        <f>'TE BE'!$U$28*'TE BE'!$U$48</f>
        <v>0</v>
      </c>
      <c r="V28" s="20">
        <f>'TE BE'!$V$28*'TE BE'!$V$48</f>
        <v>0</v>
      </c>
      <c r="W28" s="20">
        <f>SUM($T$28:$V$28)</f>
        <v>0</v>
      </c>
      <c r="X28" s="20">
        <f>'TE BE'!$AB$28*'TE BE'!$X$48</f>
        <v>0</v>
      </c>
      <c r="Y28" s="20">
        <f>SUM($X$28:$X$28)</f>
        <v>0</v>
      </c>
      <c r="Z28" s="20">
        <f>'TE BE'!$Z$28*'TE BE'!$Z$48</f>
        <v>0</v>
      </c>
      <c r="AA28" s="20">
        <f>SUM($Z$28:$Z$28)</f>
        <v>0</v>
      </c>
      <c r="AB28" s="20">
        <f>SUMIF($L$4:$AA$4,"SUBTOTAL",$L$28:$AA$28)</f>
        <v>16.812742139028447</v>
      </c>
    </row>
    <row r="29" spans="1:28" ht="11.25" customHeight="1" x14ac:dyDescent="0.25">
      <c r="A29" s="113"/>
      <c r="B29" s="113"/>
      <c r="C29" s="113"/>
      <c r="D29" s="113"/>
      <c r="E29" s="113"/>
      <c r="F29" s="113"/>
      <c r="G29" s="22" t="s">
        <v>83</v>
      </c>
      <c r="H29" s="22" t="s">
        <v>71</v>
      </c>
      <c r="I29" s="22">
        <f>'MERCADO TE'!$U$26</f>
        <v>0</v>
      </c>
      <c r="J29" s="15"/>
      <c r="L29" s="20">
        <f>'TE BE'!$L$29*'TE BE'!$L$48</f>
        <v>0</v>
      </c>
      <c r="M29" s="20">
        <f>'TE BE'!$M$29*'TE BE'!$M$48</f>
        <v>0</v>
      </c>
      <c r="N29" s="20">
        <f>'TE BE'!$N$29*'TE BE'!$N$48</f>
        <v>0</v>
      </c>
      <c r="O29" s="20">
        <f>'TE BE'!$O$29*'TE BE'!$O$48</f>
        <v>0</v>
      </c>
      <c r="P29" s="20">
        <f>'TE BE'!$P$29*'TE BE'!$P$48</f>
        <v>0</v>
      </c>
      <c r="Q29" s="20">
        <f>SUM($L$29:$P$29)</f>
        <v>0</v>
      </c>
      <c r="R29" s="20">
        <f>'TE BE'!$R$29*'TE BE'!$R$48</f>
        <v>16.812742139028447</v>
      </c>
      <c r="S29" s="20">
        <f>SUM($R$29:$R$29)</f>
        <v>16.812742139028447</v>
      </c>
      <c r="T29" s="20">
        <f>'TE BE'!$T$29*'TE BE'!$T$48</f>
        <v>0</v>
      </c>
      <c r="U29" s="20">
        <f>'TE BE'!$U$29*'TE BE'!$U$48</f>
        <v>0</v>
      </c>
      <c r="V29" s="20">
        <f>'TE BE'!$V$29*'TE BE'!$V$48</f>
        <v>0</v>
      </c>
      <c r="W29" s="20">
        <f>SUM($T$29:$V$29)</f>
        <v>0</v>
      </c>
      <c r="X29" s="20">
        <f>'TE BE'!$AB$29*'TE BE'!$X$48</f>
        <v>0</v>
      </c>
      <c r="Y29" s="20">
        <f>SUM($X$29:$X$29)</f>
        <v>0</v>
      </c>
      <c r="Z29" s="20">
        <f>'TE BE'!$Z$29*'TE BE'!$Z$48</f>
        <v>0</v>
      </c>
      <c r="AA29" s="20">
        <f>SUM($Z$29:$Z$29)</f>
        <v>0</v>
      </c>
      <c r="AB29" s="20">
        <f>SUMIF($L$4:$AA$4,"SUBTOTAL",$L$29:$AA$29)</f>
        <v>16.812742139028447</v>
      </c>
    </row>
    <row r="30" spans="1:28" ht="11.25" customHeight="1" x14ac:dyDescent="0.25">
      <c r="A30" s="113"/>
      <c r="B30" s="113"/>
      <c r="C30" s="113"/>
      <c r="D30" s="113"/>
      <c r="E30" s="113"/>
      <c r="F30" s="113"/>
      <c r="G30" s="22" t="s">
        <v>73</v>
      </c>
      <c r="H30" s="22" t="s">
        <v>71</v>
      </c>
      <c r="I30" s="22">
        <f>'MERCADO TE'!$U$27</f>
        <v>0</v>
      </c>
      <c r="J30" s="15"/>
      <c r="L30" s="20">
        <f>'TE BE'!$L$30*'TE BE'!$L$48</f>
        <v>0</v>
      </c>
      <c r="M30" s="20">
        <f>'TE BE'!$M$30*'TE BE'!$M$48</f>
        <v>0</v>
      </c>
      <c r="N30" s="20">
        <f>'TE BE'!$N$30*'TE BE'!$N$48</f>
        <v>0</v>
      </c>
      <c r="O30" s="20">
        <f>'TE BE'!$O$30*'TE BE'!$O$48</f>
        <v>0</v>
      </c>
      <c r="P30" s="20">
        <f>'TE BE'!$P$30*'TE BE'!$P$48</f>
        <v>0</v>
      </c>
      <c r="Q30" s="20">
        <f>SUM($L$30:$P$30)</f>
        <v>0</v>
      </c>
      <c r="R30" s="20">
        <f>'TE BE'!$R$30*'TE BE'!$R$48</f>
        <v>16.812742139028447</v>
      </c>
      <c r="S30" s="20">
        <f>SUM($R$30:$R$30)</f>
        <v>16.812742139028447</v>
      </c>
      <c r="T30" s="20">
        <f>'TE BE'!$T$30*'TE BE'!$T$48</f>
        <v>0</v>
      </c>
      <c r="U30" s="20">
        <f>'TE BE'!$U$30*'TE BE'!$U$48</f>
        <v>0</v>
      </c>
      <c r="V30" s="20">
        <f>'TE BE'!$V$30*'TE BE'!$V$48</f>
        <v>0</v>
      </c>
      <c r="W30" s="20">
        <f>SUM($T$30:$V$30)</f>
        <v>0</v>
      </c>
      <c r="X30" s="20">
        <f>'TE BE'!$AB$30*'TE BE'!$X$48</f>
        <v>0</v>
      </c>
      <c r="Y30" s="20">
        <f>SUM($X$30:$X$30)</f>
        <v>0</v>
      </c>
      <c r="Z30" s="20">
        <f>'TE BE'!$Z$30*'TE BE'!$Z$48</f>
        <v>0</v>
      </c>
      <c r="AA30" s="20">
        <f>SUM($Z$30:$Z$30)</f>
        <v>0</v>
      </c>
      <c r="AB30" s="20">
        <f>SUMIF($L$4:$AA$4,"SUBTOTAL",$L$30:$AA$30)</f>
        <v>16.812742139028447</v>
      </c>
    </row>
    <row r="31" spans="1:28" ht="11.25" customHeight="1" x14ac:dyDescent="0.25">
      <c r="A31" s="113"/>
      <c r="B31" s="23" t="s">
        <v>84</v>
      </c>
      <c r="C31" s="23" t="s">
        <v>41</v>
      </c>
      <c r="D31" s="23" t="s">
        <v>89</v>
      </c>
      <c r="E31" s="23" t="s">
        <v>25</v>
      </c>
      <c r="F31" s="23" t="s">
        <v>25</v>
      </c>
      <c r="G31" s="22" t="s">
        <v>77</v>
      </c>
      <c r="H31" s="22" t="s">
        <v>71</v>
      </c>
      <c r="I31" s="22">
        <f>'MERCADO TE'!$U$28</f>
        <v>0</v>
      </c>
      <c r="J31" s="15"/>
      <c r="L31" s="20">
        <f>'TE BE'!$L$31*'TE BE'!$L$48</f>
        <v>0</v>
      </c>
      <c r="M31" s="20">
        <f>'TE BE'!$M$31*'TE BE'!$M$48</f>
        <v>0</v>
      </c>
      <c r="N31" s="20">
        <f>'TE BE'!$N$31*'TE BE'!$N$48</f>
        <v>0</v>
      </c>
      <c r="O31" s="20">
        <f>'TE BE'!$O$31*'TE BE'!$O$48</f>
        <v>0</v>
      </c>
      <c r="P31" s="20">
        <f>'TE BE'!$P$31*'TE BE'!$P$48</f>
        <v>0</v>
      </c>
      <c r="Q31" s="20">
        <f>SUM($L$31:$P$31)</f>
        <v>0</v>
      </c>
      <c r="R31" s="20">
        <f>'TE BE'!$R$31*'TE BE'!$R$48</f>
        <v>16.812742139028447</v>
      </c>
      <c r="S31" s="20">
        <f>SUM($R$31:$R$31)</f>
        <v>16.812742139028447</v>
      </c>
      <c r="T31" s="20">
        <f>'TE BE'!$T$31*'TE BE'!$T$48</f>
        <v>0</v>
      </c>
      <c r="U31" s="20">
        <f>'TE BE'!$U$31*'TE BE'!$U$48</f>
        <v>0</v>
      </c>
      <c r="V31" s="20">
        <f>'TE BE'!$V$31*'TE BE'!$V$48</f>
        <v>0</v>
      </c>
      <c r="W31" s="20">
        <f>SUM($T$31:$V$31)</f>
        <v>0</v>
      </c>
      <c r="X31" s="20">
        <f>'TE BE'!$AB$31*'TE BE'!$X$48</f>
        <v>0</v>
      </c>
      <c r="Y31" s="20">
        <f>SUM($X$31:$X$31)</f>
        <v>0</v>
      </c>
      <c r="Z31" s="20">
        <f>'TE BE'!$Z$31*'TE BE'!$Z$48</f>
        <v>0</v>
      </c>
      <c r="AA31" s="20">
        <f>SUM($Z$31:$Z$31)</f>
        <v>0</v>
      </c>
      <c r="AB31" s="20">
        <f>SUMIF($L$4:$AA$4,"SUBTOTAL",$L$31:$AA$31)</f>
        <v>16.812742139028447</v>
      </c>
    </row>
    <row r="32" spans="1:28" ht="11.25" customHeight="1" x14ac:dyDescent="0.25">
      <c r="A32" s="113"/>
      <c r="B32" s="113" t="s">
        <v>86</v>
      </c>
      <c r="C32" s="113" t="s">
        <v>41</v>
      </c>
      <c r="D32" s="23" t="s">
        <v>25</v>
      </c>
      <c r="E32" s="23" t="s">
        <v>25</v>
      </c>
      <c r="F32" s="23" t="s">
        <v>25</v>
      </c>
      <c r="G32" s="22" t="s">
        <v>77</v>
      </c>
      <c r="H32" s="22" t="s">
        <v>71</v>
      </c>
      <c r="I32" s="22">
        <f>'MERCADO TE'!$U$29</f>
        <v>0</v>
      </c>
      <c r="J32" s="15"/>
      <c r="L32" s="20">
        <f>'TE BE'!$L$32*'TE BE'!$L$48</f>
        <v>0</v>
      </c>
      <c r="M32" s="20">
        <f>'TE BE'!$M$32*'TE BE'!$M$48</f>
        <v>0</v>
      </c>
      <c r="N32" s="20">
        <f>'TE BE'!$N$32*'TE BE'!$N$48</f>
        <v>0</v>
      </c>
      <c r="O32" s="20">
        <f>'TE BE'!$O$32*'TE BE'!$O$48</f>
        <v>0</v>
      </c>
      <c r="P32" s="20">
        <f>'TE BE'!$P$32*'TE BE'!$P$48</f>
        <v>0</v>
      </c>
      <c r="Q32" s="20">
        <f>SUM($L$32:$P$32)</f>
        <v>0</v>
      </c>
      <c r="R32" s="20">
        <f>'TE BE'!$R$32*'TE BE'!$R$48</f>
        <v>16.812742139028447</v>
      </c>
      <c r="S32" s="20">
        <f>SUM($R$32:$R$32)</f>
        <v>16.812742139028447</v>
      </c>
      <c r="T32" s="20">
        <f>'TE BE'!$T$32*'TE BE'!$T$48</f>
        <v>0</v>
      </c>
      <c r="U32" s="20">
        <f>'TE BE'!$U$32*'TE BE'!$U$48</f>
        <v>0</v>
      </c>
      <c r="V32" s="20">
        <f>'TE BE'!$V$32*'TE BE'!$V$48</f>
        <v>0</v>
      </c>
      <c r="W32" s="20">
        <f>SUM($T$32:$V$32)</f>
        <v>0</v>
      </c>
      <c r="X32" s="20">
        <f>'TE BE'!$AB$32*'TE BE'!$X$48</f>
        <v>0</v>
      </c>
      <c r="Y32" s="20">
        <f>SUM($X$32:$X$32)</f>
        <v>0</v>
      </c>
      <c r="Z32" s="20">
        <f>'TE BE'!$Z$32*'TE BE'!$Z$48</f>
        <v>0</v>
      </c>
      <c r="AA32" s="20">
        <f>SUM($Z$32:$Z$32)</f>
        <v>0</v>
      </c>
      <c r="AB32" s="20">
        <f>SUMIF($L$4:$AA$4,"SUBTOTAL",$L$32:$AA$32)</f>
        <v>16.812742139028447</v>
      </c>
    </row>
    <row r="33" spans="1:28" ht="11.25" customHeight="1" x14ac:dyDescent="0.25">
      <c r="A33" s="113"/>
      <c r="B33" s="113"/>
      <c r="C33" s="113"/>
      <c r="D33" s="23" t="s">
        <v>88</v>
      </c>
      <c r="E33" s="23" t="s">
        <v>25</v>
      </c>
      <c r="F33" s="23" t="s">
        <v>25</v>
      </c>
      <c r="G33" s="22" t="s">
        <v>77</v>
      </c>
      <c r="H33" s="22" t="s">
        <v>71</v>
      </c>
      <c r="I33" s="22">
        <f>'MERCADO TE'!$U$30</f>
        <v>0</v>
      </c>
      <c r="J33" s="15"/>
      <c r="L33" s="20">
        <f>'TE BE'!$L$33*'TE BE'!$L$48</f>
        <v>0</v>
      </c>
      <c r="M33" s="20">
        <f>'TE BE'!$M$33*'TE BE'!$M$48</f>
        <v>0</v>
      </c>
      <c r="N33" s="20">
        <f>'TE BE'!$N$33*'TE BE'!$N$48</f>
        <v>0</v>
      </c>
      <c r="O33" s="20">
        <f>'TE BE'!$O$33*'TE BE'!$O$48</f>
        <v>0</v>
      </c>
      <c r="P33" s="20">
        <f>'TE BE'!$P$33*'TE BE'!$P$48</f>
        <v>0</v>
      </c>
      <c r="Q33" s="20">
        <f>SUM($L$33:$P$33)</f>
        <v>0</v>
      </c>
      <c r="R33" s="20">
        <f>'TE BE'!$R$33*'TE BE'!$R$48</f>
        <v>16.812742139028447</v>
      </c>
      <c r="S33" s="20">
        <f>SUM($R$33:$R$33)</f>
        <v>16.812742139028447</v>
      </c>
      <c r="T33" s="20">
        <f>'TE BE'!$T$33*'TE BE'!$T$48</f>
        <v>0</v>
      </c>
      <c r="U33" s="20">
        <f>'TE BE'!$U$33*'TE BE'!$U$48</f>
        <v>0</v>
      </c>
      <c r="V33" s="20">
        <f>'TE BE'!$V$33*'TE BE'!$V$48</f>
        <v>0</v>
      </c>
      <c r="W33" s="20">
        <f>SUM($T$33:$V$33)</f>
        <v>0</v>
      </c>
      <c r="X33" s="20">
        <f>'TE BE'!$AB$33*'TE BE'!$X$48</f>
        <v>0</v>
      </c>
      <c r="Y33" s="20">
        <f>SUM($X$33:$X$33)</f>
        <v>0</v>
      </c>
      <c r="Z33" s="20">
        <f>'TE BE'!$Z$33*'TE BE'!$Z$48</f>
        <v>0</v>
      </c>
      <c r="AA33" s="20">
        <f>SUM($Z$33:$Z$33)</f>
        <v>0</v>
      </c>
      <c r="AB33" s="20">
        <f>SUMIF($L$4:$AA$4,"SUBTOTAL",$L$33:$AA$33)</f>
        <v>16.812742139028447</v>
      </c>
    </row>
    <row r="34" spans="1:28" ht="11.25" customHeight="1" x14ac:dyDescent="0.25">
      <c r="A34" s="113"/>
      <c r="B34" s="113"/>
      <c r="C34" s="113"/>
      <c r="D34" s="23" t="s">
        <v>89</v>
      </c>
      <c r="E34" s="23" t="s">
        <v>25</v>
      </c>
      <c r="F34" s="23" t="s">
        <v>25</v>
      </c>
      <c r="G34" s="22" t="s">
        <v>77</v>
      </c>
      <c r="H34" s="22" t="s">
        <v>71</v>
      </c>
      <c r="I34" s="22">
        <f>'MERCADO TE'!$U$31</f>
        <v>0</v>
      </c>
      <c r="J34" s="15"/>
      <c r="L34" s="20">
        <f>'TE BE'!$L$34*'TE BE'!$L$48</f>
        <v>0</v>
      </c>
      <c r="M34" s="20">
        <f>'TE BE'!$M$34*'TE BE'!$M$48</f>
        <v>0</v>
      </c>
      <c r="N34" s="20">
        <f>'TE BE'!$N$34*'TE BE'!$N$48</f>
        <v>0</v>
      </c>
      <c r="O34" s="20">
        <f>'TE BE'!$O$34*'TE BE'!$O$48</f>
        <v>0</v>
      </c>
      <c r="P34" s="20">
        <f>'TE BE'!$P$34*'TE BE'!$P$48</f>
        <v>0</v>
      </c>
      <c r="Q34" s="20">
        <f>SUM($L$34:$P$34)</f>
        <v>0</v>
      </c>
      <c r="R34" s="20">
        <f>'TE BE'!$R$34*'TE BE'!$R$48</f>
        <v>16.812742139028447</v>
      </c>
      <c r="S34" s="20">
        <f>SUM($R$34:$R$34)</f>
        <v>16.812742139028447</v>
      </c>
      <c r="T34" s="20">
        <f>'TE BE'!$T$34*'TE BE'!$T$48</f>
        <v>0</v>
      </c>
      <c r="U34" s="20">
        <f>'TE BE'!$U$34*'TE BE'!$U$48</f>
        <v>0</v>
      </c>
      <c r="V34" s="20">
        <f>'TE BE'!$V$34*'TE BE'!$V$48</f>
        <v>0</v>
      </c>
      <c r="W34" s="20">
        <f>SUM($T$34:$V$34)</f>
        <v>0</v>
      </c>
      <c r="X34" s="20">
        <f>'TE BE'!$AB$34*'TE BE'!$X$48</f>
        <v>0</v>
      </c>
      <c r="Y34" s="20">
        <f>SUM($X$34:$X$34)</f>
        <v>0</v>
      </c>
      <c r="Z34" s="20">
        <f>'TE BE'!$Z$34*'TE BE'!$Z$48</f>
        <v>0</v>
      </c>
      <c r="AA34" s="20">
        <f>SUM($Z$34:$Z$34)</f>
        <v>0</v>
      </c>
      <c r="AB34" s="20">
        <f>SUMIF($L$4:$AA$4,"SUBTOTAL",$L$34:$AA$34)</f>
        <v>16.812742139028447</v>
      </c>
    </row>
    <row r="35" spans="1:28" ht="11.25" customHeight="1" x14ac:dyDescent="0.25">
      <c r="A35" s="113" t="s">
        <v>33</v>
      </c>
      <c r="B35" s="113" t="s">
        <v>70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2" t="s">
        <v>72</v>
      </c>
      <c r="H35" s="22" t="s">
        <v>71</v>
      </c>
      <c r="I35" s="22">
        <f>'MERCADO TE'!$U$32</f>
        <v>0</v>
      </c>
      <c r="J35" s="15"/>
      <c r="L35" s="20">
        <f>'TE BE'!$L$35*'TE BE'!$L$48</f>
        <v>0</v>
      </c>
      <c r="M35" s="20">
        <f>'TE BE'!$M$35*'TE BE'!$M$48</f>
        <v>0</v>
      </c>
      <c r="N35" s="20">
        <f>'TE BE'!$N$35*'TE BE'!$N$48</f>
        <v>0</v>
      </c>
      <c r="O35" s="20">
        <f>'TE BE'!$O$35*'TE BE'!$O$48</f>
        <v>0</v>
      </c>
      <c r="P35" s="20">
        <f>'TE BE'!$P$35*'TE BE'!$P$48</f>
        <v>0</v>
      </c>
      <c r="Q35" s="20">
        <f>SUM($L$35:$P$35)</f>
        <v>0</v>
      </c>
      <c r="R35" s="20">
        <f>'TE BE'!$R$35*'TE BE'!$R$48</f>
        <v>16.812742139028447</v>
      </c>
      <c r="S35" s="20">
        <f>SUM($R$35:$R$35)</f>
        <v>16.812742139028447</v>
      </c>
      <c r="T35" s="20">
        <f>'TE BE'!$T$35*'TE BE'!$T$48</f>
        <v>0</v>
      </c>
      <c r="U35" s="20">
        <f>'TE BE'!$U$35*'TE BE'!$U$48</f>
        <v>0</v>
      </c>
      <c r="V35" s="20">
        <f>'TE BE'!$V$35*'TE BE'!$V$48</f>
        <v>0</v>
      </c>
      <c r="W35" s="20">
        <f>SUM($T$35:$V$35)</f>
        <v>0</v>
      </c>
      <c r="X35" s="20">
        <f>'TE BE'!$AB$35*'TE BE'!$X$48</f>
        <v>0</v>
      </c>
      <c r="Y35" s="20">
        <f>SUM($X$35:$X$35)</f>
        <v>0</v>
      </c>
      <c r="Z35" s="20">
        <f>'TE BE'!$Z$35*'TE BE'!$Z$48</f>
        <v>0</v>
      </c>
      <c r="AA35" s="20">
        <f>SUM($Z$35:$Z$35)</f>
        <v>0</v>
      </c>
      <c r="AB35" s="20">
        <f>SUMIF($L$4:$AA$4,"SUBTOTAL",$L$35:$AA$35)</f>
        <v>16.812742139028447</v>
      </c>
    </row>
    <row r="36" spans="1:28" ht="11.25" customHeight="1" x14ac:dyDescent="0.25">
      <c r="A36" s="113"/>
      <c r="B36" s="113"/>
      <c r="C36" s="113"/>
      <c r="D36" s="113"/>
      <c r="E36" s="113"/>
      <c r="F36" s="113"/>
      <c r="G36" s="22" t="s">
        <v>83</v>
      </c>
      <c r="H36" s="22" t="s">
        <v>71</v>
      </c>
      <c r="I36" s="22">
        <f>'MERCADO TE'!$U$33</f>
        <v>0</v>
      </c>
      <c r="J36" s="15"/>
      <c r="L36" s="20">
        <f>'TE BE'!$L$36*'TE BE'!$L$48</f>
        <v>0</v>
      </c>
      <c r="M36" s="20">
        <f>'TE BE'!$M$36*'TE BE'!$M$48</f>
        <v>0</v>
      </c>
      <c r="N36" s="20">
        <f>'TE BE'!$N$36*'TE BE'!$N$48</f>
        <v>0</v>
      </c>
      <c r="O36" s="20">
        <f>'TE BE'!$O$36*'TE BE'!$O$48</f>
        <v>0</v>
      </c>
      <c r="P36" s="20">
        <f>'TE BE'!$P$36*'TE BE'!$P$48</f>
        <v>0</v>
      </c>
      <c r="Q36" s="20">
        <f>SUM($L$36:$P$36)</f>
        <v>0</v>
      </c>
      <c r="R36" s="20">
        <f>'TE BE'!$R$36*'TE BE'!$R$48</f>
        <v>16.812742139028447</v>
      </c>
      <c r="S36" s="20">
        <f>SUM($R$36:$R$36)</f>
        <v>16.812742139028447</v>
      </c>
      <c r="T36" s="20">
        <f>'TE BE'!$T$36*'TE BE'!$T$48</f>
        <v>0</v>
      </c>
      <c r="U36" s="20">
        <f>'TE BE'!$U$36*'TE BE'!$U$48</f>
        <v>0</v>
      </c>
      <c r="V36" s="20">
        <f>'TE BE'!$V$36*'TE BE'!$V$48</f>
        <v>0</v>
      </c>
      <c r="W36" s="20">
        <f>SUM($T$36:$V$36)</f>
        <v>0</v>
      </c>
      <c r="X36" s="20">
        <f>'TE BE'!$AB$36*'TE BE'!$X$48</f>
        <v>0</v>
      </c>
      <c r="Y36" s="20">
        <f>SUM($X$36:$X$36)</f>
        <v>0</v>
      </c>
      <c r="Z36" s="20">
        <f>'TE BE'!$Z$36*'TE BE'!$Z$48</f>
        <v>0</v>
      </c>
      <c r="AA36" s="20">
        <f>SUM($Z$36:$Z$36)</f>
        <v>0</v>
      </c>
      <c r="AB36" s="20">
        <f>SUMIF($L$4:$AA$4,"SUBTOTAL",$L$36:$AA$36)</f>
        <v>16.812742139028447</v>
      </c>
    </row>
    <row r="37" spans="1:28" ht="11.25" customHeight="1" x14ac:dyDescent="0.25">
      <c r="A37" s="113"/>
      <c r="B37" s="113"/>
      <c r="C37" s="113"/>
      <c r="D37" s="113"/>
      <c r="E37" s="113"/>
      <c r="F37" s="113"/>
      <c r="G37" s="22" t="s">
        <v>73</v>
      </c>
      <c r="H37" s="22" t="s">
        <v>71</v>
      </c>
      <c r="I37" s="22">
        <f>'MERCADO TE'!$U$34</f>
        <v>0</v>
      </c>
      <c r="J37" s="15"/>
      <c r="L37" s="20">
        <f>'TE BE'!$L$37*'TE BE'!$L$48</f>
        <v>0</v>
      </c>
      <c r="M37" s="20">
        <f>'TE BE'!$M$37*'TE BE'!$M$48</f>
        <v>0</v>
      </c>
      <c r="N37" s="20">
        <f>'TE BE'!$N$37*'TE BE'!$N$48</f>
        <v>0</v>
      </c>
      <c r="O37" s="20">
        <f>'TE BE'!$O$37*'TE BE'!$O$48</f>
        <v>0</v>
      </c>
      <c r="P37" s="20">
        <f>'TE BE'!$P$37*'TE BE'!$P$48</f>
        <v>0</v>
      </c>
      <c r="Q37" s="20">
        <f>SUM($L$37:$P$37)</f>
        <v>0</v>
      </c>
      <c r="R37" s="20">
        <f>'TE BE'!$R$37*'TE BE'!$R$48</f>
        <v>16.812742139028447</v>
      </c>
      <c r="S37" s="20">
        <f>SUM($R$37:$R$37)</f>
        <v>16.812742139028447</v>
      </c>
      <c r="T37" s="20">
        <f>'TE BE'!$T$37*'TE BE'!$T$48</f>
        <v>0</v>
      </c>
      <c r="U37" s="20">
        <f>'TE BE'!$U$37*'TE BE'!$U$48</f>
        <v>0</v>
      </c>
      <c r="V37" s="20">
        <f>'TE BE'!$V$37*'TE BE'!$V$48</f>
        <v>0</v>
      </c>
      <c r="W37" s="20">
        <f>SUM($T$37:$V$37)</f>
        <v>0</v>
      </c>
      <c r="X37" s="20">
        <f>'TE BE'!$AB$37*'TE BE'!$X$48</f>
        <v>0</v>
      </c>
      <c r="Y37" s="20">
        <f>SUM($X$37:$X$37)</f>
        <v>0</v>
      </c>
      <c r="Z37" s="20">
        <f>'TE BE'!$Z$37*'TE BE'!$Z$48</f>
        <v>0</v>
      </c>
      <c r="AA37" s="20">
        <f>SUM($Z$37:$Z$37)</f>
        <v>0</v>
      </c>
      <c r="AB37" s="20">
        <f>SUMIF($L$4:$AA$4,"SUBTOTAL",$L$37:$AA$37)</f>
        <v>16.812742139028447</v>
      </c>
    </row>
    <row r="38" spans="1:28" ht="11.25" customHeight="1" x14ac:dyDescent="0.25">
      <c r="A38" s="113"/>
      <c r="B38" s="23" t="s">
        <v>84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77</v>
      </c>
      <c r="H38" s="22" t="s">
        <v>71</v>
      </c>
      <c r="I38" s="22">
        <f>'MERCADO TE'!$U$35</f>
        <v>9552.121000000001</v>
      </c>
      <c r="J38" s="15"/>
      <c r="L38" s="20">
        <f>'TE BE'!$L$38*'TE BE'!$L$48</f>
        <v>0</v>
      </c>
      <c r="M38" s="20">
        <f>'TE BE'!$M$38*'TE BE'!$M$48</f>
        <v>0</v>
      </c>
      <c r="N38" s="20">
        <f>'TE BE'!$N$38*'TE BE'!$N$48</f>
        <v>0</v>
      </c>
      <c r="O38" s="20">
        <f>'TE BE'!$O$38*'TE BE'!$O$48</f>
        <v>0</v>
      </c>
      <c r="P38" s="20">
        <f>'TE BE'!$P$38*'TE BE'!$P$48</f>
        <v>0</v>
      </c>
      <c r="Q38" s="20">
        <f>SUM($L$38:$P$38)</f>
        <v>0</v>
      </c>
      <c r="R38" s="20">
        <f>'TE BE'!$R$38*'TE BE'!$R$48</f>
        <v>16.812742139028447</v>
      </c>
      <c r="S38" s="20">
        <f>SUM($R$38:$R$38)</f>
        <v>16.812742139028447</v>
      </c>
      <c r="T38" s="20">
        <f>'TE BE'!$T$38*'TE BE'!$T$48</f>
        <v>0</v>
      </c>
      <c r="U38" s="20">
        <f>'TE BE'!$U$38*'TE BE'!$U$48</f>
        <v>0</v>
      </c>
      <c r="V38" s="20">
        <f>'TE BE'!$V$38*'TE BE'!$V$48</f>
        <v>0</v>
      </c>
      <c r="W38" s="20">
        <f>SUM($T$38:$V$38)</f>
        <v>0</v>
      </c>
      <c r="X38" s="20">
        <f>'TE BE'!$AB$38*'TE BE'!$X$48</f>
        <v>0</v>
      </c>
      <c r="Y38" s="20">
        <f>SUM($X$38:$X$38)</f>
        <v>0</v>
      </c>
      <c r="Z38" s="20">
        <f>'TE BE'!$Z$38*'TE BE'!$Z$48</f>
        <v>0</v>
      </c>
      <c r="AA38" s="20">
        <f>SUM($Z$38:$Z$38)</f>
        <v>0</v>
      </c>
      <c r="AB38" s="20">
        <f>SUMIF($L$4:$AA$4,"SUBTOTAL",$L$38:$AA$38)</f>
        <v>16.812742139028447</v>
      </c>
    </row>
    <row r="39" spans="1:28" ht="11.25" customHeight="1" x14ac:dyDescent="0.25">
      <c r="A39" s="113"/>
      <c r="B39" s="23" t="s">
        <v>86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77</v>
      </c>
      <c r="H39" s="22" t="s">
        <v>71</v>
      </c>
      <c r="I39" s="22">
        <f>'MERCADO TE'!$U$36</f>
        <v>0</v>
      </c>
      <c r="J39" s="15"/>
      <c r="L39" s="20">
        <f>'TE BE'!$L$39*'TE BE'!$L$48</f>
        <v>0</v>
      </c>
      <c r="M39" s="20">
        <f>'TE BE'!$M$39*'TE BE'!$M$48</f>
        <v>0</v>
      </c>
      <c r="N39" s="20">
        <f>'TE BE'!$N$39*'TE BE'!$N$48</f>
        <v>0</v>
      </c>
      <c r="O39" s="20">
        <f>'TE BE'!$O$39*'TE BE'!$O$48</f>
        <v>0</v>
      </c>
      <c r="P39" s="20">
        <f>'TE BE'!$P$39*'TE BE'!$P$48</f>
        <v>0</v>
      </c>
      <c r="Q39" s="20">
        <f>SUM($L$39:$P$39)</f>
        <v>0</v>
      </c>
      <c r="R39" s="20">
        <f>'TE BE'!$R$39*'TE BE'!$R$48</f>
        <v>16.812742139028447</v>
      </c>
      <c r="S39" s="20">
        <f>SUM($R$39:$R$39)</f>
        <v>16.812742139028447</v>
      </c>
      <c r="T39" s="20">
        <f>'TE BE'!$T$39*'TE BE'!$T$48</f>
        <v>0</v>
      </c>
      <c r="U39" s="20">
        <f>'TE BE'!$U$39*'TE BE'!$U$48</f>
        <v>0</v>
      </c>
      <c r="V39" s="20">
        <f>'TE BE'!$V$39*'TE BE'!$V$48</f>
        <v>0</v>
      </c>
      <c r="W39" s="20">
        <f>SUM($T$39:$V$39)</f>
        <v>0</v>
      </c>
      <c r="X39" s="20">
        <f>'TE BE'!$AB$39*'TE BE'!$X$48</f>
        <v>0</v>
      </c>
      <c r="Y39" s="20">
        <f>SUM($X$39:$X$39)</f>
        <v>0</v>
      </c>
      <c r="Z39" s="20">
        <f>'TE BE'!$Z$39*'TE BE'!$Z$48</f>
        <v>0</v>
      </c>
      <c r="AA39" s="20">
        <f>SUM($Z$39:$Z$39)</f>
        <v>0</v>
      </c>
      <c r="AB39" s="20">
        <f>SUMIF($L$4:$AA$4,"SUBTOTAL",$L$39:$AA$39)</f>
        <v>16.812742139028447</v>
      </c>
    </row>
    <row r="40" spans="1:28" ht="11.25" customHeight="1" x14ac:dyDescent="0.25">
      <c r="A40" s="113" t="s">
        <v>43</v>
      </c>
      <c r="B40" s="113" t="s">
        <v>84</v>
      </c>
      <c r="C40" s="113" t="s">
        <v>44</v>
      </c>
      <c r="D40" s="23" t="s">
        <v>45</v>
      </c>
      <c r="E40" s="23" t="s">
        <v>25</v>
      </c>
      <c r="F40" s="23" t="s">
        <v>25</v>
      </c>
      <c r="G40" s="22" t="s">
        <v>77</v>
      </c>
      <c r="H40" s="22" t="s">
        <v>71</v>
      </c>
      <c r="I40" s="22">
        <f>'MERCADO TE'!$U$37</f>
        <v>4840.4129999999996</v>
      </c>
      <c r="J40" s="15"/>
      <c r="L40" s="20">
        <f>'TE BE'!$L$40*'TE BE'!$L$48</f>
        <v>0</v>
      </c>
      <c r="M40" s="20">
        <f>'TE BE'!$M$40*'TE BE'!$M$48</f>
        <v>0</v>
      </c>
      <c r="N40" s="20">
        <f>'TE BE'!$N$40*'TE BE'!$N$48</f>
        <v>0</v>
      </c>
      <c r="O40" s="20">
        <f>'TE BE'!$O$40*'TE BE'!$O$48</f>
        <v>0</v>
      </c>
      <c r="P40" s="20">
        <f>'TE BE'!$P$40*'TE BE'!$P$48</f>
        <v>0</v>
      </c>
      <c r="Q40" s="20">
        <f>SUM($L$40:$P$40)</f>
        <v>0</v>
      </c>
      <c r="R40" s="20">
        <f>'TE BE'!$R$40*'TE BE'!$R$48</f>
        <v>9.2470081764656467</v>
      </c>
      <c r="S40" s="20">
        <f>SUM($R$40:$R$40)</f>
        <v>9.2470081764656467</v>
      </c>
      <c r="T40" s="20">
        <f>'TE BE'!$T$40*'TE BE'!$T$48</f>
        <v>0</v>
      </c>
      <c r="U40" s="20">
        <f>'TE BE'!$U$40*'TE BE'!$U$48</f>
        <v>0</v>
      </c>
      <c r="V40" s="20">
        <f>'TE BE'!$V$40*'TE BE'!$V$48</f>
        <v>0</v>
      </c>
      <c r="W40" s="20">
        <f>SUM($T$40:$V$40)</f>
        <v>0</v>
      </c>
      <c r="X40" s="20">
        <f>'TE BE'!$AB$40*'TE BE'!$X$48</f>
        <v>0</v>
      </c>
      <c r="Y40" s="20">
        <f>SUM($X$40:$X$40)</f>
        <v>0</v>
      </c>
      <c r="Z40" s="20">
        <f>'TE BE'!$Z$40*'TE BE'!$Z$48</f>
        <v>0</v>
      </c>
      <c r="AA40" s="20">
        <f>SUM($Z$40:$Z$40)</f>
        <v>0</v>
      </c>
      <c r="AB40" s="20">
        <f>SUMIF($L$4:$AA$4,"SUBTOTAL",$L$40:$AA$40)</f>
        <v>9.2470081764656467</v>
      </c>
    </row>
    <row r="41" spans="1:28" ht="11.25" customHeight="1" x14ac:dyDescent="0.25">
      <c r="A41" s="113"/>
      <c r="B41" s="113"/>
      <c r="C41" s="113"/>
      <c r="D41" s="22" t="s">
        <v>90</v>
      </c>
      <c r="E41" s="22" t="s">
        <v>25</v>
      </c>
      <c r="F41" s="22" t="s">
        <v>25</v>
      </c>
      <c r="G41" s="22" t="s">
        <v>77</v>
      </c>
      <c r="H41" s="22" t="s">
        <v>71</v>
      </c>
      <c r="I41" s="22">
        <f>'MERCADO TE'!$U$38</f>
        <v>0</v>
      </c>
      <c r="J41" s="15"/>
      <c r="L41" s="20">
        <f>'TE BE'!$L$41*'TE BE'!$L$48</f>
        <v>0</v>
      </c>
      <c r="M41" s="20">
        <f>'TE BE'!$M$41*'TE BE'!$M$48</f>
        <v>0</v>
      </c>
      <c r="N41" s="20">
        <f>'TE BE'!$N$41*'TE BE'!$N$48</f>
        <v>0</v>
      </c>
      <c r="O41" s="20">
        <f>'TE BE'!$O$41*'TE BE'!$O$48</f>
        <v>0</v>
      </c>
      <c r="P41" s="20">
        <f>'TE BE'!$P$41*'TE BE'!$P$48</f>
        <v>0</v>
      </c>
      <c r="Q41" s="20">
        <f>SUM($L$41:$P$41)</f>
        <v>0</v>
      </c>
      <c r="R41" s="20">
        <f>'TE BE'!$R$41*'TE BE'!$R$48</f>
        <v>10.08764528341707</v>
      </c>
      <c r="S41" s="20">
        <f>SUM($R$41:$R$41)</f>
        <v>10.08764528341707</v>
      </c>
      <c r="T41" s="20">
        <f>'TE BE'!$T$41*'TE BE'!$T$48</f>
        <v>0</v>
      </c>
      <c r="U41" s="20">
        <f>'TE BE'!$U$41*'TE BE'!$U$48</f>
        <v>0</v>
      </c>
      <c r="V41" s="20">
        <f>'TE BE'!$V$41*'TE BE'!$V$48</f>
        <v>0</v>
      </c>
      <c r="W41" s="20">
        <f>SUM($T$41:$V$41)</f>
        <v>0</v>
      </c>
      <c r="X41" s="20">
        <f>'TE BE'!$AB$41*'TE BE'!$X$48</f>
        <v>0</v>
      </c>
      <c r="Y41" s="20">
        <f>SUM($X$41:$X$41)</f>
        <v>0</v>
      </c>
      <c r="Z41" s="20">
        <f>'TE BE'!$Z$41*'TE BE'!$Z$48</f>
        <v>0</v>
      </c>
      <c r="AA41" s="20">
        <f>SUM($Z$41:$Z$41)</f>
        <v>0</v>
      </c>
      <c r="AB41" s="20">
        <f>SUMIF($L$4:$AA$4,"SUBTOTAL",$L$41:$AA$41)</f>
        <v>10.08764528341707</v>
      </c>
    </row>
    <row r="43" spans="1:28" ht="11.25" customHeight="1" x14ac:dyDescent="0.25">
      <c r="K43" s="25" t="s">
        <v>482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1511078.1888671699</v>
      </c>
      <c r="S43" s="20">
        <f t="shared" si="0"/>
        <v>1511078.1888671699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1511078.1888671699</v>
      </c>
    </row>
    <row r="44" spans="1:28" ht="11.25" customHeight="1" x14ac:dyDescent="0.25">
      <c r="K44" s="25" t="s">
        <v>402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21131130.163854923</v>
      </c>
      <c r="S44" s="20">
        <f>CUSTOS!$D$37</f>
        <v>21131130.163854923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21131130.163854923</v>
      </c>
    </row>
    <row r="45" spans="1:28" ht="11.25" customHeight="1" x14ac:dyDescent="0.25">
      <c r="K45" s="25" t="s">
        <v>403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1511078.1888671699</v>
      </c>
      <c r="S45" s="20">
        <f>CUSTOS!$E$37</f>
        <v>1511078.1888671699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1511078.1888671699</v>
      </c>
    </row>
    <row r="46" spans="1:28" ht="11.25" customHeight="1" x14ac:dyDescent="0.25">
      <c r="K46" s="25" t="s">
        <v>404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483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0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25">
      <c r="K48" s="25" t="s">
        <v>478</v>
      </c>
      <c r="L48" s="20">
        <f>IF(L44&lt;&gt;0,L46/L44,0)</f>
        <v>0</v>
      </c>
      <c r="M48" s="20">
        <f>IF(M44&lt;&gt;0,M46/M44,0)</f>
        <v>0</v>
      </c>
      <c r="N48" s="20">
        <f>IF(N44&lt;&gt;0,N46/N44,0)</f>
        <v>0</v>
      </c>
      <c r="O48" s="20">
        <f>IF(O44&lt;&gt;0,O46/O44,0)</f>
        <v>0</v>
      </c>
      <c r="P48" s="20">
        <f>IF(P44&lt;&gt;0,P46/P44,0)</f>
        <v>0</v>
      </c>
      <c r="Q48" s="20"/>
      <c r="R48" s="20">
        <f>IF(R44&lt;&gt;0,R46/R44,0)</f>
        <v>0</v>
      </c>
      <c r="S48" s="20"/>
      <c r="T48" s="20">
        <f>IF(T44&lt;&gt;0,T46/T44,0)</f>
        <v>0</v>
      </c>
      <c r="U48" s="20">
        <f>IF(U44&lt;&gt;0,U46/U44,0)</f>
        <v>0</v>
      </c>
      <c r="V48" s="20">
        <f>IF(V44&lt;&gt;0,V46/V44,0)</f>
        <v>0</v>
      </c>
      <c r="W48" s="20"/>
      <c r="X48" s="20">
        <f>IF($AB44&lt;&gt;0,X46/($AB44-SUM('TR TE'!$L47:'TR TE'!$AA47)*0),0)</f>
        <v>0</v>
      </c>
      <c r="Y48" s="20"/>
      <c r="Z48" s="20">
        <f>IF(Z44&lt;&gt;0,Z46/Z44,0)</f>
        <v>0</v>
      </c>
      <c r="AA48" s="20"/>
      <c r="AB48" s="20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56" priority="33" operator="notEqual">
      <formula>$L$45</formula>
    </cfRule>
    <cfRule type="cellIs" dxfId="755" priority="34" operator="equal">
      <formula>$L$45</formula>
    </cfRule>
  </conditionalFormatting>
  <conditionalFormatting sqref="M43">
    <cfRule type="cellIs" dxfId="754" priority="31" operator="notEqual">
      <formula>$M$45</formula>
    </cfRule>
    <cfRule type="cellIs" dxfId="753" priority="32" operator="equal">
      <formula>$M$45</formula>
    </cfRule>
  </conditionalFormatting>
  <conditionalFormatting sqref="N43">
    <cfRule type="cellIs" dxfId="752" priority="29" operator="notEqual">
      <formula>$N$45</formula>
    </cfRule>
    <cfRule type="cellIs" dxfId="751" priority="30" operator="equal">
      <formula>$N$45</formula>
    </cfRule>
  </conditionalFormatting>
  <conditionalFormatting sqref="O43">
    <cfRule type="cellIs" dxfId="750" priority="27" operator="notEqual">
      <formula>$O$45</formula>
    </cfRule>
    <cfRule type="cellIs" dxfId="749" priority="28" operator="equal">
      <formula>$O$45</formula>
    </cfRule>
  </conditionalFormatting>
  <conditionalFormatting sqref="P43">
    <cfRule type="cellIs" dxfId="748" priority="25" operator="notEqual">
      <formula>$P$45</formula>
    </cfRule>
    <cfRule type="cellIs" dxfId="747" priority="26" operator="equal">
      <formula>$P$45</formula>
    </cfRule>
  </conditionalFormatting>
  <conditionalFormatting sqref="Q43">
    <cfRule type="cellIs" dxfId="746" priority="23" operator="notEqual">
      <formula>$Q$45</formula>
    </cfRule>
    <cfRule type="cellIs" dxfId="745" priority="24" operator="equal">
      <formula>$Q$45</formula>
    </cfRule>
  </conditionalFormatting>
  <conditionalFormatting sqref="R43">
    <cfRule type="cellIs" dxfId="744" priority="21" operator="notEqual">
      <formula>$R$45</formula>
    </cfRule>
    <cfRule type="cellIs" dxfId="743" priority="22" operator="equal">
      <formula>$R$45</formula>
    </cfRule>
  </conditionalFormatting>
  <conditionalFormatting sqref="S43">
    <cfRule type="cellIs" dxfId="742" priority="19" operator="notEqual">
      <formula>$S$45</formula>
    </cfRule>
    <cfRule type="cellIs" dxfId="741" priority="20" operator="equal">
      <formula>$S$45</formula>
    </cfRule>
  </conditionalFormatting>
  <conditionalFormatting sqref="T43">
    <cfRule type="cellIs" dxfId="740" priority="17" operator="notEqual">
      <formula>$T$45</formula>
    </cfRule>
    <cfRule type="cellIs" dxfId="739" priority="18" operator="equal">
      <formula>$T$45</formula>
    </cfRule>
  </conditionalFormatting>
  <conditionalFormatting sqref="U43">
    <cfRule type="cellIs" dxfId="738" priority="15" operator="notEqual">
      <formula>$U$45</formula>
    </cfRule>
    <cfRule type="cellIs" dxfId="737" priority="16" operator="equal">
      <formula>$U$45</formula>
    </cfRule>
  </conditionalFormatting>
  <conditionalFormatting sqref="V43">
    <cfRule type="cellIs" dxfId="736" priority="13" operator="notEqual">
      <formula>$V$45</formula>
    </cfRule>
    <cfRule type="cellIs" dxfId="735" priority="14" operator="equal">
      <formula>$V$45</formula>
    </cfRule>
  </conditionalFormatting>
  <conditionalFormatting sqref="W43">
    <cfRule type="cellIs" dxfId="734" priority="11" operator="notEqual">
      <formula>$W$45</formula>
    </cfRule>
    <cfRule type="cellIs" dxfId="733" priority="12" operator="equal">
      <formula>$W$45</formula>
    </cfRule>
  </conditionalFormatting>
  <conditionalFormatting sqref="X43">
    <cfRule type="cellIs" dxfId="732" priority="9" operator="notEqual">
      <formula>$X$45</formula>
    </cfRule>
    <cfRule type="cellIs" dxfId="731" priority="10" operator="equal">
      <formula>$X$45</formula>
    </cfRule>
  </conditionalFormatting>
  <conditionalFormatting sqref="Y43">
    <cfRule type="cellIs" dxfId="730" priority="7" operator="notEqual">
      <formula>$Y$45</formula>
    </cfRule>
    <cfRule type="cellIs" dxfId="729" priority="8" operator="equal">
      <formula>$Y$45</formula>
    </cfRule>
  </conditionalFormatting>
  <conditionalFormatting sqref="Z43">
    <cfRule type="cellIs" dxfId="728" priority="5" operator="notEqual">
      <formula>$Z$45</formula>
    </cfRule>
    <cfRule type="cellIs" dxfId="727" priority="6" operator="equal">
      <formula>$Z$45</formula>
    </cfRule>
  </conditionalFormatting>
  <conditionalFormatting sqref="AA43">
    <cfRule type="cellIs" dxfId="726" priority="3" operator="notEqual">
      <formula>$AA$45</formula>
    </cfRule>
    <cfRule type="cellIs" dxfId="725" priority="4" operator="equal">
      <formula>$AA$45</formula>
    </cfRule>
  </conditionalFormatting>
  <conditionalFormatting sqref="AB43">
    <cfRule type="cellIs" dxfId="724" priority="1" operator="notEqual">
      <formula>$AB$45</formula>
    </cfRule>
    <cfRule type="cellIs" dxfId="723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9BE9-847B-4556-BC58-559D5B49A2BB}">
  <sheetPr codeName="Planilha15"/>
  <dimension ref="A1:AB49"/>
  <sheetViews>
    <sheetView showGridLines="0" topLeftCell="Q30" workbookViewId="0">
      <selection activeCell="AB43" sqref="AB43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12" t="s">
        <v>61</v>
      </c>
      <c r="B1" s="112" t="s">
        <v>62</v>
      </c>
      <c r="C1" s="112" t="s">
        <v>63</v>
      </c>
      <c r="D1" s="112" t="s">
        <v>64</v>
      </c>
      <c r="E1" s="112" t="s">
        <v>65</v>
      </c>
      <c r="F1" s="112" t="s">
        <v>15</v>
      </c>
      <c r="G1" s="112" t="s">
        <v>67</v>
      </c>
      <c r="H1" s="112" t="s">
        <v>68</v>
      </c>
      <c r="I1" s="112" t="s">
        <v>460</v>
      </c>
      <c r="J1" s="100"/>
      <c r="L1" s="110" t="s">
        <v>488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8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00"/>
      <c r="L2" s="110" t="s">
        <v>388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</row>
    <row r="3" spans="1:28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00"/>
      <c r="L3" s="110" t="s">
        <v>361</v>
      </c>
      <c r="M3" s="110"/>
      <c r="N3" s="110"/>
      <c r="O3" s="110"/>
      <c r="P3" s="110"/>
      <c r="Q3" s="110"/>
      <c r="R3" s="110" t="s">
        <v>392</v>
      </c>
      <c r="S3" s="110"/>
      <c r="T3" s="110" t="s">
        <v>370</v>
      </c>
      <c r="U3" s="110"/>
      <c r="V3" s="110"/>
      <c r="W3" s="110"/>
      <c r="X3" s="110" t="s">
        <v>380</v>
      </c>
      <c r="Y3" s="110"/>
      <c r="Z3" s="110" t="s">
        <v>383</v>
      </c>
      <c r="AA3" s="110"/>
      <c r="AB3" s="110" t="s">
        <v>369</v>
      </c>
    </row>
    <row r="4" spans="1:28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100"/>
      <c r="L4" s="24" t="s">
        <v>363</v>
      </c>
      <c r="M4" s="24" t="s">
        <v>389</v>
      </c>
      <c r="N4" s="24" t="s">
        <v>390</v>
      </c>
      <c r="O4" s="24" t="s">
        <v>449</v>
      </c>
      <c r="P4" s="24" t="s">
        <v>391</v>
      </c>
      <c r="Q4" s="24" t="s">
        <v>369</v>
      </c>
      <c r="R4" s="24" t="s">
        <v>393</v>
      </c>
      <c r="S4" s="24" t="s">
        <v>369</v>
      </c>
      <c r="T4" s="24" t="s">
        <v>394</v>
      </c>
      <c r="U4" s="24" t="s">
        <v>395</v>
      </c>
      <c r="V4" s="24" t="s">
        <v>396</v>
      </c>
      <c r="W4" s="24" t="s">
        <v>369</v>
      </c>
      <c r="X4" s="24" t="s">
        <v>381</v>
      </c>
      <c r="Y4" s="24" t="s">
        <v>369</v>
      </c>
      <c r="Z4" s="24" t="s">
        <v>397</v>
      </c>
      <c r="AA4" s="24" t="s">
        <v>369</v>
      </c>
      <c r="AB4" s="111"/>
    </row>
    <row r="5" spans="1:28" ht="11.25" customHeight="1" x14ac:dyDescent="0.25">
      <c r="A5" s="113" t="s">
        <v>35</v>
      </c>
      <c r="B5" s="113" t="s">
        <v>70</v>
      </c>
      <c r="C5" s="113" t="s">
        <v>25</v>
      </c>
      <c r="D5" s="113" t="s">
        <v>25</v>
      </c>
      <c r="E5" s="113" t="s">
        <v>25</v>
      </c>
      <c r="F5" s="113" t="s">
        <v>25</v>
      </c>
      <c r="G5" s="22" t="s">
        <v>72</v>
      </c>
      <c r="H5" s="22" t="s">
        <v>71</v>
      </c>
      <c r="I5" s="22">
        <f>'MERCADO TE'!$U$2</f>
        <v>917.02499999999986</v>
      </c>
      <c r="J5" s="15"/>
      <c r="L5" s="20">
        <f>'TE BE'!$L$5*'TE BF'!$L$48</f>
        <v>0</v>
      </c>
      <c r="M5" s="20">
        <f>'TE BE'!$M$5*'TE BF'!$M$48</f>
        <v>0</v>
      </c>
      <c r="N5" s="20">
        <f>'TE BE'!$N$5*'TE BF'!$N$48</f>
        <v>0</v>
      </c>
      <c r="O5" s="20">
        <f>'TE BE'!$O$5*'TE BF'!$O$48</f>
        <v>0</v>
      </c>
      <c r="P5" s="20">
        <f>'TE BE'!$P$5*'TE BF'!$P$48</f>
        <v>0</v>
      </c>
      <c r="Q5" s="20">
        <f>SUM($L$5:$P$5)</f>
        <v>0</v>
      </c>
      <c r="R5" s="20">
        <f>'TE BE'!$R$5*'TE BF'!$R$48</f>
        <v>0</v>
      </c>
      <c r="S5" s="20">
        <f>SUM($R$5:$R$5)</f>
        <v>0</v>
      </c>
      <c r="T5" s="20">
        <f>'TE BE'!$T$5*'TE BF'!$T$48</f>
        <v>0</v>
      </c>
      <c r="U5" s="20">
        <f>'TE BE'!$U$5*'TE BF'!$U$48</f>
        <v>0</v>
      </c>
      <c r="V5" s="20">
        <f>'TE BE'!$V$5*'TE BF'!$V$48</f>
        <v>0</v>
      </c>
      <c r="W5" s="20">
        <f>SUM($T$5:$V$5)</f>
        <v>0</v>
      </c>
      <c r="X5" s="20">
        <f>'TE BE'!$AB$5*'TE BF'!$X$48</f>
        <v>0</v>
      </c>
      <c r="Y5" s="20">
        <f>SUM($X$5:$X$5)</f>
        <v>0</v>
      </c>
      <c r="Z5" s="20">
        <f>'TE BE'!$Z$5*'TE BF'!$Z$48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25">
      <c r="A6" s="113"/>
      <c r="B6" s="113"/>
      <c r="C6" s="113"/>
      <c r="D6" s="113"/>
      <c r="E6" s="113"/>
      <c r="F6" s="113"/>
      <c r="G6" s="22" t="s">
        <v>73</v>
      </c>
      <c r="H6" s="22" t="s">
        <v>71</v>
      </c>
      <c r="I6" s="22">
        <f>'MERCADO TE'!$U$3</f>
        <v>14461.756000000001</v>
      </c>
      <c r="J6" s="15"/>
      <c r="L6" s="20">
        <f>'TE BE'!$L$6*'TE BF'!$L$48</f>
        <v>0</v>
      </c>
      <c r="M6" s="20">
        <f>'TE BE'!$M$6*'TE BF'!$M$48</f>
        <v>0</v>
      </c>
      <c r="N6" s="20">
        <f>'TE BE'!$N$6*'TE BF'!$N$48</f>
        <v>0</v>
      </c>
      <c r="O6" s="20">
        <f>'TE BE'!$O$6*'TE BF'!$O$48</f>
        <v>0</v>
      </c>
      <c r="P6" s="20">
        <f>'TE BE'!$P$6*'TE BF'!$P$48</f>
        <v>0</v>
      </c>
      <c r="Q6" s="20">
        <f>SUM($L$6:$P$6)</f>
        <v>0</v>
      </c>
      <c r="R6" s="20">
        <f>'TE BE'!$R$6*'TE BF'!$R$48</f>
        <v>0</v>
      </c>
      <c r="S6" s="20">
        <f>SUM($R$6:$R$6)</f>
        <v>0</v>
      </c>
      <c r="T6" s="20">
        <f>'TE BE'!$T$6*'TE BF'!$T$48</f>
        <v>0</v>
      </c>
      <c r="U6" s="20">
        <f>'TE BE'!$U$6*'TE BF'!$U$48</f>
        <v>0</v>
      </c>
      <c r="V6" s="20">
        <f>'TE BE'!$V$6*'TE BF'!$V$48</f>
        <v>0</v>
      </c>
      <c r="W6" s="20">
        <f>SUM($T$6:$V$6)</f>
        <v>0</v>
      </c>
      <c r="X6" s="20">
        <f>'TE BE'!$AB$6*'TE BF'!$X$48</f>
        <v>0</v>
      </c>
      <c r="Y6" s="20">
        <f>SUM($X$6:$X$6)</f>
        <v>0</v>
      </c>
      <c r="Z6" s="20">
        <f>'TE BE'!$Z$6*'TE BF'!$Z$48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25">
      <c r="A7" s="113" t="s">
        <v>22</v>
      </c>
      <c r="B7" s="113" t="s">
        <v>70</v>
      </c>
      <c r="C7" s="113" t="s">
        <v>24</v>
      </c>
      <c r="D7" s="113" t="s">
        <v>24</v>
      </c>
      <c r="E7" s="113" t="s">
        <v>25</v>
      </c>
      <c r="F7" s="113" t="s">
        <v>25</v>
      </c>
      <c r="G7" s="22" t="s">
        <v>72</v>
      </c>
      <c r="H7" s="22" t="s">
        <v>71</v>
      </c>
      <c r="I7" s="22">
        <f>'MERCADO TE'!$U$4</f>
        <v>0</v>
      </c>
      <c r="J7" s="15"/>
      <c r="L7" s="20">
        <f>'TE BE'!$L$7*'TE BF'!$L$48</f>
        <v>0</v>
      </c>
      <c r="M7" s="20">
        <f>'TE BE'!$M$7*'TE BF'!$M$48</f>
        <v>0</v>
      </c>
      <c r="N7" s="20">
        <f>'TE BE'!$N$7*'TE BF'!$N$48</f>
        <v>0</v>
      </c>
      <c r="O7" s="20">
        <f>'TE BE'!$O$7*'TE BF'!$O$48</f>
        <v>0</v>
      </c>
      <c r="P7" s="20">
        <f>'TE BE'!$P$7*'TE BF'!$P$48</f>
        <v>0</v>
      </c>
      <c r="Q7" s="20">
        <f>SUM($L$7:$P$7)</f>
        <v>0</v>
      </c>
      <c r="R7" s="20">
        <f>'TE BE'!$R$7*'TE BF'!$R$48</f>
        <v>0</v>
      </c>
      <c r="S7" s="20">
        <f>SUM($R$7:$R$7)</f>
        <v>0</v>
      </c>
      <c r="T7" s="20">
        <f>'TE BE'!$T$7*'TE BF'!$T$48</f>
        <v>0</v>
      </c>
      <c r="U7" s="20">
        <f>'TE BE'!$U$7*'TE BF'!$U$48</f>
        <v>0</v>
      </c>
      <c r="V7" s="20">
        <f>'TE BE'!$V$7*'TE BF'!$V$48</f>
        <v>0</v>
      </c>
      <c r="W7" s="20">
        <f>SUM($T$7:$V$7)</f>
        <v>0</v>
      </c>
      <c r="X7" s="20">
        <f>'TE BE'!$AB$7*'TE BF'!$X$48</f>
        <v>0</v>
      </c>
      <c r="Y7" s="20">
        <f>SUM($X$7:$X$7)</f>
        <v>0</v>
      </c>
      <c r="Z7" s="20">
        <f>'TE BE'!$Z$7*'TE BF'!$Z$48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25">
      <c r="A8" s="113"/>
      <c r="B8" s="113"/>
      <c r="C8" s="113"/>
      <c r="D8" s="113"/>
      <c r="E8" s="113"/>
      <c r="F8" s="113"/>
      <c r="G8" s="22" t="s">
        <v>83</v>
      </c>
      <c r="H8" s="22" t="s">
        <v>71</v>
      </c>
      <c r="I8" s="22">
        <f>'MERCADO TE'!$U$5</f>
        <v>0</v>
      </c>
      <c r="J8" s="15"/>
      <c r="L8" s="20">
        <f>'TE BE'!$L$8*'TE BF'!$L$48</f>
        <v>0</v>
      </c>
      <c r="M8" s="20">
        <f>'TE BE'!$M$8*'TE BF'!$M$48</f>
        <v>0</v>
      </c>
      <c r="N8" s="20">
        <f>'TE BE'!$N$8*'TE BF'!$N$48</f>
        <v>0</v>
      </c>
      <c r="O8" s="20">
        <f>'TE BE'!$O$8*'TE BF'!$O$48</f>
        <v>0</v>
      </c>
      <c r="P8" s="20">
        <f>'TE BE'!$P$8*'TE BF'!$P$48</f>
        <v>0</v>
      </c>
      <c r="Q8" s="20">
        <f>SUM($L$8:$P$8)</f>
        <v>0</v>
      </c>
      <c r="R8" s="20">
        <f>'TE BE'!$R$8*'TE BF'!$R$48</f>
        <v>0</v>
      </c>
      <c r="S8" s="20">
        <f>SUM($R$8:$R$8)</f>
        <v>0</v>
      </c>
      <c r="T8" s="20">
        <f>'TE BE'!$T$8*'TE BF'!$T$48</f>
        <v>0</v>
      </c>
      <c r="U8" s="20">
        <f>'TE BE'!$U$8*'TE BF'!$U$48</f>
        <v>0</v>
      </c>
      <c r="V8" s="20">
        <f>'TE BE'!$V$8*'TE BF'!$V$48</f>
        <v>0</v>
      </c>
      <c r="W8" s="20">
        <f>SUM($T$8:$V$8)</f>
        <v>0</v>
      </c>
      <c r="X8" s="20">
        <f>'TE BE'!$AB$8*'TE BF'!$X$48</f>
        <v>0</v>
      </c>
      <c r="Y8" s="20">
        <f>SUM($X$8:$X$8)</f>
        <v>0</v>
      </c>
      <c r="Z8" s="20">
        <f>'TE BE'!$Z$8*'TE BF'!$Z$48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25">
      <c r="A9" s="113"/>
      <c r="B9" s="113"/>
      <c r="C9" s="113"/>
      <c r="D9" s="113"/>
      <c r="E9" s="113"/>
      <c r="F9" s="113"/>
      <c r="G9" s="22" t="s">
        <v>73</v>
      </c>
      <c r="H9" s="22" t="s">
        <v>71</v>
      </c>
      <c r="I9" s="22">
        <f>'MERCADO TE'!$U$6</f>
        <v>0</v>
      </c>
      <c r="J9" s="15"/>
      <c r="L9" s="20">
        <f>'TE BE'!$L$9*'TE BF'!$L$48</f>
        <v>0</v>
      </c>
      <c r="M9" s="20">
        <f>'TE BE'!$M$9*'TE BF'!$M$48</f>
        <v>0</v>
      </c>
      <c r="N9" s="20">
        <f>'TE BE'!$N$9*'TE BF'!$N$48</f>
        <v>0</v>
      </c>
      <c r="O9" s="20">
        <f>'TE BE'!$O$9*'TE BF'!$O$48</f>
        <v>0</v>
      </c>
      <c r="P9" s="20">
        <f>'TE BE'!$P$9*'TE BF'!$P$48</f>
        <v>0</v>
      </c>
      <c r="Q9" s="20">
        <f>SUM($L$9:$P$9)</f>
        <v>0</v>
      </c>
      <c r="R9" s="20">
        <f>'TE BE'!$R$9*'TE BF'!$R$48</f>
        <v>0</v>
      </c>
      <c r="S9" s="20">
        <f>SUM($R$9:$R$9)</f>
        <v>0</v>
      </c>
      <c r="T9" s="20">
        <f>'TE BE'!$T$9*'TE BF'!$T$48</f>
        <v>0</v>
      </c>
      <c r="U9" s="20">
        <f>'TE BE'!$U$9*'TE BF'!$U$48</f>
        <v>0</v>
      </c>
      <c r="V9" s="20">
        <f>'TE BE'!$V$9*'TE BF'!$V$48</f>
        <v>0</v>
      </c>
      <c r="W9" s="20">
        <f>SUM($T$9:$V$9)</f>
        <v>0</v>
      </c>
      <c r="X9" s="20">
        <f>'TE BE'!$AB$9*'TE BF'!$X$48</f>
        <v>0</v>
      </c>
      <c r="Y9" s="20">
        <f>SUM($X$9:$X$9)</f>
        <v>0</v>
      </c>
      <c r="Z9" s="20">
        <f>'TE BE'!$Z$9*'TE BF'!$Z$48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25">
      <c r="A10" s="113"/>
      <c r="B10" s="113" t="s">
        <v>84</v>
      </c>
      <c r="C10" s="113" t="s">
        <v>24</v>
      </c>
      <c r="D10" s="23" t="s">
        <v>24</v>
      </c>
      <c r="E10" s="23" t="s">
        <v>25</v>
      </c>
      <c r="F10" s="23" t="s">
        <v>25</v>
      </c>
      <c r="G10" s="22" t="s">
        <v>77</v>
      </c>
      <c r="H10" s="22" t="s">
        <v>71</v>
      </c>
      <c r="I10" s="22">
        <f>'MERCADO TE'!$U$7</f>
        <v>13817.398000000001</v>
      </c>
      <c r="J10" s="15"/>
      <c r="L10" s="20">
        <f>'TE BE'!$L$10*'TE BF'!$L$48</f>
        <v>0</v>
      </c>
      <c r="M10" s="20">
        <f>'TE BE'!$M$10*'TE BF'!$M$48</f>
        <v>0</v>
      </c>
      <c r="N10" s="20">
        <f>'TE BE'!$N$10*'TE BF'!$N$48</f>
        <v>0</v>
      </c>
      <c r="O10" s="20">
        <f>'TE BE'!$O$10*'TE BF'!$O$48</f>
        <v>0</v>
      </c>
      <c r="P10" s="20">
        <f>'TE BE'!$P$10*'TE BF'!$P$48</f>
        <v>0</v>
      </c>
      <c r="Q10" s="20">
        <f>SUM($L$10:$P$10)</f>
        <v>0</v>
      </c>
      <c r="R10" s="20">
        <f>'TE BE'!$R$10*'TE BF'!$R$48</f>
        <v>0</v>
      </c>
      <c r="S10" s="20">
        <f>SUM($R$10:$R$10)</f>
        <v>0</v>
      </c>
      <c r="T10" s="20">
        <f>'TE BE'!$T$10*'TE BF'!$T$48</f>
        <v>0</v>
      </c>
      <c r="U10" s="20">
        <f>'TE BE'!$U$10*'TE BF'!$U$48</f>
        <v>0</v>
      </c>
      <c r="V10" s="20">
        <f>'TE BE'!$V$10*'TE BF'!$V$48</f>
        <v>0</v>
      </c>
      <c r="W10" s="20">
        <f>SUM($T$10:$V$10)</f>
        <v>0</v>
      </c>
      <c r="X10" s="20">
        <f>'TE BE'!$AB$10*'TE BF'!$X$48</f>
        <v>0</v>
      </c>
      <c r="Y10" s="20">
        <f>SUM($X$10:$X$10)</f>
        <v>0</v>
      </c>
      <c r="Z10" s="20">
        <f>'TE BE'!$Z$10*'TE BF'!$Z$48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25">
      <c r="A11" s="113"/>
      <c r="B11" s="113"/>
      <c r="C11" s="113"/>
      <c r="D11" s="23" t="s">
        <v>29</v>
      </c>
      <c r="E11" s="23" t="s">
        <v>25</v>
      </c>
      <c r="F11" s="23" t="s">
        <v>25</v>
      </c>
      <c r="G11" s="22" t="s">
        <v>77</v>
      </c>
      <c r="H11" s="22" t="s">
        <v>71</v>
      </c>
      <c r="I11" s="22">
        <f>'MERCADO TE'!$U$8</f>
        <v>152.22200000000001</v>
      </c>
      <c r="J11" s="15"/>
      <c r="L11" s="20">
        <f>'TE BE'!$L$11*'TE BF'!$L$48</f>
        <v>0</v>
      </c>
      <c r="M11" s="20">
        <f>'TE BE'!$M$11*'TE BF'!$M$48</f>
        <v>0</v>
      </c>
      <c r="N11" s="20">
        <f>'TE BE'!$N$11*'TE BF'!$N$48</f>
        <v>0</v>
      </c>
      <c r="O11" s="20">
        <f>'TE BE'!$O$11*'TE BF'!$O$48</f>
        <v>0</v>
      </c>
      <c r="P11" s="20">
        <f>'TE BE'!$P$11*'TE BF'!$P$48</f>
        <v>0</v>
      </c>
      <c r="Q11" s="20">
        <f>SUM($L$11:$P$11)</f>
        <v>0</v>
      </c>
      <c r="R11" s="20">
        <f>'TE BE'!$R$11*'TE BF'!$R$48</f>
        <v>0</v>
      </c>
      <c r="S11" s="20">
        <f>SUM($R$11:$R$11)</f>
        <v>0</v>
      </c>
      <c r="T11" s="20">
        <f>'TE BE'!$T$11*'TE BF'!$T$48</f>
        <v>0</v>
      </c>
      <c r="U11" s="20">
        <f>'TE BE'!$U$11*'TE BF'!$U$48</f>
        <v>0</v>
      </c>
      <c r="V11" s="20">
        <f>'TE BE'!$V$11*'TE BF'!$V$48</f>
        <v>0</v>
      </c>
      <c r="W11" s="20">
        <f>SUM($T$11:$V$11)</f>
        <v>0</v>
      </c>
      <c r="X11" s="20">
        <f>'TE BE'!$AB$11*'TE BF'!$X$48</f>
        <v>0</v>
      </c>
      <c r="Y11" s="20">
        <f>SUM($X$11:$X$11)</f>
        <v>0</v>
      </c>
      <c r="Z11" s="20">
        <f>'TE BE'!$Z$11*'TE BF'!$Z$48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25">
      <c r="A12" s="113"/>
      <c r="B12" s="113"/>
      <c r="C12" s="113"/>
      <c r="D12" s="23" t="s">
        <v>30</v>
      </c>
      <c r="E12" s="23" t="s">
        <v>25</v>
      </c>
      <c r="F12" s="23" t="s">
        <v>25</v>
      </c>
      <c r="G12" s="22" t="s">
        <v>77</v>
      </c>
      <c r="H12" s="22" t="s">
        <v>71</v>
      </c>
      <c r="I12" s="22">
        <f>'MERCADO TE'!$U$9</f>
        <v>271.62199999999996</v>
      </c>
      <c r="J12" s="15"/>
      <c r="L12" s="20">
        <f>'TE BE'!$L$12*'TE BF'!$L$48</f>
        <v>0</v>
      </c>
      <c r="M12" s="20">
        <f>'TE BE'!$M$12*'TE BF'!$M$48</f>
        <v>0</v>
      </c>
      <c r="N12" s="20">
        <f>'TE BE'!$N$12*'TE BF'!$N$48</f>
        <v>0</v>
      </c>
      <c r="O12" s="20">
        <f>'TE BE'!$O$12*'TE BF'!$O$48</f>
        <v>0</v>
      </c>
      <c r="P12" s="20">
        <f>'TE BE'!$P$12*'TE BF'!$P$48</f>
        <v>0</v>
      </c>
      <c r="Q12" s="20">
        <f>SUM($L$12:$P$12)</f>
        <v>0</v>
      </c>
      <c r="R12" s="20">
        <f>'TE BE'!$R$12*'TE BF'!$R$48</f>
        <v>0</v>
      </c>
      <c r="S12" s="20">
        <f>SUM($R$12:$R$12)</f>
        <v>0</v>
      </c>
      <c r="T12" s="20">
        <f>'TE BE'!$T$12*'TE BF'!$T$48</f>
        <v>0</v>
      </c>
      <c r="U12" s="20">
        <f>'TE BE'!$U$12*'TE BF'!$U$48</f>
        <v>0</v>
      </c>
      <c r="V12" s="20">
        <f>'TE BE'!$V$12*'TE BF'!$V$48</f>
        <v>0</v>
      </c>
      <c r="W12" s="20">
        <f>SUM($T$12:$V$12)</f>
        <v>0</v>
      </c>
      <c r="X12" s="20">
        <f>'TE BE'!$AB$12*'TE BF'!$X$48</f>
        <v>0</v>
      </c>
      <c r="Y12" s="20">
        <f>SUM($X$12:$X$12)</f>
        <v>0</v>
      </c>
      <c r="Z12" s="20">
        <f>'TE BE'!$Z$12*'TE BF'!$Z$48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25">
      <c r="A13" s="113"/>
      <c r="B13" s="113"/>
      <c r="C13" s="113"/>
      <c r="D13" s="23" t="s">
        <v>31</v>
      </c>
      <c r="E13" s="23" t="s">
        <v>25</v>
      </c>
      <c r="F13" s="23" t="s">
        <v>25</v>
      </c>
      <c r="G13" s="22" t="s">
        <v>77</v>
      </c>
      <c r="H13" s="22" t="s">
        <v>71</v>
      </c>
      <c r="I13" s="22">
        <f>'MERCADO TE'!$U$10</f>
        <v>195.72200000000001</v>
      </c>
      <c r="J13" s="15"/>
      <c r="L13" s="20">
        <f>'TE BE'!$L$13*'TE BF'!$L$48</f>
        <v>0</v>
      </c>
      <c r="M13" s="20">
        <f>'TE BE'!$M$13*'TE BF'!$M$48</f>
        <v>0</v>
      </c>
      <c r="N13" s="20">
        <f>'TE BE'!$N$13*'TE BF'!$N$48</f>
        <v>0</v>
      </c>
      <c r="O13" s="20">
        <f>'TE BE'!$O$13*'TE BF'!$O$48</f>
        <v>0</v>
      </c>
      <c r="P13" s="20">
        <f>'TE BE'!$P$13*'TE BF'!$P$48</f>
        <v>0</v>
      </c>
      <c r="Q13" s="20">
        <f>SUM($L$13:$P$13)</f>
        <v>0</v>
      </c>
      <c r="R13" s="20">
        <f>'TE BE'!$R$13*'TE BF'!$R$48</f>
        <v>0</v>
      </c>
      <c r="S13" s="20">
        <f>SUM($R$13:$R$13)</f>
        <v>0</v>
      </c>
      <c r="T13" s="20">
        <f>'TE BE'!$T$13*'TE BF'!$T$48</f>
        <v>0</v>
      </c>
      <c r="U13" s="20">
        <f>'TE BE'!$U$13*'TE BF'!$U$48</f>
        <v>0</v>
      </c>
      <c r="V13" s="20">
        <f>'TE BE'!$V$13*'TE BF'!$V$48</f>
        <v>0</v>
      </c>
      <c r="W13" s="20">
        <f>SUM($T$13:$V$13)</f>
        <v>0</v>
      </c>
      <c r="X13" s="20">
        <f>'TE BE'!$AB$13*'TE BF'!$X$48</f>
        <v>0</v>
      </c>
      <c r="Y13" s="20">
        <f>SUM($X$13:$X$13)</f>
        <v>0</v>
      </c>
      <c r="Z13" s="20">
        <f>'TE BE'!$Z$13*'TE BF'!$Z$48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25">
      <c r="A14" s="113"/>
      <c r="B14" s="113"/>
      <c r="C14" s="113"/>
      <c r="D14" s="23" t="s">
        <v>32</v>
      </c>
      <c r="E14" s="23" t="s">
        <v>25</v>
      </c>
      <c r="F14" s="23" t="s">
        <v>25</v>
      </c>
      <c r="G14" s="22" t="s">
        <v>77</v>
      </c>
      <c r="H14" s="22" t="s">
        <v>71</v>
      </c>
      <c r="I14" s="22">
        <f>'MERCADO TE'!$U$11</f>
        <v>56.320999999999998</v>
      </c>
      <c r="J14" s="15"/>
      <c r="L14" s="20">
        <f>'TE BE'!$L$14*'TE BF'!$L$48</f>
        <v>0</v>
      </c>
      <c r="M14" s="20">
        <f>'TE BE'!$M$14*'TE BF'!$M$48</f>
        <v>0</v>
      </c>
      <c r="N14" s="20">
        <f>'TE BE'!$N$14*'TE BF'!$N$48</f>
        <v>0</v>
      </c>
      <c r="O14" s="20">
        <f>'TE BE'!$O$14*'TE BF'!$O$48</f>
        <v>0</v>
      </c>
      <c r="P14" s="20">
        <f>'TE BE'!$P$14*'TE BF'!$P$48</f>
        <v>0</v>
      </c>
      <c r="Q14" s="20">
        <f>SUM($L$14:$P$14)</f>
        <v>0</v>
      </c>
      <c r="R14" s="20">
        <f>'TE BE'!$R$14*'TE BF'!$R$48</f>
        <v>0</v>
      </c>
      <c r="S14" s="20">
        <f>SUM($R$14:$R$14)</f>
        <v>0</v>
      </c>
      <c r="T14" s="20">
        <f>'TE BE'!$T$14*'TE BF'!$T$48</f>
        <v>0</v>
      </c>
      <c r="U14" s="20">
        <f>'TE BE'!$U$14*'TE BF'!$U$48</f>
        <v>0</v>
      </c>
      <c r="V14" s="20">
        <f>'TE BE'!$V$14*'TE BF'!$V$48</f>
        <v>0</v>
      </c>
      <c r="W14" s="20">
        <f>SUM($T$14:$V$14)</f>
        <v>0</v>
      </c>
      <c r="X14" s="20">
        <f>'TE BE'!$AB$14*'TE BF'!$X$48</f>
        <v>0</v>
      </c>
      <c r="Y14" s="20">
        <f>SUM($X$14:$X$14)</f>
        <v>0</v>
      </c>
      <c r="Z14" s="20">
        <f>'TE BE'!$Z$14*'TE BF'!$Z$48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25">
      <c r="A15" s="113"/>
      <c r="B15" s="113" t="s">
        <v>86</v>
      </c>
      <c r="C15" s="113" t="s">
        <v>24</v>
      </c>
      <c r="D15" s="23" t="s">
        <v>24</v>
      </c>
      <c r="E15" s="23" t="s">
        <v>25</v>
      </c>
      <c r="F15" s="23" t="s">
        <v>25</v>
      </c>
      <c r="G15" s="22" t="s">
        <v>77</v>
      </c>
      <c r="H15" s="22" t="s">
        <v>71</v>
      </c>
      <c r="I15" s="22">
        <f>'MERCADO TE'!$U$12</f>
        <v>0</v>
      </c>
      <c r="J15" s="15"/>
      <c r="L15" s="20">
        <f>'TE BE'!$L$15*'TE BF'!$L$48</f>
        <v>0</v>
      </c>
      <c r="M15" s="20">
        <f>'TE BE'!$M$15*'TE BF'!$M$48</f>
        <v>0</v>
      </c>
      <c r="N15" s="20">
        <f>'TE BE'!$N$15*'TE BF'!$N$48</f>
        <v>0</v>
      </c>
      <c r="O15" s="20">
        <f>'TE BE'!$O$15*'TE BF'!$O$48</f>
        <v>0</v>
      </c>
      <c r="P15" s="20">
        <f>'TE BE'!$P$15*'TE BF'!$P$48</f>
        <v>0</v>
      </c>
      <c r="Q15" s="20">
        <f>SUM($L$15:$P$15)</f>
        <v>0</v>
      </c>
      <c r="R15" s="20">
        <f>'TE BE'!$R$15*'TE BF'!$R$48</f>
        <v>0</v>
      </c>
      <c r="S15" s="20">
        <f>SUM($R$15:$R$15)</f>
        <v>0</v>
      </c>
      <c r="T15" s="20">
        <f>'TE BE'!$T$15*'TE BF'!$T$48</f>
        <v>0</v>
      </c>
      <c r="U15" s="20">
        <f>'TE BE'!$U$15*'TE BF'!$U$48</f>
        <v>0</v>
      </c>
      <c r="V15" s="20">
        <f>'TE BE'!$V$15*'TE BF'!$V$48</f>
        <v>0</v>
      </c>
      <c r="W15" s="20">
        <f>SUM($T$15:$V$15)</f>
        <v>0</v>
      </c>
      <c r="X15" s="20">
        <f>'TE BE'!$AB$15*'TE BF'!$X$48</f>
        <v>0</v>
      </c>
      <c r="Y15" s="20">
        <f>SUM($X$15:$X$15)</f>
        <v>0</v>
      </c>
      <c r="Z15" s="20">
        <f>'TE BE'!$Z$15*'TE BF'!$Z$48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25">
      <c r="A16" s="113"/>
      <c r="B16" s="113"/>
      <c r="C16" s="113"/>
      <c r="D16" s="23" t="s">
        <v>29</v>
      </c>
      <c r="E16" s="23" t="s">
        <v>25</v>
      </c>
      <c r="F16" s="23" t="s">
        <v>25</v>
      </c>
      <c r="G16" s="22" t="s">
        <v>77</v>
      </c>
      <c r="H16" s="22" t="s">
        <v>71</v>
      </c>
      <c r="I16" s="22">
        <f>'MERCADO TE'!$U$13</f>
        <v>0</v>
      </c>
      <c r="J16" s="15"/>
      <c r="L16" s="20">
        <f>'TE BE'!$L$16*'TE BF'!$L$48</f>
        <v>0</v>
      </c>
      <c r="M16" s="20">
        <f>'TE BE'!$M$16*'TE BF'!$M$48</f>
        <v>0</v>
      </c>
      <c r="N16" s="20">
        <f>'TE BE'!$N$16*'TE BF'!$N$48</f>
        <v>0</v>
      </c>
      <c r="O16" s="20">
        <f>'TE BE'!$O$16*'TE BF'!$O$48</f>
        <v>0</v>
      </c>
      <c r="P16" s="20">
        <f>'TE BE'!$P$16*'TE BF'!$P$48</f>
        <v>0</v>
      </c>
      <c r="Q16" s="20">
        <f>SUM($L$16:$P$16)</f>
        <v>0</v>
      </c>
      <c r="R16" s="20">
        <f>'TE BE'!$R$16*'TE BF'!$R$48</f>
        <v>0</v>
      </c>
      <c r="S16" s="20">
        <f>SUM($R$16:$R$16)</f>
        <v>0</v>
      </c>
      <c r="T16" s="20">
        <f>'TE BE'!$T$16*'TE BF'!$T$48</f>
        <v>0</v>
      </c>
      <c r="U16" s="20">
        <f>'TE BE'!$U$16*'TE BF'!$U$48</f>
        <v>0</v>
      </c>
      <c r="V16" s="20">
        <f>'TE BE'!$V$16*'TE BF'!$V$48</f>
        <v>0</v>
      </c>
      <c r="W16" s="20">
        <f>SUM($T$16:$V$16)</f>
        <v>0</v>
      </c>
      <c r="X16" s="20">
        <f>'TE BE'!$AB$16*'TE BF'!$X$48</f>
        <v>0</v>
      </c>
      <c r="Y16" s="20">
        <f>SUM($X$16:$X$16)</f>
        <v>0</v>
      </c>
      <c r="Z16" s="20">
        <f>'TE BE'!$Z$16*'TE BF'!$Z$48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25">
      <c r="A17" s="113"/>
      <c r="B17" s="113"/>
      <c r="C17" s="113"/>
      <c r="D17" s="23" t="s">
        <v>30</v>
      </c>
      <c r="E17" s="23" t="s">
        <v>25</v>
      </c>
      <c r="F17" s="23" t="s">
        <v>25</v>
      </c>
      <c r="G17" s="22" t="s">
        <v>77</v>
      </c>
      <c r="H17" s="22" t="s">
        <v>71</v>
      </c>
      <c r="I17" s="22">
        <f>'MERCADO TE'!$U$14</f>
        <v>0</v>
      </c>
      <c r="J17" s="15"/>
      <c r="L17" s="20">
        <f>'TE BE'!$L$17*'TE BF'!$L$48</f>
        <v>0</v>
      </c>
      <c r="M17" s="20">
        <f>'TE BE'!$M$17*'TE BF'!$M$48</f>
        <v>0</v>
      </c>
      <c r="N17" s="20">
        <f>'TE BE'!$N$17*'TE BF'!$N$48</f>
        <v>0</v>
      </c>
      <c r="O17" s="20">
        <f>'TE BE'!$O$17*'TE BF'!$O$48</f>
        <v>0</v>
      </c>
      <c r="P17" s="20">
        <f>'TE BE'!$P$17*'TE BF'!$P$48</f>
        <v>0</v>
      </c>
      <c r="Q17" s="20">
        <f>SUM($L$17:$P$17)</f>
        <v>0</v>
      </c>
      <c r="R17" s="20">
        <f>'TE BE'!$R$17*'TE BF'!$R$48</f>
        <v>0</v>
      </c>
      <c r="S17" s="20">
        <f>SUM($R$17:$R$17)</f>
        <v>0</v>
      </c>
      <c r="T17" s="20">
        <f>'TE BE'!$T$17*'TE BF'!$T$48</f>
        <v>0</v>
      </c>
      <c r="U17" s="20">
        <f>'TE BE'!$U$17*'TE BF'!$U$48</f>
        <v>0</v>
      </c>
      <c r="V17" s="20">
        <f>'TE BE'!$V$17*'TE BF'!$V$48</f>
        <v>0</v>
      </c>
      <c r="W17" s="20">
        <f>SUM($T$17:$V$17)</f>
        <v>0</v>
      </c>
      <c r="X17" s="20">
        <f>'TE BE'!$AB$17*'TE BF'!$X$48</f>
        <v>0</v>
      </c>
      <c r="Y17" s="20">
        <f>SUM($X$17:$X$17)</f>
        <v>0</v>
      </c>
      <c r="Z17" s="20">
        <f>'TE BE'!$Z$17*'TE BF'!$Z$48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25">
      <c r="A18" s="113"/>
      <c r="B18" s="113"/>
      <c r="C18" s="113"/>
      <c r="D18" s="23" t="s">
        <v>31</v>
      </c>
      <c r="E18" s="23" t="s">
        <v>25</v>
      </c>
      <c r="F18" s="23" t="s">
        <v>25</v>
      </c>
      <c r="G18" s="22" t="s">
        <v>77</v>
      </c>
      <c r="H18" s="22" t="s">
        <v>71</v>
      </c>
      <c r="I18" s="22">
        <f>'MERCADO TE'!$U$15</f>
        <v>0</v>
      </c>
      <c r="J18" s="15"/>
      <c r="L18" s="20">
        <f>'TE BE'!$L$18*'TE BF'!$L$48</f>
        <v>0</v>
      </c>
      <c r="M18" s="20">
        <f>'TE BE'!$M$18*'TE BF'!$M$48</f>
        <v>0</v>
      </c>
      <c r="N18" s="20">
        <f>'TE BE'!$N$18*'TE BF'!$N$48</f>
        <v>0</v>
      </c>
      <c r="O18" s="20">
        <f>'TE BE'!$O$18*'TE BF'!$O$48</f>
        <v>0</v>
      </c>
      <c r="P18" s="20">
        <f>'TE BE'!$P$18*'TE BF'!$P$48</f>
        <v>0</v>
      </c>
      <c r="Q18" s="20">
        <f>SUM($L$18:$P$18)</f>
        <v>0</v>
      </c>
      <c r="R18" s="20">
        <f>'TE BE'!$R$18*'TE BF'!$R$48</f>
        <v>0</v>
      </c>
      <c r="S18" s="20">
        <f>SUM($R$18:$R$18)</f>
        <v>0</v>
      </c>
      <c r="T18" s="20">
        <f>'TE BE'!$T$18*'TE BF'!$T$48</f>
        <v>0</v>
      </c>
      <c r="U18" s="20">
        <f>'TE BE'!$U$18*'TE BF'!$U$48</f>
        <v>0</v>
      </c>
      <c r="V18" s="20">
        <f>'TE BE'!$V$18*'TE BF'!$V$48</f>
        <v>0</v>
      </c>
      <c r="W18" s="20">
        <f>SUM($T$18:$V$18)</f>
        <v>0</v>
      </c>
      <c r="X18" s="20">
        <f>'TE BE'!$AB$18*'TE BF'!$X$48</f>
        <v>0</v>
      </c>
      <c r="Y18" s="20">
        <f>SUM($X$18:$X$18)</f>
        <v>0</v>
      </c>
      <c r="Z18" s="20">
        <f>'TE BE'!$Z$18*'TE BF'!$Z$48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25">
      <c r="A19" s="113"/>
      <c r="B19" s="113"/>
      <c r="C19" s="113"/>
      <c r="D19" s="23" t="s">
        <v>32</v>
      </c>
      <c r="E19" s="23" t="s">
        <v>25</v>
      </c>
      <c r="F19" s="23" t="s">
        <v>25</v>
      </c>
      <c r="G19" s="22" t="s">
        <v>77</v>
      </c>
      <c r="H19" s="22" t="s">
        <v>71</v>
      </c>
      <c r="I19" s="22">
        <f>'MERCADO TE'!$U$16</f>
        <v>0</v>
      </c>
      <c r="J19" s="15"/>
      <c r="L19" s="20">
        <f>'TE BE'!$L$19*'TE BF'!$L$48</f>
        <v>0</v>
      </c>
      <c r="M19" s="20">
        <f>'TE BE'!$M$19*'TE BF'!$M$48</f>
        <v>0</v>
      </c>
      <c r="N19" s="20">
        <f>'TE BE'!$N$19*'TE BF'!$N$48</f>
        <v>0</v>
      </c>
      <c r="O19" s="20">
        <f>'TE BE'!$O$19*'TE BF'!$O$48</f>
        <v>0</v>
      </c>
      <c r="P19" s="20">
        <f>'TE BE'!$P$19*'TE BF'!$P$48</f>
        <v>0</v>
      </c>
      <c r="Q19" s="20">
        <f>SUM($L$19:$P$19)</f>
        <v>0</v>
      </c>
      <c r="R19" s="20">
        <f>'TE BE'!$R$19*'TE BF'!$R$48</f>
        <v>0</v>
      </c>
      <c r="S19" s="20">
        <f>SUM($R$19:$R$19)</f>
        <v>0</v>
      </c>
      <c r="T19" s="20">
        <f>'TE BE'!$T$19*'TE BF'!$T$48</f>
        <v>0</v>
      </c>
      <c r="U19" s="20">
        <f>'TE BE'!$U$19*'TE BF'!$U$48</f>
        <v>0</v>
      </c>
      <c r="V19" s="20">
        <f>'TE BE'!$V$19*'TE BF'!$V$48</f>
        <v>0</v>
      </c>
      <c r="W19" s="20">
        <f>SUM($T$19:$V$19)</f>
        <v>0</v>
      </c>
      <c r="X19" s="20">
        <f>'TE BE'!$AB$19*'TE BF'!$X$48</f>
        <v>0</v>
      </c>
      <c r="Y19" s="20">
        <f>SUM($X$19:$X$19)</f>
        <v>0</v>
      </c>
      <c r="Z19" s="20">
        <f>'TE BE'!$Z$19*'TE BF'!$Z$48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25">
      <c r="A20" s="113" t="s">
        <v>40</v>
      </c>
      <c r="B20" s="113" t="s">
        <v>70</v>
      </c>
      <c r="C20" s="113" t="s">
        <v>41</v>
      </c>
      <c r="D20" s="113" t="s">
        <v>25</v>
      </c>
      <c r="E20" s="113" t="s">
        <v>25</v>
      </c>
      <c r="F20" s="113" t="s">
        <v>25</v>
      </c>
      <c r="G20" s="22" t="s">
        <v>72</v>
      </c>
      <c r="H20" s="22" t="s">
        <v>71</v>
      </c>
      <c r="I20" s="22">
        <f>'MERCADO TE'!$U$17</f>
        <v>0</v>
      </c>
      <c r="J20" s="15"/>
      <c r="L20" s="20">
        <f>'TE BE'!$L$20*'TE BF'!$L$48</f>
        <v>0</v>
      </c>
      <c r="M20" s="20">
        <f>'TE BE'!$M$20*'TE BF'!$M$48</f>
        <v>0</v>
      </c>
      <c r="N20" s="20">
        <f>'TE BE'!$N$20*'TE BF'!$N$48</f>
        <v>0</v>
      </c>
      <c r="O20" s="20">
        <f>'TE BE'!$O$20*'TE BF'!$O$48</f>
        <v>0</v>
      </c>
      <c r="P20" s="20">
        <f>'TE BE'!$P$20*'TE BF'!$P$48</f>
        <v>0</v>
      </c>
      <c r="Q20" s="20">
        <f>SUM($L$20:$P$20)</f>
        <v>0</v>
      </c>
      <c r="R20" s="20">
        <f>'TE BE'!$R$20*'TE BF'!$R$48</f>
        <v>0</v>
      </c>
      <c r="S20" s="20">
        <f>SUM($R$20:$R$20)</f>
        <v>0</v>
      </c>
      <c r="T20" s="20">
        <f>'TE BE'!$T$20*'TE BF'!$T$48</f>
        <v>0</v>
      </c>
      <c r="U20" s="20">
        <f>'TE BE'!$U$20*'TE BF'!$U$48</f>
        <v>0</v>
      </c>
      <c r="V20" s="20">
        <f>'TE BE'!$V$20*'TE BF'!$V$48</f>
        <v>0</v>
      </c>
      <c r="W20" s="20">
        <f>SUM($T$20:$V$20)</f>
        <v>0</v>
      </c>
      <c r="X20" s="20">
        <f>'TE BE'!$AB$20*'TE BF'!$X$48</f>
        <v>0</v>
      </c>
      <c r="Y20" s="20">
        <f>SUM($X$20:$X$20)</f>
        <v>0</v>
      </c>
      <c r="Z20" s="20">
        <f>'TE BE'!$Z$20*'TE BF'!$Z$48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25">
      <c r="A21" s="113"/>
      <c r="B21" s="113"/>
      <c r="C21" s="113"/>
      <c r="D21" s="113"/>
      <c r="E21" s="113"/>
      <c r="F21" s="113"/>
      <c r="G21" s="22" t="s">
        <v>83</v>
      </c>
      <c r="H21" s="22" t="s">
        <v>71</v>
      </c>
      <c r="I21" s="22">
        <f>'MERCADO TE'!$U$18</f>
        <v>0</v>
      </c>
      <c r="J21" s="15"/>
      <c r="L21" s="20">
        <f>'TE BE'!$L$21*'TE BF'!$L$48</f>
        <v>0</v>
      </c>
      <c r="M21" s="20">
        <f>'TE BE'!$M$21*'TE BF'!$M$48</f>
        <v>0</v>
      </c>
      <c r="N21" s="20">
        <f>'TE BE'!$N$21*'TE BF'!$N$48</f>
        <v>0</v>
      </c>
      <c r="O21" s="20">
        <f>'TE BE'!$O$21*'TE BF'!$O$48</f>
        <v>0</v>
      </c>
      <c r="P21" s="20">
        <f>'TE BE'!$P$21*'TE BF'!$P$48</f>
        <v>0</v>
      </c>
      <c r="Q21" s="20">
        <f>SUM($L$21:$P$21)</f>
        <v>0</v>
      </c>
      <c r="R21" s="20">
        <f>'TE BE'!$R$21*'TE BF'!$R$48</f>
        <v>0</v>
      </c>
      <c r="S21" s="20">
        <f>SUM($R$21:$R$21)</f>
        <v>0</v>
      </c>
      <c r="T21" s="20">
        <f>'TE BE'!$T$21*'TE BF'!$T$48</f>
        <v>0</v>
      </c>
      <c r="U21" s="20">
        <f>'TE BE'!$U$21*'TE BF'!$U$48</f>
        <v>0</v>
      </c>
      <c r="V21" s="20">
        <f>'TE BE'!$V$21*'TE BF'!$V$48</f>
        <v>0</v>
      </c>
      <c r="W21" s="20">
        <f>SUM($T$21:$V$21)</f>
        <v>0</v>
      </c>
      <c r="X21" s="20">
        <f>'TE BE'!$AB$21*'TE BF'!$X$48</f>
        <v>0</v>
      </c>
      <c r="Y21" s="20">
        <f>SUM($X$21:$X$21)</f>
        <v>0</v>
      </c>
      <c r="Z21" s="20">
        <f>'TE BE'!$Z$21*'TE BF'!$Z$48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25">
      <c r="A22" s="113"/>
      <c r="B22" s="113"/>
      <c r="C22" s="113"/>
      <c r="D22" s="113"/>
      <c r="E22" s="113"/>
      <c r="F22" s="113"/>
      <c r="G22" s="22" t="s">
        <v>73</v>
      </c>
      <c r="H22" s="22" t="s">
        <v>71</v>
      </c>
      <c r="I22" s="22">
        <f>'MERCADO TE'!$U$19</f>
        <v>0</v>
      </c>
      <c r="J22" s="15"/>
      <c r="L22" s="20">
        <f>'TE BE'!$L$22*'TE BF'!$L$48</f>
        <v>0</v>
      </c>
      <c r="M22" s="20">
        <f>'TE BE'!$M$22*'TE BF'!$M$48</f>
        <v>0</v>
      </c>
      <c r="N22" s="20">
        <f>'TE BE'!$N$22*'TE BF'!$N$48</f>
        <v>0</v>
      </c>
      <c r="O22" s="20">
        <f>'TE BE'!$O$22*'TE BF'!$O$48</f>
        <v>0</v>
      </c>
      <c r="P22" s="20">
        <f>'TE BE'!$P$22*'TE BF'!$P$48</f>
        <v>0</v>
      </c>
      <c r="Q22" s="20">
        <f>SUM($L$22:$P$22)</f>
        <v>0</v>
      </c>
      <c r="R22" s="20">
        <f>'TE BE'!$R$22*'TE BF'!$R$48</f>
        <v>0</v>
      </c>
      <c r="S22" s="20">
        <f>SUM($R$22:$R$22)</f>
        <v>0</v>
      </c>
      <c r="T22" s="20">
        <f>'TE BE'!$T$22*'TE BF'!$T$48</f>
        <v>0</v>
      </c>
      <c r="U22" s="20">
        <f>'TE BE'!$U$22*'TE BF'!$U$48</f>
        <v>0</v>
      </c>
      <c r="V22" s="20">
        <f>'TE BE'!$V$22*'TE BF'!$V$48</f>
        <v>0</v>
      </c>
      <c r="W22" s="20">
        <f>SUM($T$22:$V$22)</f>
        <v>0</v>
      </c>
      <c r="X22" s="20">
        <f>'TE BE'!$AB$22*'TE BF'!$X$48</f>
        <v>0</v>
      </c>
      <c r="Y22" s="20">
        <f>SUM($X$22:$X$22)</f>
        <v>0</v>
      </c>
      <c r="Z22" s="20">
        <f>'TE BE'!$Z$22*'TE BF'!$Z$48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25">
      <c r="A23" s="113"/>
      <c r="B23" s="23" t="s">
        <v>84</v>
      </c>
      <c r="C23" s="23" t="s">
        <v>41</v>
      </c>
      <c r="D23" s="23" t="s">
        <v>25</v>
      </c>
      <c r="E23" s="23" t="s">
        <v>25</v>
      </c>
      <c r="F23" s="23" t="s">
        <v>25</v>
      </c>
      <c r="G23" s="22" t="s">
        <v>77</v>
      </c>
      <c r="H23" s="22" t="s">
        <v>71</v>
      </c>
      <c r="I23" s="22">
        <f>'MERCADO TE'!$U$20</f>
        <v>47790.548000000003</v>
      </c>
      <c r="J23" s="15"/>
      <c r="L23" s="20">
        <f>'TE BE'!$L$23*'TE BF'!$L$48</f>
        <v>0</v>
      </c>
      <c r="M23" s="20">
        <f>'TE BE'!$M$23*'TE BF'!$M$48</f>
        <v>0</v>
      </c>
      <c r="N23" s="20">
        <f>'TE BE'!$N$23*'TE BF'!$N$48</f>
        <v>0</v>
      </c>
      <c r="O23" s="20">
        <f>'TE BE'!$O$23*'TE BF'!$O$48</f>
        <v>0</v>
      </c>
      <c r="P23" s="20">
        <f>'TE BE'!$P$23*'TE BF'!$P$48</f>
        <v>0</v>
      </c>
      <c r="Q23" s="20">
        <f>SUM($L$23:$P$23)</f>
        <v>0</v>
      </c>
      <c r="R23" s="20">
        <f>'TE BE'!$R$23*'TE BF'!$R$48</f>
        <v>0</v>
      </c>
      <c r="S23" s="20">
        <f>SUM($R$23:$R$23)</f>
        <v>0</v>
      </c>
      <c r="T23" s="20">
        <f>'TE BE'!$T$23*'TE BF'!$T$48</f>
        <v>0</v>
      </c>
      <c r="U23" s="20">
        <f>'TE BE'!$U$23*'TE BF'!$U$48</f>
        <v>0</v>
      </c>
      <c r="V23" s="20">
        <f>'TE BE'!$V$23*'TE BF'!$V$48</f>
        <v>0</v>
      </c>
      <c r="W23" s="20">
        <f>SUM($T$23:$V$23)</f>
        <v>0</v>
      </c>
      <c r="X23" s="20">
        <f>'TE BE'!$AB$23*'TE BF'!$X$48</f>
        <v>0</v>
      </c>
      <c r="Y23" s="20">
        <f>SUM($X$23:$X$23)</f>
        <v>0</v>
      </c>
      <c r="Z23" s="20">
        <f>'TE BE'!$Z$23*'TE BF'!$Z$48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25">
      <c r="A24" s="113"/>
      <c r="B24" s="113" t="s">
        <v>70</v>
      </c>
      <c r="C24" s="113" t="s">
        <v>41</v>
      </c>
      <c r="D24" s="113" t="s">
        <v>88</v>
      </c>
      <c r="E24" s="113" t="s">
        <v>25</v>
      </c>
      <c r="F24" s="113" t="s">
        <v>25</v>
      </c>
      <c r="G24" s="22" t="s">
        <v>72</v>
      </c>
      <c r="H24" s="22" t="s">
        <v>71</v>
      </c>
      <c r="I24" s="22">
        <f>'MERCADO TE'!$U$21</f>
        <v>0</v>
      </c>
      <c r="J24" s="15"/>
      <c r="L24" s="20">
        <f>'TE BE'!$L$24*'TE BF'!$L$48</f>
        <v>0</v>
      </c>
      <c r="M24" s="20">
        <f>'TE BE'!$M$24*'TE BF'!$M$48</f>
        <v>0</v>
      </c>
      <c r="N24" s="20">
        <f>'TE BE'!$N$24*'TE BF'!$N$48</f>
        <v>0</v>
      </c>
      <c r="O24" s="20">
        <f>'TE BE'!$O$24*'TE BF'!$O$48</f>
        <v>0</v>
      </c>
      <c r="P24" s="20">
        <f>'TE BE'!$P$24*'TE BF'!$P$48</f>
        <v>0</v>
      </c>
      <c r="Q24" s="20">
        <f>SUM($L$24:$P$24)</f>
        <v>0</v>
      </c>
      <c r="R24" s="20">
        <f>'TE BE'!$R$24*'TE BF'!$R$48</f>
        <v>0</v>
      </c>
      <c r="S24" s="20">
        <f>SUM($R$24:$R$24)</f>
        <v>0</v>
      </c>
      <c r="T24" s="20">
        <f>'TE BE'!$T$24*'TE BF'!$T$48</f>
        <v>0</v>
      </c>
      <c r="U24" s="20">
        <f>'TE BE'!$U$24*'TE BF'!$U$48</f>
        <v>0</v>
      </c>
      <c r="V24" s="20">
        <f>'TE BE'!$V$24*'TE BF'!$V$48</f>
        <v>0</v>
      </c>
      <c r="W24" s="20">
        <f>SUM($T$24:$V$24)</f>
        <v>0</v>
      </c>
      <c r="X24" s="20">
        <f>'TE BE'!$AB$24*'TE BF'!$X$48</f>
        <v>0</v>
      </c>
      <c r="Y24" s="20">
        <f>SUM($X$24:$X$24)</f>
        <v>0</v>
      </c>
      <c r="Z24" s="20">
        <f>'TE BE'!$Z$24*'TE BF'!$Z$48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25">
      <c r="A25" s="113"/>
      <c r="B25" s="113"/>
      <c r="C25" s="113"/>
      <c r="D25" s="113"/>
      <c r="E25" s="113"/>
      <c r="F25" s="113"/>
      <c r="G25" s="22" t="s">
        <v>83</v>
      </c>
      <c r="H25" s="22" t="s">
        <v>71</v>
      </c>
      <c r="I25" s="22">
        <f>'MERCADO TE'!$U$22</f>
        <v>0</v>
      </c>
      <c r="J25" s="15"/>
      <c r="L25" s="20">
        <f>'TE BE'!$L$25*'TE BF'!$L$48</f>
        <v>0</v>
      </c>
      <c r="M25" s="20">
        <f>'TE BE'!$M$25*'TE BF'!$M$48</f>
        <v>0</v>
      </c>
      <c r="N25" s="20">
        <f>'TE BE'!$N$25*'TE BF'!$N$48</f>
        <v>0</v>
      </c>
      <c r="O25" s="20">
        <f>'TE BE'!$O$25*'TE BF'!$O$48</f>
        <v>0</v>
      </c>
      <c r="P25" s="20">
        <f>'TE BE'!$P$25*'TE BF'!$P$48</f>
        <v>0</v>
      </c>
      <c r="Q25" s="20">
        <f>SUM($L$25:$P$25)</f>
        <v>0</v>
      </c>
      <c r="R25" s="20">
        <f>'TE BE'!$R$25*'TE BF'!$R$48</f>
        <v>0</v>
      </c>
      <c r="S25" s="20">
        <f>SUM($R$25:$R$25)</f>
        <v>0</v>
      </c>
      <c r="T25" s="20">
        <f>'TE BE'!$T$25*'TE BF'!$T$48</f>
        <v>0</v>
      </c>
      <c r="U25" s="20">
        <f>'TE BE'!$U$25*'TE BF'!$U$48</f>
        <v>0</v>
      </c>
      <c r="V25" s="20">
        <f>'TE BE'!$V$25*'TE BF'!$V$48</f>
        <v>0</v>
      </c>
      <c r="W25" s="20">
        <f>SUM($T$25:$V$25)</f>
        <v>0</v>
      </c>
      <c r="X25" s="20">
        <f>'TE BE'!$AB$25*'TE BF'!$X$48</f>
        <v>0</v>
      </c>
      <c r="Y25" s="20">
        <f>SUM($X$25:$X$25)</f>
        <v>0</v>
      </c>
      <c r="Z25" s="20">
        <f>'TE BE'!$Z$25*'TE BF'!$Z$48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25">
      <c r="A26" s="113"/>
      <c r="B26" s="113"/>
      <c r="C26" s="113"/>
      <c r="D26" s="113"/>
      <c r="E26" s="113"/>
      <c r="F26" s="113"/>
      <c r="G26" s="22" t="s">
        <v>73</v>
      </c>
      <c r="H26" s="22" t="s">
        <v>71</v>
      </c>
      <c r="I26" s="22">
        <f>'MERCADO TE'!$U$23</f>
        <v>0</v>
      </c>
      <c r="J26" s="15"/>
      <c r="L26" s="20">
        <f>'TE BE'!$L$26*'TE BF'!$L$48</f>
        <v>0</v>
      </c>
      <c r="M26" s="20">
        <f>'TE BE'!$M$26*'TE BF'!$M$48</f>
        <v>0</v>
      </c>
      <c r="N26" s="20">
        <f>'TE BE'!$N$26*'TE BF'!$N$48</f>
        <v>0</v>
      </c>
      <c r="O26" s="20">
        <f>'TE BE'!$O$26*'TE BF'!$O$48</f>
        <v>0</v>
      </c>
      <c r="P26" s="20">
        <f>'TE BE'!$P$26*'TE BF'!$P$48</f>
        <v>0</v>
      </c>
      <c r="Q26" s="20">
        <f>SUM($L$26:$P$26)</f>
        <v>0</v>
      </c>
      <c r="R26" s="20">
        <f>'TE BE'!$R$26*'TE BF'!$R$48</f>
        <v>0</v>
      </c>
      <c r="S26" s="20">
        <f>SUM($R$26:$R$26)</f>
        <v>0</v>
      </c>
      <c r="T26" s="20">
        <f>'TE BE'!$T$26*'TE BF'!$T$48</f>
        <v>0</v>
      </c>
      <c r="U26" s="20">
        <f>'TE BE'!$U$26*'TE BF'!$U$48</f>
        <v>0</v>
      </c>
      <c r="V26" s="20">
        <f>'TE BE'!$V$26*'TE BF'!$V$48</f>
        <v>0</v>
      </c>
      <c r="W26" s="20">
        <f>SUM($T$26:$V$26)</f>
        <v>0</v>
      </c>
      <c r="X26" s="20">
        <f>'TE BE'!$AB$26*'TE BF'!$X$48</f>
        <v>0</v>
      </c>
      <c r="Y26" s="20">
        <f>SUM($X$26:$X$26)</f>
        <v>0</v>
      </c>
      <c r="Z26" s="20">
        <f>'TE BE'!$Z$26*'TE BF'!$Z$48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25">
      <c r="A27" s="113"/>
      <c r="B27" s="23" t="s">
        <v>84</v>
      </c>
      <c r="C27" s="23" t="s">
        <v>41</v>
      </c>
      <c r="D27" s="23" t="s">
        <v>88</v>
      </c>
      <c r="E27" s="23" t="s">
        <v>25</v>
      </c>
      <c r="F27" s="23" t="s">
        <v>25</v>
      </c>
      <c r="G27" s="22" t="s">
        <v>77</v>
      </c>
      <c r="H27" s="22" t="s">
        <v>71</v>
      </c>
      <c r="I27" s="22">
        <f>'MERCADO TE'!$U$24</f>
        <v>0</v>
      </c>
      <c r="J27" s="15"/>
      <c r="L27" s="20">
        <f>'TE BE'!$L$27*'TE BF'!$L$48</f>
        <v>0</v>
      </c>
      <c r="M27" s="20">
        <f>'TE BE'!$M$27*'TE BF'!$M$48</f>
        <v>0</v>
      </c>
      <c r="N27" s="20">
        <f>'TE BE'!$N$27*'TE BF'!$N$48</f>
        <v>0</v>
      </c>
      <c r="O27" s="20">
        <f>'TE BE'!$O$27*'TE BF'!$O$48</f>
        <v>0</v>
      </c>
      <c r="P27" s="20">
        <f>'TE BE'!$P$27*'TE BF'!$P$48</f>
        <v>0</v>
      </c>
      <c r="Q27" s="20">
        <f>SUM($L$27:$P$27)</f>
        <v>0</v>
      </c>
      <c r="R27" s="20">
        <f>'TE BE'!$R$27*'TE BF'!$R$48</f>
        <v>0</v>
      </c>
      <c r="S27" s="20">
        <f>SUM($R$27:$R$27)</f>
        <v>0</v>
      </c>
      <c r="T27" s="20">
        <f>'TE BE'!$T$27*'TE BF'!$T$48</f>
        <v>0</v>
      </c>
      <c r="U27" s="20">
        <f>'TE BE'!$U$27*'TE BF'!$U$48</f>
        <v>0</v>
      </c>
      <c r="V27" s="20">
        <f>'TE BE'!$V$27*'TE BF'!$V$48</f>
        <v>0</v>
      </c>
      <c r="W27" s="20">
        <f>SUM($T$27:$V$27)</f>
        <v>0</v>
      </c>
      <c r="X27" s="20">
        <f>'TE BE'!$AB$27*'TE BF'!$X$48</f>
        <v>0</v>
      </c>
      <c r="Y27" s="20">
        <f>SUM($X$27:$X$27)</f>
        <v>0</v>
      </c>
      <c r="Z27" s="20">
        <f>'TE BE'!$Z$27*'TE BF'!$Z$48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25">
      <c r="A28" s="113"/>
      <c r="B28" s="113" t="s">
        <v>70</v>
      </c>
      <c r="C28" s="113" t="s">
        <v>41</v>
      </c>
      <c r="D28" s="113" t="s">
        <v>89</v>
      </c>
      <c r="E28" s="113" t="s">
        <v>25</v>
      </c>
      <c r="F28" s="113" t="s">
        <v>25</v>
      </c>
      <c r="G28" s="22" t="s">
        <v>72</v>
      </c>
      <c r="H28" s="22" t="s">
        <v>71</v>
      </c>
      <c r="I28" s="22">
        <f>'MERCADO TE'!$U$25</f>
        <v>0</v>
      </c>
      <c r="J28" s="15"/>
      <c r="L28" s="20">
        <f>'TE BE'!$L$28*'TE BF'!$L$48</f>
        <v>0</v>
      </c>
      <c r="M28" s="20">
        <f>'TE BE'!$M$28*'TE BF'!$M$48</f>
        <v>0</v>
      </c>
      <c r="N28" s="20">
        <f>'TE BE'!$N$28*'TE BF'!$N$48</f>
        <v>0</v>
      </c>
      <c r="O28" s="20">
        <f>'TE BE'!$O$28*'TE BF'!$O$48</f>
        <v>0</v>
      </c>
      <c r="P28" s="20">
        <f>'TE BE'!$P$28*'TE BF'!$P$48</f>
        <v>0</v>
      </c>
      <c r="Q28" s="20">
        <f>SUM($L$28:$P$28)</f>
        <v>0</v>
      </c>
      <c r="R28" s="20">
        <f>'TE BE'!$R$28*'TE BF'!$R$48</f>
        <v>0</v>
      </c>
      <c r="S28" s="20">
        <f>SUM($R$28:$R$28)</f>
        <v>0</v>
      </c>
      <c r="T28" s="20">
        <f>'TE BE'!$T$28*'TE BF'!$T$48</f>
        <v>0</v>
      </c>
      <c r="U28" s="20">
        <f>'TE BE'!$U$28*'TE BF'!$U$48</f>
        <v>0</v>
      </c>
      <c r="V28" s="20">
        <f>'TE BE'!$V$28*'TE BF'!$V$48</f>
        <v>0</v>
      </c>
      <c r="W28" s="20">
        <f>SUM($T$28:$V$28)</f>
        <v>0</v>
      </c>
      <c r="X28" s="20">
        <f>'TE BE'!$AB$28*'TE BF'!$X$48</f>
        <v>0</v>
      </c>
      <c r="Y28" s="20">
        <f>SUM($X$28:$X$28)</f>
        <v>0</v>
      </c>
      <c r="Z28" s="20">
        <f>'TE BE'!$Z$28*'TE BF'!$Z$48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25">
      <c r="A29" s="113"/>
      <c r="B29" s="113"/>
      <c r="C29" s="113"/>
      <c r="D29" s="113"/>
      <c r="E29" s="113"/>
      <c r="F29" s="113"/>
      <c r="G29" s="22" t="s">
        <v>83</v>
      </c>
      <c r="H29" s="22" t="s">
        <v>71</v>
      </c>
      <c r="I29" s="22">
        <f>'MERCADO TE'!$U$26</f>
        <v>0</v>
      </c>
      <c r="J29" s="15"/>
      <c r="L29" s="20">
        <f>'TE BE'!$L$29*'TE BF'!$L$48</f>
        <v>0</v>
      </c>
      <c r="M29" s="20">
        <f>'TE BE'!$M$29*'TE BF'!$M$48</f>
        <v>0</v>
      </c>
      <c r="N29" s="20">
        <f>'TE BE'!$N$29*'TE BF'!$N$48</f>
        <v>0</v>
      </c>
      <c r="O29" s="20">
        <f>'TE BE'!$O$29*'TE BF'!$O$48</f>
        <v>0</v>
      </c>
      <c r="P29" s="20">
        <f>'TE BE'!$P$29*'TE BF'!$P$48</f>
        <v>0</v>
      </c>
      <c r="Q29" s="20">
        <f>SUM($L$29:$P$29)</f>
        <v>0</v>
      </c>
      <c r="R29" s="20">
        <f>'TE BE'!$R$29*'TE BF'!$R$48</f>
        <v>0</v>
      </c>
      <c r="S29" s="20">
        <f>SUM($R$29:$R$29)</f>
        <v>0</v>
      </c>
      <c r="T29" s="20">
        <f>'TE BE'!$T$29*'TE BF'!$T$48</f>
        <v>0</v>
      </c>
      <c r="U29" s="20">
        <f>'TE BE'!$U$29*'TE BF'!$U$48</f>
        <v>0</v>
      </c>
      <c r="V29" s="20">
        <f>'TE BE'!$V$29*'TE BF'!$V$48</f>
        <v>0</v>
      </c>
      <c r="W29" s="20">
        <f>SUM($T$29:$V$29)</f>
        <v>0</v>
      </c>
      <c r="X29" s="20">
        <f>'TE BE'!$AB$29*'TE BF'!$X$48</f>
        <v>0</v>
      </c>
      <c r="Y29" s="20">
        <f>SUM($X$29:$X$29)</f>
        <v>0</v>
      </c>
      <c r="Z29" s="20">
        <f>'TE BE'!$Z$29*'TE BF'!$Z$48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25">
      <c r="A30" s="113"/>
      <c r="B30" s="113"/>
      <c r="C30" s="113"/>
      <c r="D30" s="113"/>
      <c r="E30" s="113"/>
      <c r="F30" s="113"/>
      <c r="G30" s="22" t="s">
        <v>73</v>
      </c>
      <c r="H30" s="22" t="s">
        <v>71</v>
      </c>
      <c r="I30" s="22">
        <f>'MERCADO TE'!$U$27</f>
        <v>0</v>
      </c>
      <c r="J30" s="15"/>
      <c r="L30" s="20">
        <f>'TE BE'!$L$30*'TE BF'!$L$48</f>
        <v>0</v>
      </c>
      <c r="M30" s="20">
        <f>'TE BE'!$M$30*'TE BF'!$M$48</f>
        <v>0</v>
      </c>
      <c r="N30" s="20">
        <f>'TE BE'!$N$30*'TE BF'!$N$48</f>
        <v>0</v>
      </c>
      <c r="O30" s="20">
        <f>'TE BE'!$O$30*'TE BF'!$O$48</f>
        <v>0</v>
      </c>
      <c r="P30" s="20">
        <f>'TE BE'!$P$30*'TE BF'!$P$48</f>
        <v>0</v>
      </c>
      <c r="Q30" s="20">
        <f>SUM($L$30:$P$30)</f>
        <v>0</v>
      </c>
      <c r="R30" s="20">
        <f>'TE BE'!$R$30*'TE BF'!$R$48</f>
        <v>0</v>
      </c>
      <c r="S30" s="20">
        <f>SUM($R$30:$R$30)</f>
        <v>0</v>
      </c>
      <c r="T30" s="20">
        <f>'TE BE'!$T$30*'TE BF'!$T$48</f>
        <v>0</v>
      </c>
      <c r="U30" s="20">
        <f>'TE BE'!$U$30*'TE BF'!$U$48</f>
        <v>0</v>
      </c>
      <c r="V30" s="20">
        <f>'TE BE'!$V$30*'TE BF'!$V$48</f>
        <v>0</v>
      </c>
      <c r="W30" s="20">
        <f>SUM($T$30:$V$30)</f>
        <v>0</v>
      </c>
      <c r="X30" s="20">
        <f>'TE BE'!$AB$30*'TE BF'!$X$48</f>
        <v>0</v>
      </c>
      <c r="Y30" s="20">
        <f>SUM($X$30:$X$30)</f>
        <v>0</v>
      </c>
      <c r="Z30" s="20">
        <f>'TE BE'!$Z$30*'TE BF'!$Z$48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25">
      <c r="A31" s="113"/>
      <c r="B31" s="23" t="s">
        <v>84</v>
      </c>
      <c r="C31" s="23" t="s">
        <v>41</v>
      </c>
      <c r="D31" s="23" t="s">
        <v>89</v>
      </c>
      <c r="E31" s="23" t="s">
        <v>25</v>
      </c>
      <c r="F31" s="23" t="s">
        <v>25</v>
      </c>
      <c r="G31" s="22" t="s">
        <v>77</v>
      </c>
      <c r="H31" s="22" t="s">
        <v>71</v>
      </c>
      <c r="I31" s="22">
        <f>'MERCADO TE'!$U$28</f>
        <v>0</v>
      </c>
      <c r="J31" s="15"/>
      <c r="L31" s="20">
        <f>'TE BE'!$L$31*'TE BF'!$L$48</f>
        <v>0</v>
      </c>
      <c r="M31" s="20">
        <f>'TE BE'!$M$31*'TE BF'!$M$48</f>
        <v>0</v>
      </c>
      <c r="N31" s="20">
        <f>'TE BE'!$N$31*'TE BF'!$N$48</f>
        <v>0</v>
      </c>
      <c r="O31" s="20">
        <f>'TE BE'!$O$31*'TE BF'!$O$48</f>
        <v>0</v>
      </c>
      <c r="P31" s="20">
        <f>'TE BE'!$P$31*'TE BF'!$P$48</f>
        <v>0</v>
      </c>
      <c r="Q31" s="20">
        <f>SUM($L$31:$P$31)</f>
        <v>0</v>
      </c>
      <c r="R31" s="20">
        <f>'TE BE'!$R$31*'TE BF'!$R$48</f>
        <v>0</v>
      </c>
      <c r="S31" s="20">
        <f>SUM($R$31:$R$31)</f>
        <v>0</v>
      </c>
      <c r="T31" s="20">
        <f>'TE BE'!$T$31*'TE BF'!$T$48</f>
        <v>0</v>
      </c>
      <c r="U31" s="20">
        <f>'TE BE'!$U$31*'TE BF'!$U$48</f>
        <v>0</v>
      </c>
      <c r="V31" s="20">
        <f>'TE BE'!$V$31*'TE BF'!$V$48</f>
        <v>0</v>
      </c>
      <c r="W31" s="20">
        <f>SUM($T$31:$V$31)</f>
        <v>0</v>
      </c>
      <c r="X31" s="20">
        <f>'TE BE'!$AB$31*'TE BF'!$X$48</f>
        <v>0</v>
      </c>
      <c r="Y31" s="20">
        <f>SUM($X$31:$X$31)</f>
        <v>0</v>
      </c>
      <c r="Z31" s="20">
        <f>'TE BE'!$Z$31*'TE BF'!$Z$48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25">
      <c r="A32" s="113"/>
      <c r="B32" s="113" t="s">
        <v>86</v>
      </c>
      <c r="C32" s="113" t="s">
        <v>41</v>
      </c>
      <c r="D32" s="23" t="s">
        <v>25</v>
      </c>
      <c r="E32" s="23" t="s">
        <v>25</v>
      </c>
      <c r="F32" s="23" t="s">
        <v>25</v>
      </c>
      <c r="G32" s="22" t="s">
        <v>77</v>
      </c>
      <c r="H32" s="22" t="s">
        <v>71</v>
      </c>
      <c r="I32" s="22">
        <f>'MERCADO TE'!$U$29</f>
        <v>0</v>
      </c>
      <c r="J32" s="15"/>
      <c r="L32" s="20">
        <f>'TE BE'!$L$32*'TE BF'!$L$48</f>
        <v>0</v>
      </c>
      <c r="M32" s="20">
        <f>'TE BE'!$M$32*'TE BF'!$M$48</f>
        <v>0</v>
      </c>
      <c r="N32" s="20">
        <f>'TE BE'!$N$32*'TE BF'!$N$48</f>
        <v>0</v>
      </c>
      <c r="O32" s="20">
        <f>'TE BE'!$O$32*'TE BF'!$O$48</f>
        <v>0</v>
      </c>
      <c r="P32" s="20">
        <f>'TE BE'!$P$32*'TE BF'!$P$48</f>
        <v>0</v>
      </c>
      <c r="Q32" s="20">
        <f>SUM($L$32:$P$32)</f>
        <v>0</v>
      </c>
      <c r="R32" s="20">
        <f>'TE BE'!$R$32*'TE BF'!$R$48</f>
        <v>0</v>
      </c>
      <c r="S32" s="20">
        <f>SUM($R$32:$R$32)</f>
        <v>0</v>
      </c>
      <c r="T32" s="20">
        <f>'TE BE'!$T$32*'TE BF'!$T$48</f>
        <v>0</v>
      </c>
      <c r="U32" s="20">
        <f>'TE BE'!$U$32*'TE BF'!$U$48</f>
        <v>0</v>
      </c>
      <c r="V32" s="20">
        <f>'TE BE'!$V$32*'TE BF'!$V$48</f>
        <v>0</v>
      </c>
      <c r="W32" s="20">
        <f>SUM($T$32:$V$32)</f>
        <v>0</v>
      </c>
      <c r="X32" s="20">
        <f>'TE BE'!$AB$32*'TE BF'!$X$48</f>
        <v>0</v>
      </c>
      <c r="Y32" s="20">
        <f>SUM($X$32:$X$32)</f>
        <v>0</v>
      </c>
      <c r="Z32" s="20">
        <f>'TE BE'!$Z$32*'TE BF'!$Z$48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25">
      <c r="A33" s="113"/>
      <c r="B33" s="113"/>
      <c r="C33" s="113"/>
      <c r="D33" s="23" t="s">
        <v>88</v>
      </c>
      <c r="E33" s="23" t="s">
        <v>25</v>
      </c>
      <c r="F33" s="23" t="s">
        <v>25</v>
      </c>
      <c r="G33" s="22" t="s">
        <v>77</v>
      </c>
      <c r="H33" s="22" t="s">
        <v>71</v>
      </c>
      <c r="I33" s="22">
        <f>'MERCADO TE'!$U$30</f>
        <v>0</v>
      </c>
      <c r="J33" s="15"/>
      <c r="L33" s="20">
        <f>'TE BE'!$L$33*'TE BF'!$L$48</f>
        <v>0</v>
      </c>
      <c r="M33" s="20">
        <f>'TE BE'!$M$33*'TE BF'!$M$48</f>
        <v>0</v>
      </c>
      <c r="N33" s="20">
        <f>'TE BE'!$N$33*'TE BF'!$N$48</f>
        <v>0</v>
      </c>
      <c r="O33" s="20">
        <f>'TE BE'!$O$33*'TE BF'!$O$48</f>
        <v>0</v>
      </c>
      <c r="P33" s="20">
        <f>'TE BE'!$P$33*'TE BF'!$P$48</f>
        <v>0</v>
      </c>
      <c r="Q33" s="20">
        <f>SUM($L$33:$P$33)</f>
        <v>0</v>
      </c>
      <c r="R33" s="20">
        <f>'TE BE'!$R$33*'TE BF'!$R$48</f>
        <v>0</v>
      </c>
      <c r="S33" s="20">
        <f>SUM($R$33:$R$33)</f>
        <v>0</v>
      </c>
      <c r="T33" s="20">
        <f>'TE BE'!$T$33*'TE BF'!$T$48</f>
        <v>0</v>
      </c>
      <c r="U33" s="20">
        <f>'TE BE'!$U$33*'TE BF'!$U$48</f>
        <v>0</v>
      </c>
      <c r="V33" s="20">
        <f>'TE BE'!$V$33*'TE BF'!$V$48</f>
        <v>0</v>
      </c>
      <c r="W33" s="20">
        <f>SUM($T$33:$V$33)</f>
        <v>0</v>
      </c>
      <c r="X33" s="20">
        <f>'TE BE'!$AB$33*'TE BF'!$X$48</f>
        <v>0</v>
      </c>
      <c r="Y33" s="20">
        <f>SUM($X$33:$X$33)</f>
        <v>0</v>
      </c>
      <c r="Z33" s="20">
        <f>'TE BE'!$Z$33*'TE BF'!$Z$48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25">
      <c r="A34" s="113"/>
      <c r="B34" s="113"/>
      <c r="C34" s="113"/>
      <c r="D34" s="23" t="s">
        <v>89</v>
      </c>
      <c r="E34" s="23" t="s">
        <v>25</v>
      </c>
      <c r="F34" s="23" t="s">
        <v>25</v>
      </c>
      <c r="G34" s="22" t="s">
        <v>77</v>
      </c>
      <c r="H34" s="22" t="s">
        <v>71</v>
      </c>
      <c r="I34" s="22">
        <f>'MERCADO TE'!$U$31</f>
        <v>0</v>
      </c>
      <c r="J34" s="15"/>
      <c r="L34" s="20">
        <f>'TE BE'!$L$34*'TE BF'!$L$48</f>
        <v>0</v>
      </c>
      <c r="M34" s="20">
        <f>'TE BE'!$M$34*'TE BF'!$M$48</f>
        <v>0</v>
      </c>
      <c r="N34" s="20">
        <f>'TE BE'!$N$34*'TE BF'!$N$48</f>
        <v>0</v>
      </c>
      <c r="O34" s="20">
        <f>'TE BE'!$O$34*'TE BF'!$O$48</f>
        <v>0</v>
      </c>
      <c r="P34" s="20">
        <f>'TE BE'!$P$34*'TE BF'!$P$48</f>
        <v>0</v>
      </c>
      <c r="Q34" s="20">
        <f>SUM($L$34:$P$34)</f>
        <v>0</v>
      </c>
      <c r="R34" s="20">
        <f>'TE BE'!$R$34*'TE BF'!$R$48</f>
        <v>0</v>
      </c>
      <c r="S34" s="20">
        <f>SUM($R$34:$R$34)</f>
        <v>0</v>
      </c>
      <c r="T34" s="20">
        <f>'TE BE'!$T$34*'TE BF'!$T$48</f>
        <v>0</v>
      </c>
      <c r="U34" s="20">
        <f>'TE BE'!$U$34*'TE BF'!$U$48</f>
        <v>0</v>
      </c>
      <c r="V34" s="20">
        <f>'TE BE'!$V$34*'TE BF'!$V$48</f>
        <v>0</v>
      </c>
      <c r="W34" s="20">
        <f>SUM($T$34:$V$34)</f>
        <v>0</v>
      </c>
      <c r="X34" s="20">
        <f>'TE BE'!$AB$34*'TE BF'!$X$48</f>
        <v>0</v>
      </c>
      <c r="Y34" s="20">
        <f>SUM($X$34:$X$34)</f>
        <v>0</v>
      </c>
      <c r="Z34" s="20">
        <f>'TE BE'!$Z$34*'TE BF'!$Z$48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25">
      <c r="A35" s="113" t="s">
        <v>33</v>
      </c>
      <c r="B35" s="113" t="s">
        <v>70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2" t="s">
        <v>72</v>
      </c>
      <c r="H35" s="22" t="s">
        <v>71</v>
      </c>
      <c r="I35" s="22">
        <f>'MERCADO TE'!$U$32</f>
        <v>0</v>
      </c>
      <c r="J35" s="15"/>
      <c r="L35" s="20">
        <f>'TE BE'!$L$35*'TE BF'!$L$48</f>
        <v>0</v>
      </c>
      <c r="M35" s="20">
        <f>'TE BE'!$M$35*'TE BF'!$M$48</f>
        <v>0</v>
      </c>
      <c r="N35" s="20">
        <f>'TE BE'!$N$35*'TE BF'!$N$48</f>
        <v>0</v>
      </c>
      <c r="O35" s="20">
        <f>'TE BE'!$O$35*'TE BF'!$O$48</f>
        <v>0</v>
      </c>
      <c r="P35" s="20">
        <f>'TE BE'!$P$35*'TE BF'!$P$48</f>
        <v>0</v>
      </c>
      <c r="Q35" s="20">
        <f>SUM($L$35:$P$35)</f>
        <v>0</v>
      </c>
      <c r="R35" s="20">
        <f>'TE BE'!$R$35*'TE BF'!$R$48</f>
        <v>0</v>
      </c>
      <c r="S35" s="20">
        <f>SUM($R$35:$R$35)</f>
        <v>0</v>
      </c>
      <c r="T35" s="20">
        <f>'TE BE'!$T$35*'TE BF'!$T$48</f>
        <v>0</v>
      </c>
      <c r="U35" s="20">
        <f>'TE BE'!$U$35*'TE BF'!$U$48</f>
        <v>0</v>
      </c>
      <c r="V35" s="20">
        <f>'TE BE'!$V$35*'TE BF'!$V$48</f>
        <v>0</v>
      </c>
      <c r="W35" s="20">
        <f>SUM($T$35:$V$35)</f>
        <v>0</v>
      </c>
      <c r="X35" s="20">
        <f>'TE BE'!$AB$35*'TE BF'!$X$48</f>
        <v>0</v>
      </c>
      <c r="Y35" s="20">
        <f>SUM($X$35:$X$35)</f>
        <v>0</v>
      </c>
      <c r="Z35" s="20">
        <f>'TE BE'!$Z$35*'TE BF'!$Z$48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25">
      <c r="A36" s="113"/>
      <c r="B36" s="113"/>
      <c r="C36" s="113"/>
      <c r="D36" s="113"/>
      <c r="E36" s="113"/>
      <c r="F36" s="113"/>
      <c r="G36" s="22" t="s">
        <v>83</v>
      </c>
      <c r="H36" s="22" t="s">
        <v>71</v>
      </c>
      <c r="I36" s="22">
        <f>'MERCADO TE'!$U$33</f>
        <v>0</v>
      </c>
      <c r="J36" s="15"/>
      <c r="L36" s="20">
        <f>'TE BE'!$L$36*'TE BF'!$L$48</f>
        <v>0</v>
      </c>
      <c r="M36" s="20">
        <f>'TE BE'!$M$36*'TE BF'!$M$48</f>
        <v>0</v>
      </c>
      <c r="N36" s="20">
        <f>'TE BE'!$N$36*'TE BF'!$N$48</f>
        <v>0</v>
      </c>
      <c r="O36" s="20">
        <f>'TE BE'!$O$36*'TE BF'!$O$48</f>
        <v>0</v>
      </c>
      <c r="P36" s="20">
        <f>'TE BE'!$P$36*'TE BF'!$P$48</f>
        <v>0</v>
      </c>
      <c r="Q36" s="20">
        <f>SUM($L$36:$P$36)</f>
        <v>0</v>
      </c>
      <c r="R36" s="20">
        <f>'TE BE'!$R$36*'TE BF'!$R$48</f>
        <v>0</v>
      </c>
      <c r="S36" s="20">
        <f>SUM($R$36:$R$36)</f>
        <v>0</v>
      </c>
      <c r="T36" s="20">
        <f>'TE BE'!$T$36*'TE BF'!$T$48</f>
        <v>0</v>
      </c>
      <c r="U36" s="20">
        <f>'TE BE'!$U$36*'TE BF'!$U$48</f>
        <v>0</v>
      </c>
      <c r="V36" s="20">
        <f>'TE BE'!$V$36*'TE BF'!$V$48</f>
        <v>0</v>
      </c>
      <c r="W36" s="20">
        <f>SUM($T$36:$V$36)</f>
        <v>0</v>
      </c>
      <c r="X36" s="20">
        <f>'TE BE'!$AB$36*'TE BF'!$X$48</f>
        <v>0</v>
      </c>
      <c r="Y36" s="20">
        <f>SUM($X$36:$X$36)</f>
        <v>0</v>
      </c>
      <c r="Z36" s="20">
        <f>'TE BE'!$Z$36*'TE BF'!$Z$48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25">
      <c r="A37" s="113"/>
      <c r="B37" s="113"/>
      <c r="C37" s="113"/>
      <c r="D37" s="113"/>
      <c r="E37" s="113"/>
      <c r="F37" s="113"/>
      <c r="G37" s="22" t="s">
        <v>73</v>
      </c>
      <c r="H37" s="22" t="s">
        <v>71</v>
      </c>
      <c r="I37" s="22">
        <f>'MERCADO TE'!$U$34</f>
        <v>0</v>
      </c>
      <c r="J37" s="15"/>
      <c r="L37" s="20">
        <f>'TE BE'!$L$37*'TE BF'!$L$48</f>
        <v>0</v>
      </c>
      <c r="M37" s="20">
        <f>'TE BE'!$M$37*'TE BF'!$M$48</f>
        <v>0</v>
      </c>
      <c r="N37" s="20">
        <f>'TE BE'!$N$37*'TE BF'!$N$48</f>
        <v>0</v>
      </c>
      <c r="O37" s="20">
        <f>'TE BE'!$O$37*'TE BF'!$O$48</f>
        <v>0</v>
      </c>
      <c r="P37" s="20">
        <f>'TE BE'!$P$37*'TE BF'!$P$48</f>
        <v>0</v>
      </c>
      <c r="Q37" s="20">
        <f>SUM($L$37:$P$37)</f>
        <v>0</v>
      </c>
      <c r="R37" s="20">
        <f>'TE BE'!$R$37*'TE BF'!$R$48</f>
        <v>0</v>
      </c>
      <c r="S37" s="20">
        <f>SUM($R$37:$R$37)</f>
        <v>0</v>
      </c>
      <c r="T37" s="20">
        <f>'TE BE'!$T$37*'TE BF'!$T$48</f>
        <v>0</v>
      </c>
      <c r="U37" s="20">
        <f>'TE BE'!$U$37*'TE BF'!$U$48</f>
        <v>0</v>
      </c>
      <c r="V37" s="20">
        <f>'TE BE'!$V$37*'TE BF'!$V$48</f>
        <v>0</v>
      </c>
      <c r="W37" s="20">
        <f>SUM($T$37:$V$37)</f>
        <v>0</v>
      </c>
      <c r="X37" s="20">
        <f>'TE BE'!$AB$37*'TE BF'!$X$48</f>
        <v>0</v>
      </c>
      <c r="Y37" s="20">
        <f>SUM($X$37:$X$37)</f>
        <v>0</v>
      </c>
      <c r="Z37" s="20">
        <f>'TE BE'!$Z$37*'TE BF'!$Z$48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25">
      <c r="A38" s="113"/>
      <c r="B38" s="23" t="s">
        <v>84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77</v>
      </c>
      <c r="H38" s="22" t="s">
        <v>71</v>
      </c>
      <c r="I38" s="22">
        <f>'MERCADO TE'!$U$35</f>
        <v>9552.121000000001</v>
      </c>
      <c r="J38" s="15"/>
      <c r="L38" s="20">
        <f>'TE BE'!$L$38*'TE BF'!$L$48</f>
        <v>0</v>
      </c>
      <c r="M38" s="20">
        <f>'TE BE'!$M$38*'TE BF'!$M$48</f>
        <v>0</v>
      </c>
      <c r="N38" s="20">
        <f>'TE BE'!$N$38*'TE BF'!$N$48</f>
        <v>0</v>
      </c>
      <c r="O38" s="20">
        <f>'TE BE'!$O$38*'TE BF'!$O$48</f>
        <v>0</v>
      </c>
      <c r="P38" s="20">
        <f>'TE BE'!$P$38*'TE BF'!$P$48</f>
        <v>0</v>
      </c>
      <c r="Q38" s="20">
        <f>SUM($L$38:$P$38)</f>
        <v>0</v>
      </c>
      <c r="R38" s="20">
        <f>'TE BE'!$R$38*'TE BF'!$R$48</f>
        <v>0</v>
      </c>
      <c r="S38" s="20">
        <f>SUM($R$38:$R$38)</f>
        <v>0</v>
      </c>
      <c r="T38" s="20">
        <f>'TE BE'!$T$38*'TE BF'!$T$48</f>
        <v>0</v>
      </c>
      <c r="U38" s="20">
        <f>'TE BE'!$U$38*'TE BF'!$U$48</f>
        <v>0</v>
      </c>
      <c r="V38" s="20">
        <f>'TE BE'!$V$38*'TE BF'!$V$48</f>
        <v>0</v>
      </c>
      <c r="W38" s="20">
        <f>SUM($T$38:$V$38)</f>
        <v>0</v>
      </c>
      <c r="X38" s="20">
        <f>'TE BE'!$AB$38*'TE BF'!$X$48</f>
        <v>0</v>
      </c>
      <c r="Y38" s="20">
        <f>SUM($X$38:$X$38)</f>
        <v>0</v>
      </c>
      <c r="Z38" s="20">
        <f>'TE BE'!$Z$38*'TE BF'!$Z$48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25">
      <c r="A39" s="113"/>
      <c r="B39" s="23" t="s">
        <v>86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77</v>
      </c>
      <c r="H39" s="22" t="s">
        <v>71</v>
      </c>
      <c r="I39" s="22">
        <f>'MERCADO TE'!$U$36</f>
        <v>0</v>
      </c>
      <c r="J39" s="15"/>
      <c r="L39" s="20">
        <f>'TE BE'!$L$39*'TE BF'!$L$48</f>
        <v>0</v>
      </c>
      <c r="M39" s="20">
        <f>'TE BE'!$M$39*'TE BF'!$M$48</f>
        <v>0</v>
      </c>
      <c r="N39" s="20">
        <f>'TE BE'!$N$39*'TE BF'!$N$48</f>
        <v>0</v>
      </c>
      <c r="O39" s="20">
        <f>'TE BE'!$O$39*'TE BF'!$O$48</f>
        <v>0</v>
      </c>
      <c r="P39" s="20">
        <f>'TE BE'!$P$39*'TE BF'!$P$48</f>
        <v>0</v>
      </c>
      <c r="Q39" s="20">
        <f>SUM($L$39:$P$39)</f>
        <v>0</v>
      </c>
      <c r="R39" s="20">
        <f>'TE BE'!$R$39*'TE BF'!$R$48</f>
        <v>0</v>
      </c>
      <c r="S39" s="20">
        <f>SUM($R$39:$R$39)</f>
        <v>0</v>
      </c>
      <c r="T39" s="20">
        <f>'TE BE'!$T$39*'TE BF'!$T$48</f>
        <v>0</v>
      </c>
      <c r="U39" s="20">
        <f>'TE BE'!$U$39*'TE BF'!$U$48</f>
        <v>0</v>
      </c>
      <c r="V39" s="20">
        <f>'TE BE'!$V$39*'TE BF'!$V$48</f>
        <v>0</v>
      </c>
      <c r="W39" s="20">
        <f>SUM($T$39:$V$39)</f>
        <v>0</v>
      </c>
      <c r="X39" s="20">
        <f>'TE BE'!$AB$39*'TE BF'!$X$48</f>
        <v>0</v>
      </c>
      <c r="Y39" s="20">
        <f>SUM($X$39:$X$39)</f>
        <v>0</v>
      </c>
      <c r="Z39" s="20">
        <f>'TE BE'!$Z$39*'TE BF'!$Z$48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25">
      <c r="A40" s="113" t="s">
        <v>43</v>
      </c>
      <c r="B40" s="113" t="s">
        <v>84</v>
      </c>
      <c r="C40" s="113" t="s">
        <v>44</v>
      </c>
      <c r="D40" s="23" t="s">
        <v>45</v>
      </c>
      <c r="E40" s="23" t="s">
        <v>25</v>
      </c>
      <c r="F40" s="23" t="s">
        <v>25</v>
      </c>
      <c r="G40" s="22" t="s">
        <v>77</v>
      </c>
      <c r="H40" s="22" t="s">
        <v>71</v>
      </c>
      <c r="I40" s="22">
        <f>'MERCADO TE'!$U$37</f>
        <v>4840.4129999999996</v>
      </c>
      <c r="J40" s="15"/>
      <c r="L40" s="20">
        <f>'TE BE'!$L$40*'TE BF'!$L$48</f>
        <v>0</v>
      </c>
      <c r="M40" s="20">
        <f>'TE BE'!$M$40*'TE BF'!$M$48</f>
        <v>0</v>
      </c>
      <c r="N40" s="20">
        <f>'TE BE'!$N$40*'TE BF'!$N$48</f>
        <v>0</v>
      </c>
      <c r="O40" s="20">
        <f>'TE BE'!$O$40*'TE BF'!$O$48</f>
        <v>0</v>
      </c>
      <c r="P40" s="20">
        <f>'TE BE'!$P$40*'TE BF'!$P$48</f>
        <v>0</v>
      </c>
      <c r="Q40" s="20">
        <f>SUM($L$40:$P$40)</f>
        <v>0</v>
      </c>
      <c r="R40" s="20">
        <f>'TE BE'!$R$40*'TE BF'!$R$48</f>
        <v>0</v>
      </c>
      <c r="S40" s="20">
        <f>SUM($R$40:$R$40)</f>
        <v>0</v>
      </c>
      <c r="T40" s="20">
        <f>'TE BE'!$T$40*'TE BF'!$T$48</f>
        <v>0</v>
      </c>
      <c r="U40" s="20">
        <f>'TE BE'!$U$40*'TE BF'!$U$48</f>
        <v>0</v>
      </c>
      <c r="V40" s="20">
        <f>'TE BE'!$V$40*'TE BF'!$V$48</f>
        <v>0</v>
      </c>
      <c r="W40" s="20">
        <f>SUM($T$40:$V$40)</f>
        <v>0</v>
      </c>
      <c r="X40" s="20">
        <f>'TE BE'!$AB$40*'TE BF'!$X$48</f>
        <v>0</v>
      </c>
      <c r="Y40" s="20">
        <f>SUM($X$40:$X$40)</f>
        <v>0</v>
      </c>
      <c r="Z40" s="20">
        <f>'TE BE'!$Z$40*'TE BF'!$Z$48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25">
      <c r="A41" s="113"/>
      <c r="B41" s="113"/>
      <c r="C41" s="113"/>
      <c r="D41" s="22" t="s">
        <v>90</v>
      </c>
      <c r="E41" s="22" t="s">
        <v>25</v>
      </c>
      <c r="F41" s="22" t="s">
        <v>25</v>
      </c>
      <c r="G41" s="22" t="s">
        <v>77</v>
      </c>
      <c r="H41" s="22" t="s">
        <v>71</v>
      </c>
      <c r="I41" s="22">
        <f>'MERCADO TE'!$U$38</f>
        <v>0</v>
      </c>
      <c r="J41" s="15"/>
      <c r="L41" s="20">
        <f>'TE BE'!$L$41*'TE BF'!$L$48</f>
        <v>0</v>
      </c>
      <c r="M41" s="20">
        <f>'TE BE'!$M$41*'TE BF'!$M$48</f>
        <v>0</v>
      </c>
      <c r="N41" s="20">
        <f>'TE BE'!$N$41*'TE BF'!$N$48</f>
        <v>0</v>
      </c>
      <c r="O41" s="20">
        <f>'TE BE'!$O$41*'TE BF'!$O$48</f>
        <v>0</v>
      </c>
      <c r="P41" s="20">
        <f>'TE BE'!$P$41*'TE BF'!$P$48</f>
        <v>0</v>
      </c>
      <c r="Q41" s="20">
        <f>SUM($L$41:$P$41)</f>
        <v>0</v>
      </c>
      <c r="R41" s="20">
        <f>'TE BE'!$R$41*'TE BF'!$R$48</f>
        <v>0</v>
      </c>
      <c r="S41" s="20">
        <f>SUM($R$41:$R$41)</f>
        <v>0</v>
      </c>
      <c r="T41" s="20">
        <f>'TE BE'!$T$41*'TE BF'!$T$48</f>
        <v>0</v>
      </c>
      <c r="U41" s="20">
        <f>'TE BE'!$U$41*'TE BF'!$U$48</f>
        <v>0</v>
      </c>
      <c r="V41" s="20">
        <f>'TE BE'!$V$41*'TE BF'!$V$48</f>
        <v>0</v>
      </c>
      <c r="W41" s="20">
        <f>SUM($T$41:$V$41)</f>
        <v>0</v>
      </c>
      <c r="X41" s="20">
        <f>'TE BE'!$AB$41*'TE BF'!$X$48</f>
        <v>0</v>
      </c>
      <c r="Y41" s="20">
        <f>SUM($X$41:$X$41)</f>
        <v>0</v>
      </c>
      <c r="Z41" s="20">
        <f>'TE BE'!$Z$41*'TE BF'!$Z$48</f>
        <v>0</v>
      </c>
      <c r="AA41" s="20">
        <f>SUM($Z$41:$Z$41)</f>
        <v>0</v>
      </c>
      <c r="AB41" s="20">
        <f>SUMIF($L$4:$AA$4,"SUBTOTAL",$L$41:$AA$41)</f>
        <v>0</v>
      </c>
    </row>
    <row r="43" spans="1:28" ht="11.25" customHeight="1" x14ac:dyDescent="0.25">
      <c r="K43" s="25" t="s">
        <v>482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0</v>
      </c>
      <c r="S43" s="20">
        <f t="shared" si="0"/>
        <v>0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402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21131130.163854923</v>
      </c>
      <c r="S44" s="20">
        <f>CUSTOS!$D$37</f>
        <v>21131130.163854923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21131130.163854923</v>
      </c>
    </row>
    <row r="45" spans="1:28" ht="11.25" customHeight="1" x14ac:dyDescent="0.25">
      <c r="K45" s="25" t="s">
        <v>403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1511078.1888671699</v>
      </c>
      <c r="S45" s="20">
        <f>CUSTOS!$E$37</f>
        <v>1511078.1888671699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1511078.1888671699</v>
      </c>
    </row>
    <row r="46" spans="1:28" ht="11.25" customHeight="1" x14ac:dyDescent="0.25">
      <c r="K46" s="25" t="s">
        <v>404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22" priority="33" operator="notEqual">
      <formula>$L$46</formula>
    </cfRule>
    <cfRule type="cellIs" dxfId="721" priority="34" operator="equal">
      <formula>$L$46</formula>
    </cfRule>
  </conditionalFormatting>
  <conditionalFormatting sqref="M43">
    <cfRule type="cellIs" dxfId="720" priority="31" operator="notEqual">
      <formula>$M$46</formula>
    </cfRule>
    <cfRule type="cellIs" dxfId="719" priority="32" operator="equal">
      <formula>$M$46</formula>
    </cfRule>
  </conditionalFormatting>
  <conditionalFormatting sqref="N43">
    <cfRule type="cellIs" dxfId="718" priority="29" operator="notEqual">
      <formula>$N$46</formula>
    </cfRule>
    <cfRule type="cellIs" dxfId="717" priority="30" operator="equal">
      <formula>$N$46</formula>
    </cfRule>
  </conditionalFormatting>
  <conditionalFormatting sqref="O43">
    <cfRule type="cellIs" dxfId="716" priority="27" operator="notEqual">
      <formula>$O$46</formula>
    </cfRule>
    <cfRule type="cellIs" dxfId="715" priority="28" operator="equal">
      <formula>$O$46</formula>
    </cfRule>
  </conditionalFormatting>
  <conditionalFormatting sqref="P43">
    <cfRule type="cellIs" dxfId="714" priority="25" operator="notEqual">
      <formula>$P$46</formula>
    </cfRule>
    <cfRule type="cellIs" dxfId="713" priority="26" operator="equal">
      <formula>$P$46</formula>
    </cfRule>
  </conditionalFormatting>
  <conditionalFormatting sqref="Q43">
    <cfRule type="cellIs" dxfId="712" priority="23" operator="notEqual">
      <formula>$Q$46</formula>
    </cfRule>
    <cfRule type="cellIs" dxfId="711" priority="24" operator="equal">
      <formula>$Q$46</formula>
    </cfRule>
  </conditionalFormatting>
  <conditionalFormatting sqref="R43">
    <cfRule type="cellIs" dxfId="710" priority="21" operator="notEqual">
      <formula>$R$46</formula>
    </cfRule>
    <cfRule type="cellIs" dxfId="709" priority="22" operator="equal">
      <formula>$R$46</formula>
    </cfRule>
  </conditionalFormatting>
  <conditionalFormatting sqref="S43">
    <cfRule type="cellIs" dxfId="708" priority="19" operator="notEqual">
      <formula>$S$46</formula>
    </cfRule>
    <cfRule type="cellIs" dxfId="707" priority="20" operator="equal">
      <formula>$S$46</formula>
    </cfRule>
  </conditionalFormatting>
  <conditionalFormatting sqref="T43">
    <cfRule type="cellIs" dxfId="706" priority="17" operator="notEqual">
      <formula>$T$46</formula>
    </cfRule>
    <cfRule type="cellIs" dxfId="705" priority="18" operator="equal">
      <formula>$T$46</formula>
    </cfRule>
  </conditionalFormatting>
  <conditionalFormatting sqref="U43">
    <cfRule type="cellIs" dxfId="704" priority="15" operator="notEqual">
      <formula>$U$46</formula>
    </cfRule>
    <cfRule type="cellIs" dxfId="703" priority="16" operator="equal">
      <formula>$U$46</formula>
    </cfRule>
  </conditionalFormatting>
  <conditionalFormatting sqref="V43">
    <cfRule type="cellIs" dxfId="702" priority="13" operator="notEqual">
      <formula>$V$46</formula>
    </cfRule>
    <cfRule type="cellIs" dxfId="701" priority="14" operator="equal">
      <formula>$V$46</formula>
    </cfRule>
  </conditionalFormatting>
  <conditionalFormatting sqref="W43">
    <cfRule type="cellIs" dxfId="700" priority="11" operator="notEqual">
      <formula>$W$46</formula>
    </cfRule>
    <cfRule type="cellIs" dxfId="699" priority="12" operator="equal">
      <formula>$W$46</formula>
    </cfRule>
  </conditionalFormatting>
  <conditionalFormatting sqref="X43">
    <cfRule type="cellIs" dxfId="698" priority="9" operator="notEqual">
      <formula>$X$46</formula>
    </cfRule>
    <cfRule type="cellIs" dxfId="697" priority="10" operator="equal">
      <formula>$X$46</formula>
    </cfRule>
  </conditionalFormatting>
  <conditionalFormatting sqref="Y43">
    <cfRule type="cellIs" dxfId="696" priority="7" operator="notEqual">
      <formula>$Y$46</formula>
    </cfRule>
    <cfRule type="cellIs" dxfId="695" priority="8" operator="equal">
      <formula>$Y$46</formula>
    </cfRule>
  </conditionalFormatting>
  <conditionalFormatting sqref="Z43">
    <cfRule type="cellIs" dxfId="694" priority="5" operator="notEqual">
      <formula>$Z$46</formula>
    </cfRule>
    <cfRule type="cellIs" dxfId="693" priority="6" operator="equal">
      <formula>$Z$46</formula>
    </cfRule>
  </conditionalFormatting>
  <conditionalFormatting sqref="AA43">
    <cfRule type="cellIs" dxfId="692" priority="3" operator="notEqual">
      <formula>$AA$46</formula>
    </cfRule>
    <cfRule type="cellIs" dxfId="691" priority="4" operator="equal">
      <formula>$AA$46</formula>
    </cfRule>
  </conditionalFormatting>
  <conditionalFormatting sqref="AB43">
    <cfRule type="cellIs" dxfId="690" priority="1" operator="notEqual">
      <formula>$AB$46</formula>
    </cfRule>
    <cfRule type="cellIs" dxfId="68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90B6-8A7A-4097-8AF4-21F4C8FDD906}">
  <sheetPr codeName="Planilha16"/>
  <dimension ref="A1:AV601"/>
  <sheetViews>
    <sheetView showGridLines="0" topLeftCell="AH1" workbookViewId="0">
      <selection activeCell="AV7" sqref="AV7:AV9"/>
    </sheetView>
  </sheetViews>
  <sheetFormatPr defaultColWidth="9.140625"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855468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I1" s="34" t="s">
        <v>61</v>
      </c>
      <c r="AJ1" s="34" t="s">
        <v>537</v>
      </c>
      <c r="AK1" s="34" t="s">
        <v>538</v>
      </c>
      <c r="AL1" s="34" t="s">
        <v>539</v>
      </c>
      <c r="AN1" s="34" t="s">
        <v>61</v>
      </c>
      <c r="AO1" s="34" t="s">
        <v>540</v>
      </c>
      <c r="AP1" s="34" t="s">
        <v>541</v>
      </c>
      <c r="AQ1" s="34" t="s">
        <v>539</v>
      </c>
      <c r="AS1" s="34" t="s">
        <v>61</v>
      </c>
      <c r="AT1" s="34" t="s">
        <v>542</v>
      </c>
      <c r="AU1" s="34" t="s">
        <v>543</v>
      </c>
      <c r="AV1" s="34" t="s">
        <v>539</v>
      </c>
    </row>
    <row r="2" spans="1:48" ht="11.25" customHeight="1" x14ac:dyDescent="0.25">
      <c r="A2" s="4" t="s">
        <v>21</v>
      </c>
      <c r="B2" s="4" t="s">
        <v>35</v>
      </c>
      <c r="C2" s="4" t="s">
        <v>52</v>
      </c>
      <c r="D2" s="4" t="s">
        <v>34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44713</v>
      </c>
      <c r="J2" s="6">
        <v>600</v>
      </c>
      <c r="K2" s="6">
        <v>600</v>
      </c>
      <c r="L2" s="6">
        <v>225.506</v>
      </c>
      <c r="M2" s="6">
        <v>225.506</v>
      </c>
      <c r="N2" s="6">
        <v>225.506</v>
      </c>
      <c r="O2" s="6">
        <v>225.506</v>
      </c>
      <c r="P2" s="6">
        <v>0</v>
      </c>
      <c r="Q2" s="4" t="s">
        <v>26</v>
      </c>
      <c r="R2" s="4">
        <v>0</v>
      </c>
      <c r="S2" s="6">
        <v>16</v>
      </c>
      <c r="T2" s="6">
        <v>9</v>
      </c>
      <c r="U2" s="6">
        <v>28</v>
      </c>
      <c r="V2" s="6">
        <f>IF(ISERROR(VLOOKUP($S$2,'TAR FIN'!$A$1:$O$88,15,0)),0,VLOOKUP($S$2,'TAR FIN'!$A$1:$O$88,15,0))</f>
        <v>45.42</v>
      </c>
      <c r="W2" s="6">
        <f>IF(ISERROR(VLOOKUP($T$2,'TAR FIN'!$A$1:$O$88,15,0)),0,VLOOKUP($T$2,'TAR FIN'!$A$1:$O$88,15,0))</f>
        <v>79.319999999999993</v>
      </c>
      <c r="X2" s="6">
        <f>IF(ISERROR(VLOOKUP($U$2,'TAR FIN'!$A$1:$O$88,15,0)),0,VLOOKUP($U$2,'TAR FIN'!$A$1:$O$88,15,0))</f>
        <v>252.22</v>
      </c>
      <c r="Y2" s="6">
        <f ca="1">('TUSD BE'!$AM$6+'TUSD BF'!$AM$6+'TUSD CVA'!$AM$6)*1</f>
        <v>51.541515279759096</v>
      </c>
      <c r="Z2" s="6">
        <f ca="1">('TUSD BE'!$AM$7+'TUSD BF'!$AM$7+'TUSD CVA'!$AM$7)*1</f>
        <v>102.71637945274784</v>
      </c>
      <c r="AA2" s="6">
        <f>('TE BE'!$AB$6+'TE BF'!$AB$6+'TE CVA'!$AB$6)*1</f>
        <v>251.92449556687748</v>
      </c>
      <c r="AB2" s="6">
        <f>$K$2*$V$2</f>
        <v>27252</v>
      </c>
      <c r="AC2" s="6">
        <f>$M$2*$W$2</f>
        <v>17887.135919999997</v>
      </c>
      <c r="AD2" s="6">
        <f>$O$2*$X$2</f>
        <v>56877.123319999999</v>
      </c>
      <c r="AE2" s="6">
        <f ca="1">$K$2*$Y$2</f>
        <v>30924.909167855458</v>
      </c>
      <c r="AF2" s="6">
        <f ca="1">$M$2*$Z$2</f>
        <v>23163.159864871355</v>
      </c>
      <c r="AG2" s="6">
        <f>$O$2*$AA$2</f>
        <v>56810.485297304273</v>
      </c>
      <c r="AI2" s="35" t="s">
        <v>35</v>
      </c>
      <c r="AJ2" s="36">
        <f>SUMIF($B$2:$B$601,AI2,$AB$2:$AB$601)+SUMIF($B$2:$B$601,AI2,$AC$2:$AC$601)</f>
        <v>7187689.7142655998</v>
      </c>
      <c r="AK2" s="36">
        <f ca="1">SUMIF($B$2:$B$601,AI2,$AE$2:$AE$601)+SUMIF($B$2:$B$601,AI2,$AF$2:$AF$601)</f>
        <v>8375697.8226101268</v>
      </c>
      <c r="AL2" s="37">
        <f t="shared" ref="AL2:AL9" ca="1" si="0">IF(AJ2&lt;&gt;0,AK2/AJ2-1,0)</f>
        <v>0.1652837219707266</v>
      </c>
      <c r="AN2" s="35" t="s">
        <v>35</v>
      </c>
      <c r="AO2" s="36">
        <f>SUMIF($B$2:$B$601,AN2,$AD$2:$AD$601)</f>
        <v>3512314.272071599</v>
      </c>
      <c r="AP2" s="36">
        <f>SUMIF($B$2:$B$601,AN2,$AG$2:$AG$601)</f>
        <v>3525517.2821004009</v>
      </c>
      <c r="AQ2" s="37">
        <f t="shared" ref="AQ2:AQ9" si="1">IF(AO2&lt;&gt;0,AP2/AO2-1,0)</f>
        <v>3.7590628303925122E-3</v>
      </c>
      <c r="AS2" s="35" t="s">
        <v>35</v>
      </c>
      <c r="AT2" s="36">
        <f>SUMIF($B$2:$B$601,AS2,$AB$2:$AB$601)+SUMIF($B$2:$B$601,AS2,$AC$2:$AC$601)+SUMIF($B$2:$B$601,AS2,$AD$2:$AD$601)</f>
        <v>10700003.9863372</v>
      </c>
      <c r="AU2" s="36">
        <f ca="1">SUMIF($B$2:$B$601,AS2,$AE$2:$AE$601)+SUMIF($B$2:$B$601,AS2,$AF$2:$AF$601)+SUMIF($B$2:$B$601,AS2,$AG$2:$AG$601)</f>
        <v>11901215.104710527</v>
      </c>
      <c r="AV2" s="37">
        <f t="shared" ref="AV2:AV9" ca="1" si="2">IF(AT2&lt;&gt;0,AU2/AT2-1,0)</f>
        <v>0.1122626795192927</v>
      </c>
    </row>
    <row r="3" spans="1:48" ht="11.25" customHeight="1" x14ac:dyDescent="0.25">
      <c r="A3" s="4" t="s">
        <v>21</v>
      </c>
      <c r="B3" s="4" t="s">
        <v>35</v>
      </c>
      <c r="C3" s="4" t="s">
        <v>52</v>
      </c>
      <c r="D3" s="4" t="s">
        <v>34</v>
      </c>
      <c r="E3" s="4" t="s">
        <v>25</v>
      </c>
      <c r="F3" s="4" t="s">
        <v>25</v>
      </c>
      <c r="G3" s="4" t="s">
        <v>25</v>
      </c>
      <c r="H3" s="4" t="s">
        <v>37</v>
      </c>
      <c r="I3" s="5">
        <v>44713</v>
      </c>
      <c r="J3" s="6">
        <v>241</v>
      </c>
      <c r="K3" s="6">
        <v>241</v>
      </c>
      <c r="L3" s="6">
        <v>14.654999999999999</v>
      </c>
      <c r="M3" s="6">
        <v>14.654999999999999</v>
      </c>
      <c r="N3" s="6">
        <v>14.654999999999999</v>
      </c>
      <c r="O3" s="6">
        <v>14.654999999999999</v>
      </c>
      <c r="P3" s="6">
        <v>0</v>
      </c>
      <c r="Q3" s="4" t="s">
        <v>26</v>
      </c>
      <c r="R3" s="4">
        <v>0</v>
      </c>
      <c r="S3" s="6">
        <v>21</v>
      </c>
      <c r="T3" s="6">
        <v>9</v>
      </c>
      <c r="U3" s="6">
        <v>41</v>
      </c>
      <c r="V3" s="6">
        <f>IF(ISERROR(VLOOKUP($S$3,'TAR FIN'!$A$1:$O$88,15,0)),0,VLOOKUP($S$3,'TAR FIN'!$A$1:$O$88,15,0))</f>
        <v>57.56</v>
      </c>
      <c r="W3" s="6">
        <f>IF(ISERROR(VLOOKUP($T$3,'TAR FIN'!$A$1:$O$88,15,0)),0,VLOOKUP($T$3,'TAR FIN'!$A$1:$O$88,15,0))</f>
        <v>79.319999999999993</v>
      </c>
      <c r="X3" s="6">
        <f>IF(ISERROR(VLOOKUP($U$3,'TAR FIN'!$A$1:$O$88,15,0)),0,VLOOKUP($U$3,'TAR FIN'!$A$1:$O$88,15,0))</f>
        <v>252.22</v>
      </c>
      <c r="Y3" s="6">
        <f ca="1">('TUSD BE'!$AM$5+'TUSD BF'!$AM$5+'TUSD CVA'!$AM$5)*1</f>
        <v>64.415090338298384</v>
      </c>
      <c r="Z3" s="6">
        <f ca="1">('TUSD BE'!$AM$7+'TUSD BF'!$AM$7+'TUSD CVA'!$AM$7)*1</f>
        <v>102.71637945274784</v>
      </c>
      <c r="AA3" s="6">
        <f>('TE BE'!$AB$5+'TE BF'!$AB$5+'TE CVA'!$AB$5)*1</f>
        <v>251.92449556687748</v>
      </c>
      <c r="AB3" s="6">
        <f>$K$3*$V$3</f>
        <v>13871.960000000001</v>
      </c>
      <c r="AC3" s="6">
        <f>$M$3*$W$3</f>
        <v>1162.4345999999998</v>
      </c>
      <c r="AD3" s="6">
        <f>$O$3*$X$3</f>
        <v>3696.2840999999999</v>
      </c>
      <c r="AE3" s="6">
        <f ca="1">$K$3*$Y$3</f>
        <v>15524.036771529911</v>
      </c>
      <c r="AF3" s="6">
        <f ca="1">$M$3*$Z$3</f>
        <v>1505.3085408800196</v>
      </c>
      <c r="AG3" s="6">
        <f>$O$3*$AA$3</f>
        <v>3691.9534825325895</v>
      </c>
      <c r="AI3" s="35" t="s">
        <v>22</v>
      </c>
      <c r="AJ3" s="36">
        <f>SUMIF($B$2:$B$601,AI3,$AB$2:$AB$601)+SUMIF($B$2:$B$601,AI3,$AC$2:$AC$601)</f>
        <v>6041349.9193074964</v>
      </c>
      <c r="AK3" s="36">
        <f ca="1">SUMIF($B$2:$B$601,AI3,$AE$2:$AE$601)+SUMIF($B$2:$B$601,AI3,$AF$2:$AF$601)</f>
        <v>6912900.8575624339</v>
      </c>
      <c r="AL3" s="37">
        <f t="shared" ca="1" si="0"/>
        <v>0.14426427038592071</v>
      </c>
      <c r="AN3" s="35" t="s">
        <v>22</v>
      </c>
      <c r="AO3" s="36">
        <f>SUMIF($B$2:$B$601,AN3,$AD$2:$AD$601)</f>
        <v>3597267.389686001</v>
      </c>
      <c r="AP3" s="36">
        <f>SUMIF($B$2:$B$601,AN3,$AG$2:$AG$601)</f>
        <v>3593052.4885554616</v>
      </c>
      <c r="AQ3" s="37">
        <f t="shared" si="1"/>
        <v>-1.1716952547436987E-3</v>
      </c>
      <c r="AS3" s="35" t="s">
        <v>22</v>
      </c>
      <c r="AT3" s="36">
        <f>SUMIF($B$2:$B$601,AS3,$AB$2:$AB$601)+SUMIF($B$2:$B$601,AS3,$AC$2:$AC$601)+SUMIF($B$2:$B$601,AS3,$AD$2:$AD$601)</f>
        <v>9638617.3089934979</v>
      </c>
      <c r="AU3" s="36">
        <f ca="1">SUMIF($B$2:$B$601,AS3,$AE$2:$AE$601)+SUMIF($B$2:$B$601,AS3,$AF$2:$AF$601)+SUMIF($B$2:$B$601,AS3,$AG$2:$AG$601)</f>
        <v>10505953.346117895</v>
      </c>
      <c r="AV3" s="37">
        <f t="shared" ca="1" si="2"/>
        <v>8.9985524823681162E-2</v>
      </c>
    </row>
    <row r="4" spans="1:48" ht="11.25" customHeight="1" x14ac:dyDescent="0.25">
      <c r="A4" s="4" t="s">
        <v>28</v>
      </c>
      <c r="B4" s="4" t="s">
        <v>35</v>
      </c>
      <c r="C4" s="4" t="s">
        <v>52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44593</v>
      </c>
      <c r="J4" s="6">
        <v>75</v>
      </c>
      <c r="K4" s="52">
        <v>75</v>
      </c>
      <c r="L4" s="6">
        <v>0</v>
      </c>
      <c r="M4" s="52">
        <v>0</v>
      </c>
      <c r="N4" s="6">
        <v>0</v>
      </c>
      <c r="O4" s="52">
        <v>0</v>
      </c>
      <c r="P4" s="6">
        <v>0</v>
      </c>
      <c r="Q4" s="4" t="s">
        <v>26</v>
      </c>
      <c r="R4" s="4">
        <v>0</v>
      </c>
      <c r="S4" s="6">
        <v>16</v>
      </c>
      <c r="T4" s="6">
        <v>0</v>
      </c>
      <c r="U4" s="6">
        <v>0</v>
      </c>
      <c r="V4" s="52">
        <f>IF(ISERROR(VLOOKUP($S$4,'TAR FIN'!$A$1:$O$88,15,0)),0,VLOOKUP($S$4,'TAR FIN'!$A$1:$O$88,15,0))*(1-0.04)</f>
        <v>43.603200000000001</v>
      </c>
      <c r="W4" s="52">
        <f>IF(ISERROR(VLOOKUP($T$4,'TAR FIN'!$A$1:$O$88,15,0)),0,VLOOKUP($T$4,'TAR FIN'!$A$1:$O$88,15,0))*(1-0.04)</f>
        <v>0</v>
      </c>
      <c r="X4" s="52">
        <f>IF(ISERROR(VLOOKUP($U$4,'TAR FIN'!$A$1:$O$88,15,0)),0,VLOOKUP($U$4,'TAR FIN'!$A$1:$O$88,15,0))*(1-0.04)</f>
        <v>0</v>
      </c>
      <c r="Y4" s="52">
        <f ca="1">('TUSD BE'!$AM$6+'TUSD BF'!$AM$6+'TUSD CVA'!$AM$6)*1*(1-0.02)</f>
        <v>50.510684974163915</v>
      </c>
      <c r="Z4" s="52">
        <f ca="1">('TUSD BE'!$AM$7+'TUSD BF'!$AM$7+'TUSD CVA'!$AM$7)*1*(1-0.02)</f>
        <v>100.66205186369288</v>
      </c>
      <c r="AA4" s="52">
        <f>('TE BE'!$AB$6+'TE BF'!$AB$6+'TE CVA'!$AB$6)*1*(1-0.02)</f>
        <v>246.88600565553992</v>
      </c>
      <c r="AB4" s="6">
        <f>$K$4*$V$4</f>
        <v>3270.2400000000002</v>
      </c>
      <c r="AC4" s="6">
        <f>$M$4*$W$4</f>
        <v>0</v>
      </c>
      <c r="AD4" s="6">
        <f>$O$4*$X$4</f>
        <v>0</v>
      </c>
      <c r="AE4" s="6">
        <f ca="1">$K$4*$Y$4</f>
        <v>3788.3013730622938</v>
      </c>
      <c r="AF4" s="6">
        <f ca="1">$M$4*$Z$4</f>
        <v>0</v>
      </c>
      <c r="AG4" s="6">
        <f>$O$4*$AA$4</f>
        <v>0</v>
      </c>
      <c r="AI4" s="35" t="s">
        <v>40</v>
      </c>
      <c r="AJ4" s="36">
        <f>SUMIF($B$2:$B$601,AI4,$AB$2:$AB$601)+SUMIF($B$2:$B$601,AI4,$AC$2:$AC$601)</f>
        <v>17714149.670931999</v>
      </c>
      <c r="AK4" s="36">
        <f ca="1">SUMIF($B$2:$B$601,AI4,$AE$2:$AE$601)+SUMIF($B$2:$B$601,AI4,$AF$2:$AF$601)</f>
        <v>21682201.037431736</v>
      </c>
      <c r="AL4" s="37">
        <f t="shared" ca="1" si="0"/>
        <v>0.22400462004739086</v>
      </c>
      <c r="AN4" s="35" t="s">
        <v>40</v>
      </c>
      <c r="AO4" s="36">
        <f>SUMIF($B$2:$B$601,AN4,$AD$2:$AD$601)</f>
        <v>10494402.020391999</v>
      </c>
      <c r="AP4" s="36">
        <f>SUMIF($B$2:$B$601,AN4,$AG$2:$AG$601)</f>
        <v>11196472.874155149</v>
      </c>
      <c r="AQ4" s="37">
        <f t="shared" si="1"/>
        <v>6.6899557726008085E-2</v>
      </c>
      <c r="AS4" s="35" t="s">
        <v>40</v>
      </c>
      <c r="AT4" s="36">
        <f>SUMIF($B$2:$B$601,AS4,$AB$2:$AB$601)+SUMIF($B$2:$B$601,AS4,$AC$2:$AC$601)+SUMIF($B$2:$B$601,AS4,$AD$2:$AD$601)</f>
        <v>28208551.691323996</v>
      </c>
      <c r="AU4" s="36">
        <f ca="1">SUMIF($B$2:$B$601,AS4,$AE$2:$AE$601)+SUMIF($B$2:$B$601,AS4,$AF$2:$AF$601)+SUMIF($B$2:$B$601,AS4,$AG$2:$AG$601)</f>
        <v>32878673.911586884</v>
      </c>
      <c r="AV4" s="37">
        <f t="shared" ca="1" si="2"/>
        <v>0.16555696553890287</v>
      </c>
    </row>
    <row r="5" spans="1:48" ht="11.25" customHeight="1" x14ac:dyDescent="0.25">
      <c r="A5" s="4" t="s">
        <v>28</v>
      </c>
      <c r="B5" s="4" t="s">
        <v>35</v>
      </c>
      <c r="C5" s="4" t="s">
        <v>52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44621</v>
      </c>
      <c r="J5" s="6">
        <v>69</v>
      </c>
      <c r="K5" s="52">
        <v>69</v>
      </c>
      <c r="L5" s="6">
        <v>0</v>
      </c>
      <c r="M5" s="52">
        <v>0</v>
      </c>
      <c r="N5" s="6">
        <v>0</v>
      </c>
      <c r="O5" s="52">
        <v>0</v>
      </c>
      <c r="P5" s="6">
        <v>0</v>
      </c>
      <c r="Q5" s="4" t="s">
        <v>26</v>
      </c>
      <c r="R5" s="4">
        <v>0</v>
      </c>
      <c r="S5" s="6">
        <v>16</v>
      </c>
      <c r="T5" s="6">
        <v>0</v>
      </c>
      <c r="U5" s="6">
        <v>0</v>
      </c>
      <c r="V5" s="52">
        <f>IF(ISERROR(VLOOKUP($S$5,'TAR FIN'!$A$1:$O$88,15,0)),0,VLOOKUP($S$5,'TAR FIN'!$A$1:$O$88,15,0))*(1-0.04)</f>
        <v>43.603200000000001</v>
      </c>
      <c r="W5" s="52">
        <f>IF(ISERROR(VLOOKUP($T$5,'TAR FIN'!$A$1:$O$88,15,0)),0,VLOOKUP($T$5,'TAR FIN'!$A$1:$O$88,15,0))*(1-0.04)</f>
        <v>0</v>
      </c>
      <c r="X5" s="52">
        <f>IF(ISERROR(VLOOKUP($U$5,'TAR FIN'!$A$1:$O$88,15,0)),0,VLOOKUP($U$5,'TAR FIN'!$A$1:$O$88,15,0))*(1-0.04)</f>
        <v>0</v>
      </c>
      <c r="Y5" s="52">
        <f ca="1">('TUSD BE'!$AM$6+'TUSD BF'!$AM$6+'TUSD CVA'!$AM$6)*1*(1-0.02)</f>
        <v>50.510684974163915</v>
      </c>
      <c r="Z5" s="52">
        <f ca="1">('TUSD BE'!$AM$7+'TUSD BF'!$AM$7+'TUSD CVA'!$AM$7)*1*(1-0.02)</f>
        <v>100.66205186369288</v>
      </c>
      <c r="AA5" s="52">
        <f>('TE BE'!$AB$6+'TE BF'!$AB$6+'TE CVA'!$AB$6)*1*(1-0.02)</f>
        <v>246.88600565553992</v>
      </c>
      <c r="AB5" s="6">
        <f>$K$5*$V$5</f>
        <v>3008.6208000000001</v>
      </c>
      <c r="AC5" s="6">
        <f>$M$5*$W$5</f>
        <v>0</v>
      </c>
      <c r="AD5" s="6">
        <f>$O$5*$X$5</f>
        <v>0</v>
      </c>
      <c r="AE5" s="6">
        <f ca="1">$K$5*$Y$5</f>
        <v>3485.2372632173101</v>
      </c>
      <c r="AF5" s="6">
        <f ca="1">$M$5*$Z$5</f>
        <v>0</v>
      </c>
      <c r="AG5" s="6">
        <f>$O$5*$AA$5</f>
        <v>0</v>
      </c>
      <c r="AI5" s="35" t="s">
        <v>33</v>
      </c>
      <c r="AJ5" s="36">
        <f>SUMIF($B$2:$B$601,AI5,$AB$2:$AB$601)+SUMIF($B$2:$B$601,AI5,$AC$2:$AC$601)</f>
        <v>4040935.9784299997</v>
      </c>
      <c r="AK5" s="36">
        <f ca="1">SUMIF($B$2:$B$601,AI5,$AE$2:$AE$601)+SUMIF($B$2:$B$601,AI5,$AF$2:$AF$601)</f>
        <v>4645241.6237360425</v>
      </c>
      <c r="AL5" s="37">
        <f t="shared" ca="1" si="0"/>
        <v>0.14954595879067356</v>
      </c>
      <c r="AN5" s="35" t="s">
        <v>33</v>
      </c>
      <c r="AO5" s="36">
        <f>SUMIF($B$2:$B$601,AN5,$AD$2:$AD$601)</f>
        <v>2393904.5742327995</v>
      </c>
      <c r="AP5" s="36">
        <f>SUMIF($B$2:$B$601,AN5,$AG$2:$AG$601)</f>
        <v>2398756.5535559515</v>
      </c>
      <c r="AQ5" s="37">
        <f t="shared" si="1"/>
        <v>2.0268056527303902E-3</v>
      </c>
      <c r="AS5" s="35" t="s">
        <v>33</v>
      </c>
      <c r="AT5" s="36">
        <f>SUMIF($B$2:$B$601,AS5,$AB$2:$AB$601)+SUMIF($B$2:$B$601,AS5,$AC$2:$AC$601)+SUMIF($B$2:$B$601,AS5,$AD$2:$AD$601)</f>
        <v>6434840.5526627991</v>
      </c>
      <c r="AU5" s="36">
        <f ca="1">SUMIF($B$2:$B$601,AS5,$AE$2:$AE$601)+SUMIF($B$2:$B$601,AS5,$AF$2:$AF$601)+SUMIF($B$2:$B$601,AS5,$AG$2:$AG$601)</f>
        <v>7043998.177291994</v>
      </c>
      <c r="AV5" s="37">
        <f t="shared" ca="1" si="2"/>
        <v>9.4665535166542636E-2</v>
      </c>
    </row>
    <row r="6" spans="1:48" ht="11.25" customHeight="1" x14ac:dyDescent="0.25">
      <c r="A6" s="4" t="s">
        <v>28</v>
      </c>
      <c r="B6" s="4" t="s">
        <v>35</v>
      </c>
      <c r="C6" s="4" t="s">
        <v>52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44621</v>
      </c>
      <c r="J6" s="6">
        <v>-5</v>
      </c>
      <c r="K6" s="52">
        <v>-5</v>
      </c>
      <c r="L6" s="6">
        <v>0</v>
      </c>
      <c r="M6" s="52">
        <v>0</v>
      </c>
      <c r="N6" s="6">
        <v>0</v>
      </c>
      <c r="O6" s="52">
        <v>0</v>
      </c>
      <c r="P6" s="6">
        <v>0</v>
      </c>
      <c r="Q6" s="4" t="s">
        <v>26</v>
      </c>
      <c r="R6" s="4">
        <v>0</v>
      </c>
      <c r="S6" s="6">
        <v>16</v>
      </c>
      <c r="T6" s="6">
        <v>0</v>
      </c>
      <c r="U6" s="6">
        <v>0</v>
      </c>
      <c r="V6" s="52">
        <f>IF(ISERROR(VLOOKUP($S$6,'TAR FIN'!$A$1:$O$88,15,0)),0,VLOOKUP($S$6,'TAR FIN'!$A$1:$O$88,15,0))*(1-0.04)</f>
        <v>43.603200000000001</v>
      </c>
      <c r="W6" s="52">
        <f>IF(ISERROR(VLOOKUP($T$6,'TAR FIN'!$A$1:$O$88,15,0)),0,VLOOKUP($T$6,'TAR FIN'!$A$1:$O$88,15,0))*(1-0.04)</f>
        <v>0</v>
      </c>
      <c r="X6" s="52">
        <f>IF(ISERROR(VLOOKUP($U$6,'TAR FIN'!$A$1:$O$88,15,0)),0,VLOOKUP($U$6,'TAR FIN'!$A$1:$O$88,15,0))*(1-0.04)</f>
        <v>0</v>
      </c>
      <c r="Y6" s="52">
        <f ca="1">('TUSD BE'!$AM$6+'TUSD BF'!$AM$6+'TUSD CVA'!$AM$6)*1*(1-0.02)</f>
        <v>50.510684974163915</v>
      </c>
      <c r="Z6" s="52">
        <f ca="1">('TUSD BE'!$AM$7+'TUSD BF'!$AM$7+'TUSD CVA'!$AM$7)*1*(1-0.02)</f>
        <v>100.66205186369288</v>
      </c>
      <c r="AA6" s="52">
        <f>('TE BE'!$AB$6+'TE BF'!$AB$6+'TE CVA'!$AB$6)*1*(1-0.02)</f>
        <v>246.88600565553992</v>
      </c>
      <c r="AB6" s="6">
        <f>$K$6*$V$6</f>
        <v>-218.01600000000002</v>
      </c>
      <c r="AC6" s="6">
        <f>$M$6*$W$6</f>
        <v>0</v>
      </c>
      <c r="AD6" s="6">
        <f>$O$6*$X$6</f>
        <v>0</v>
      </c>
      <c r="AE6" s="6">
        <f ca="1">$K$6*$Y$6</f>
        <v>-252.55342487081958</v>
      </c>
      <c r="AF6" s="6">
        <f ca="1">$M$6*$Z$6</f>
        <v>0</v>
      </c>
      <c r="AG6" s="6">
        <f>$O$6*$AA$6</f>
        <v>0</v>
      </c>
      <c r="AI6" s="35" t="s">
        <v>43</v>
      </c>
      <c r="AJ6" s="36">
        <f>SUMIF($B$2:$B$601,AI6,$AB$2:$AB$601)+SUMIF($B$2:$B$601,AI6,$AC$2:$AC$601)</f>
        <v>1133431.1080799997</v>
      </c>
      <c r="AK6" s="36">
        <f ca="1">SUMIF($B$2:$B$601,AI6,$AE$2:$AE$601)+SUMIF($B$2:$B$601,AI6,$AF$2:$AF$601)</f>
        <v>1298786.1250779105</v>
      </c>
      <c r="AL6" s="37">
        <f t="shared" ca="1" si="0"/>
        <v>0.14588889948328454</v>
      </c>
      <c r="AN6" s="35" t="s">
        <v>43</v>
      </c>
      <c r="AO6" s="36">
        <f>SUMIF($B$2:$B$601,AN6,$AD$2:$AD$601)</f>
        <v>671462.09135999996</v>
      </c>
      <c r="AP6" s="36">
        <f>SUMIF($B$2:$B$601,AN6,$AG$2:$AG$601)</f>
        <v>670680.23184819589</v>
      </c>
      <c r="AQ6" s="37">
        <f t="shared" si="1"/>
        <v>-1.16441348195917E-3</v>
      </c>
      <c r="AS6" s="35" t="s">
        <v>43</v>
      </c>
      <c r="AT6" s="36">
        <f>SUMIF($B$2:$B$601,AS6,$AB$2:$AB$601)+SUMIF($B$2:$B$601,AS6,$AC$2:$AC$601)+SUMIF($B$2:$B$601,AS6,$AD$2:$AD$601)</f>
        <v>1804893.1994399996</v>
      </c>
      <c r="AU6" s="36">
        <f ca="1">SUMIF($B$2:$B$601,AS6,$AE$2:$AE$601)+SUMIF($B$2:$B$601,AS6,$AF$2:$AF$601)+SUMIF($B$2:$B$601,AS6,$AG$2:$AG$601)</f>
        <v>1969466.3569261064</v>
      </c>
      <c r="AV6" s="37">
        <f t="shared" ca="1" si="2"/>
        <v>9.1181659688877259E-2</v>
      </c>
    </row>
    <row r="7" spans="1:48" ht="11.25" customHeight="1" x14ac:dyDescent="0.25">
      <c r="A7" s="4" t="s">
        <v>28</v>
      </c>
      <c r="B7" s="4" t="s">
        <v>35</v>
      </c>
      <c r="C7" s="4" t="s">
        <v>52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44652</v>
      </c>
      <c r="J7" s="6">
        <v>65</v>
      </c>
      <c r="K7" s="52">
        <v>65</v>
      </c>
      <c r="L7" s="6">
        <v>0</v>
      </c>
      <c r="M7" s="52">
        <v>0</v>
      </c>
      <c r="N7" s="6">
        <v>0</v>
      </c>
      <c r="O7" s="52">
        <v>0</v>
      </c>
      <c r="P7" s="6">
        <v>0</v>
      </c>
      <c r="Q7" s="4" t="s">
        <v>26</v>
      </c>
      <c r="R7" s="4">
        <v>0</v>
      </c>
      <c r="S7" s="6">
        <v>16</v>
      </c>
      <c r="T7" s="6">
        <v>0</v>
      </c>
      <c r="U7" s="6">
        <v>0</v>
      </c>
      <c r="V7" s="52">
        <f>IF(ISERROR(VLOOKUP($S$7,'TAR FIN'!$A$1:$O$88,15,0)),0,VLOOKUP($S$7,'TAR FIN'!$A$1:$O$88,15,0))*(1-0.04)</f>
        <v>43.603200000000001</v>
      </c>
      <c r="W7" s="52">
        <f>IF(ISERROR(VLOOKUP($T$7,'TAR FIN'!$A$1:$O$88,15,0)),0,VLOOKUP($T$7,'TAR FIN'!$A$1:$O$88,15,0))*(1-0.04)</f>
        <v>0</v>
      </c>
      <c r="X7" s="52">
        <f>IF(ISERROR(VLOOKUP($U$7,'TAR FIN'!$A$1:$O$88,15,0)),0,VLOOKUP($U$7,'TAR FIN'!$A$1:$O$88,15,0))*(1-0.04)</f>
        <v>0</v>
      </c>
      <c r="Y7" s="52">
        <f ca="1">('TUSD BE'!$AM$6+'TUSD BF'!$AM$6+'TUSD CVA'!$AM$6)*1*(1-0.02)</f>
        <v>50.510684974163915</v>
      </c>
      <c r="Z7" s="52">
        <f ca="1">('TUSD BE'!$AM$7+'TUSD BF'!$AM$7+'TUSD CVA'!$AM$7)*1*(1-0.02)</f>
        <v>100.66205186369288</v>
      </c>
      <c r="AA7" s="52">
        <f>('TE BE'!$AB$6+'TE BF'!$AB$6+'TE CVA'!$AB$6)*1*(1-0.02)</f>
        <v>246.88600565553992</v>
      </c>
      <c r="AB7" s="6">
        <f>$K$7*$V$7</f>
        <v>2834.2080000000001</v>
      </c>
      <c r="AC7" s="6">
        <f>$M$7*$W$7</f>
        <v>0</v>
      </c>
      <c r="AD7" s="6">
        <f>$O$7*$X$7</f>
        <v>0</v>
      </c>
      <c r="AE7" s="6">
        <f ca="1">$K$7*$Y$7</f>
        <v>3283.1945233206543</v>
      </c>
      <c r="AF7" s="6">
        <f ca="1">$M$7*$Z$7</f>
        <v>0</v>
      </c>
      <c r="AG7" s="6">
        <f>$O$7*$AA$7</f>
        <v>0</v>
      </c>
      <c r="AI7" s="35" t="s">
        <v>544</v>
      </c>
      <c r="AJ7" s="36">
        <f>+$AJ$2</f>
        <v>7187689.7142655998</v>
      </c>
      <c r="AK7" s="36">
        <f ca="1">+$AK$2</f>
        <v>8375697.8226101268</v>
      </c>
      <c r="AL7" s="37">
        <f t="shared" ca="1" si="0"/>
        <v>0.1652837219707266</v>
      </c>
      <c r="AN7" s="35" t="s">
        <v>544</v>
      </c>
      <c r="AO7" s="36">
        <f>+$AO$2</f>
        <v>3512314.272071599</v>
      </c>
      <c r="AP7" s="36">
        <f>+$AP$2</f>
        <v>3525517.2821004009</v>
      </c>
      <c r="AQ7" s="37">
        <f t="shared" si="1"/>
        <v>3.7590628303925122E-3</v>
      </c>
      <c r="AS7" s="35" t="s">
        <v>544</v>
      </c>
      <c r="AT7" s="36">
        <f>+$AT$2</f>
        <v>10700003.9863372</v>
      </c>
      <c r="AU7" s="36">
        <f ca="1">+$AU$2</f>
        <v>11901215.104710527</v>
      </c>
      <c r="AV7" s="37">
        <f t="shared" ca="1" si="2"/>
        <v>0.1122626795192927</v>
      </c>
    </row>
    <row r="8" spans="1:48" ht="11.25" customHeight="1" x14ac:dyDescent="0.25">
      <c r="A8" s="4" t="s">
        <v>28</v>
      </c>
      <c r="B8" s="4" t="s">
        <v>35</v>
      </c>
      <c r="C8" s="4" t="s">
        <v>52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44682</v>
      </c>
      <c r="J8" s="6">
        <v>93</v>
      </c>
      <c r="K8" s="52">
        <v>93</v>
      </c>
      <c r="L8" s="6">
        <v>10.872999999999999</v>
      </c>
      <c r="M8" s="52">
        <v>10.872999999999999</v>
      </c>
      <c r="N8" s="6">
        <v>10.872999999999999</v>
      </c>
      <c r="O8" s="52">
        <v>10.872999999999999</v>
      </c>
      <c r="P8" s="6">
        <v>0</v>
      </c>
      <c r="Q8" s="4" t="s">
        <v>26</v>
      </c>
      <c r="R8" s="4">
        <v>0</v>
      </c>
      <c r="S8" s="6">
        <v>16</v>
      </c>
      <c r="T8" s="6">
        <v>9</v>
      </c>
      <c r="U8" s="6">
        <v>28</v>
      </c>
      <c r="V8" s="52">
        <f>IF(ISERROR(VLOOKUP($S$8,'TAR FIN'!$A$1:$O$88,15,0)),0,VLOOKUP($S$8,'TAR FIN'!$A$1:$O$88,15,0))*(1-0.04)</f>
        <v>43.603200000000001</v>
      </c>
      <c r="W8" s="52">
        <f>IF(ISERROR(VLOOKUP($T$8,'TAR FIN'!$A$1:$O$88,15,0)),0,VLOOKUP($T$8,'TAR FIN'!$A$1:$O$88,15,0))*(1-0.04)</f>
        <v>76.147199999999984</v>
      </c>
      <c r="X8" s="52">
        <f>IF(ISERROR(VLOOKUP($U$8,'TAR FIN'!$A$1:$O$88,15,0)),0,VLOOKUP($U$8,'TAR FIN'!$A$1:$O$88,15,0))*(1-0.04)</f>
        <v>242.13119999999998</v>
      </c>
      <c r="Y8" s="52">
        <f ca="1">('TUSD BE'!$AM$6+'TUSD BF'!$AM$6+'TUSD CVA'!$AM$6)*1*(1-0.02)</f>
        <v>50.510684974163915</v>
      </c>
      <c r="Z8" s="52">
        <f ca="1">('TUSD BE'!$AM$7+'TUSD BF'!$AM$7+'TUSD CVA'!$AM$7)*1*(1-0.02)</f>
        <v>100.66205186369288</v>
      </c>
      <c r="AA8" s="52">
        <f>('TE BE'!$AB$6+'TE BF'!$AB$6+'TE CVA'!$AB$6)*1*(1-0.02)</f>
        <v>246.88600565553992</v>
      </c>
      <c r="AB8" s="6">
        <f>$K$8*$V$8</f>
        <v>4055.0976000000001</v>
      </c>
      <c r="AC8" s="6">
        <f>$M$8*$W$8</f>
        <v>827.94850559999975</v>
      </c>
      <c r="AD8" s="6">
        <f>$O$8*$X$8</f>
        <v>2632.6925375999995</v>
      </c>
      <c r="AE8" s="6">
        <f ca="1">$K$8*$Y$8</f>
        <v>4697.493702597244</v>
      </c>
      <c r="AF8" s="6">
        <f ca="1">$M$8*$Z$8</f>
        <v>1094.4984899139326</v>
      </c>
      <c r="AG8" s="6">
        <f>$O$8*$AA$8</f>
        <v>2684.3915394926853</v>
      </c>
      <c r="AI8" s="35" t="s">
        <v>80</v>
      </c>
      <c r="AJ8" s="36">
        <f>+$AJ$3+$AJ$4+$AJ$5+$AJ$6</f>
        <v>28929866.676749494</v>
      </c>
      <c r="AK8" s="36">
        <f ca="1">+$AK$3+$AK$4+$AK$5+$AK$6</f>
        <v>34539129.643808119</v>
      </c>
      <c r="AL8" s="37">
        <f t="shared" ca="1" si="0"/>
        <v>0.19389176693187826</v>
      </c>
      <c r="AN8" s="35" t="s">
        <v>80</v>
      </c>
      <c r="AO8" s="36">
        <f>+$AO$3+$AO$4+$AO$5+$AO$6</f>
        <v>17157036.075670801</v>
      </c>
      <c r="AP8" s="36">
        <f>+$AP$3+$AP$4+$AP$5+$AP$6</f>
        <v>17858962.148114756</v>
      </c>
      <c r="AQ8" s="37">
        <f t="shared" si="1"/>
        <v>4.091184918817703E-2</v>
      </c>
      <c r="AS8" s="35" t="s">
        <v>80</v>
      </c>
      <c r="AT8" s="36">
        <f>+$AT$3+$AT$4+$AT$5+$AT$6</f>
        <v>46086902.752420291</v>
      </c>
      <c r="AU8" s="36">
        <f ca="1">+$AU$3+$AU$4+$AU$5+$AU$6</f>
        <v>52398091.791922882</v>
      </c>
      <c r="AV8" s="37">
        <f t="shared" ca="1" si="2"/>
        <v>0.13694105402149548</v>
      </c>
    </row>
    <row r="9" spans="1:48" ht="11.25" customHeight="1" x14ac:dyDescent="0.25">
      <c r="A9" s="4" t="s">
        <v>28</v>
      </c>
      <c r="B9" s="4" t="s">
        <v>35</v>
      </c>
      <c r="C9" s="4" t="s">
        <v>52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44713</v>
      </c>
      <c r="J9" s="6">
        <v>56</v>
      </c>
      <c r="K9" s="52">
        <v>56</v>
      </c>
      <c r="L9" s="6">
        <v>7.7039999999999997</v>
      </c>
      <c r="M9" s="52">
        <v>7.7039999999999997</v>
      </c>
      <c r="N9" s="6">
        <v>7.7039999999999997</v>
      </c>
      <c r="O9" s="52">
        <v>7.7039999999999997</v>
      </c>
      <c r="P9" s="6">
        <v>0</v>
      </c>
      <c r="Q9" s="4" t="s">
        <v>26</v>
      </c>
      <c r="R9" s="4">
        <v>0</v>
      </c>
      <c r="S9" s="6">
        <v>16</v>
      </c>
      <c r="T9" s="6">
        <v>9</v>
      </c>
      <c r="U9" s="6">
        <v>28</v>
      </c>
      <c r="V9" s="52">
        <f>IF(ISERROR(VLOOKUP($S$9,'TAR FIN'!$A$1:$O$88,15,0)),0,VLOOKUP($S$9,'TAR FIN'!$A$1:$O$88,15,0))*(1-0.04)</f>
        <v>43.603200000000001</v>
      </c>
      <c r="W9" s="52">
        <f>IF(ISERROR(VLOOKUP($T$9,'TAR FIN'!$A$1:$O$88,15,0)),0,VLOOKUP($T$9,'TAR FIN'!$A$1:$O$88,15,0))*(1-0.04)</f>
        <v>76.147199999999984</v>
      </c>
      <c r="X9" s="52">
        <f>IF(ISERROR(VLOOKUP($U$9,'TAR FIN'!$A$1:$O$88,15,0)),0,VLOOKUP($U$9,'TAR FIN'!$A$1:$O$88,15,0))*(1-0.04)</f>
        <v>242.13119999999998</v>
      </c>
      <c r="Y9" s="52">
        <f ca="1">('TUSD BE'!$AM$6+'TUSD BF'!$AM$6+'TUSD CVA'!$AM$6)*1*(1-0.02)</f>
        <v>50.510684974163915</v>
      </c>
      <c r="Z9" s="52">
        <f ca="1">('TUSD BE'!$AM$7+'TUSD BF'!$AM$7+'TUSD CVA'!$AM$7)*1*(1-0.02)</f>
        <v>100.66205186369288</v>
      </c>
      <c r="AA9" s="52">
        <f>('TE BE'!$AB$6+'TE BF'!$AB$6+'TE CVA'!$AB$6)*1*(1-0.02)</f>
        <v>246.88600565553992</v>
      </c>
      <c r="AB9" s="6">
        <f>$K$9*$V$9</f>
        <v>2441.7791999999999</v>
      </c>
      <c r="AC9" s="6">
        <f>$M$9*$W$9</f>
        <v>586.6380287999998</v>
      </c>
      <c r="AD9" s="6">
        <f>$O$9*$X$9</f>
        <v>1865.3787647999998</v>
      </c>
      <c r="AE9" s="6">
        <f ca="1">$K$9*$Y$9</f>
        <v>2828.5983585531794</v>
      </c>
      <c r="AF9" s="6">
        <f ca="1">$M$9*$Z$9</f>
        <v>775.50044755788997</v>
      </c>
      <c r="AG9" s="6">
        <f>$O$9*$AA$9</f>
        <v>1902.0097875702795</v>
      </c>
      <c r="AI9" s="35" t="s">
        <v>545</v>
      </c>
      <c r="AJ9" s="36">
        <f>AJ8+AJ7</f>
        <v>36117556.391015097</v>
      </c>
      <c r="AK9" s="36">
        <f ca="1">AK8+AK7</f>
        <v>42914827.466418244</v>
      </c>
      <c r="AL9" s="37">
        <f t="shared" ca="1" si="0"/>
        <v>0.18819853153448918</v>
      </c>
      <c r="AN9" s="35" t="s">
        <v>545</v>
      </c>
      <c r="AO9" s="36">
        <f>AO8+AO7</f>
        <v>20669350.347742401</v>
      </c>
      <c r="AP9" s="36">
        <f>AP8+AP7</f>
        <v>21384479.430215158</v>
      </c>
      <c r="AQ9" s="37">
        <f t="shared" si="1"/>
        <v>3.4598527309343652E-2</v>
      </c>
      <c r="AS9" s="35" t="s">
        <v>545</v>
      </c>
      <c r="AT9" s="36">
        <f>AT8+AT7</f>
        <v>56786906.738757491</v>
      </c>
      <c r="AU9" s="36">
        <f ca="1">AU8+AU7</f>
        <v>64299306.896633409</v>
      </c>
      <c r="AV9" s="37">
        <f t="shared" ca="1" si="2"/>
        <v>0.13229106125529899</v>
      </c>
    </row>
    <row r="10" spans="1:48" ht="11.25" customHeight="1" x14ac:dyDescent="0.25">
      <c r="A10" s="4" t="s">
        <v>28</v>
      </c>
      <c r="B10" s="4" t="s">
        <v>35</v>
      </c>
      <c r="C10" s="4" t="s">
        <v>52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44593</v>
      </c>
      <c r="J10" s="6">
        <v>75</v>
      </c>
      <c r="K10" s="52">
        <v>75</v>
      </c>
      <c r="L10" s="6">
        <v>0</v>
      </c>
      <c r="M10" s="52">
        <v>0</v>
      </c>
      <c r="N10" s="6">
        <v>0</v>
      </c>
      <c r="O10" s="52">
        <v>0</v>
      </c>
      <c r="P10" s="6">
        <v>0</v>
      </c>
      <c r="Q10" s="4" t="s">
        <v>26</v>
      </c>
      <c r="R10" s="4">
        <v>0</v>
      </c>
      <c r="S10" s="6">
        <v>21</v>
      </c>
      <c r="T10" s="6">
        <v>0</v>
      </c>
      <c r="U10" s="6">
        <v>0</v>
      </c>
      <c r="V10" s="52">
        <f>IF(ISERROR(VLOOKUP($S$10,'TAR FIN'!$A$1:$O$88,15,0)),0,VLOOKUP($S$10,'TAR FIN'!$A$1:$O$88,15,0))*(1-0.04)</f>
        <v>55.257600000000004</v>
      </c>
      <c r="W10" s="52">
        <f>IF(ISERROR(VLOOKUP($T$10,'TAR FIN'!$A$1:$O$88,15,0)),0,VLOOKUP($T$10,'TAR FIN'!$A$1:$O$88,15,0))*(1-0.04)</f>
        <v>0</v>
      </c>
      <c r="X10" s="52">
        <f>IF(ISERROR(VLOOKUP($U$10,'TAR FIN'!$A$1:$O$88,15,0)),0,VLOOKUP($U$10,'TAR FIN'!$A$1:$O$88,15,0))*(1-0.04)</f>
        <v>0</v>
      </c>
      <c r="Y10" s="52">
        <f ca="1">('TUSD BE'!$AM$5+'TUSD BF'!$AM$5+'TUSD CVA'!$AM$5)*1*(1-0.02)</f>
        <v>63.126788531532412</v>
      </c>
      <c r="Z10" s="52">
        <f ca="1">('TUSD BE'!$AM$7+'TUSD BF'!$AM$7+'TUSD CVA'!$AM$7)*1*(1-0.02)</f>
        <v>100.66205186369288</v>
      </c>
      <c r="AA10" s="52">
        <f>('TE BE'!$AB$5+'TE BF'!$AB$5+'TE CVA'!$AB$5)*1*(1-0.02)</f>
        <v>246.88600565553992</v>
      </c>
      <c r="AB10" s="6">
        <f>$K$10*$V$10</f>
        <v>4144.3200000000006</v>
      </c>
      <c r="AC10" s="6">
        <f>$M$10*$W$10</f>
        <v>0</v>
      </c>
      <c r="AD10" s="6">
        <f>$O$10*$X$10</f>
        <v>0</v>
      </c>
      <c r="AE10" s="6">
        <f ca="1">$K$10*$Y$10</f>
        <v>4734.5091398649311</v>
      </c>
      <c r="AF10" s="6">
        <f ca="1">$M$10*$Z$10</f>
        <v>0</v>
      </c>
      <c r="AG10" s="6">
        <f>$O$10*$AA$10</f>
        <v>0</v>
      </c>
    </row>
    <row r="11" spans="1:48" ht="11.25" customHeight="1" x14ac:dyDescent="0.25">
      <c r="A11" s="4" t="s">
        <v>28</v>
      </c>
      <c r="B11" s="4" t="s">
        <v>35</v>
      </c>
      <c r="C11" s="4" t="s">
        <v>52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44621</v>
      </c>
      <c r="J11" s="6">
        <v>17</v>
      </c>
      <c r="K11" s="52">
        <v>17</v>
      </c>
      <c r="L11" s="6">
        <v>0</v>
      </c>
      <c r="M11" s="52">
        <v>0</v>
      </c>
      <c r="N11" s="6">
        <v>0</v>
      </c>
      <c r="O11" s="52">
        <v>0</v>
      </c>
      <c r="P11" s="6">
        <v>0</v>
      </c>
      <c r="Q11" s="4" t="s">
        <v>26</v>
      </c>
      <c r="R11" s="4">
        <v>0</v>
      </c>
      <c r="S11" s="6">
        <v>21</v>
      </c>
      <c r="T11" s="6">
        <v>0</v>
      </c>
      <c r="U11" s="6">
        <v>0</v>
      </c>
      <c r="V11" s="52">
        <f>IF(ISERROR(VLOOKUP($S$11,'TAR FIN'!$A$1:$O$88,15,0)),0,VLOOKUP($S$11,'TAR FIN'!$A$1:$O$88,15,0))*(1-0.04)</f>
        <v>55.257600000000004</v>
      </c>
      <c r="W11" s="52">
        <f>IF(ISERROR(VLOOKUP($T$11,'TAR FIN'!$A$1:$O$88,15,0)),0,VLOOKUP($T$11,'TAR FIN'!$A$1:$O$88,15,0))*(1-0.04)</f>
        <v>0</v>
      </c>
      <c r="X11" s="52">
        <f>IF(ISERROR(VLOOKUP($U$11,'TAR FIN'!$A$1:$O$88,15,0)),0,VLOOKUP($U$11,'TAR FIN'!$A$1:$O$88,15,0))*(1-0.04)</f>
        <v>0</v>
      </c>
      <c r="Y11" s="52">
        <f ca="1">('TUSD BE'!$AM$5+'TUSD BF'!$AM$5+'TUSD CVA'!$AM$5)*1*(1-0.02)</f>
        <v>63.126788531532412</v>
      </c>
      <c r="Z11" s="52">
        <f ca="1">('TUSD BE'!$AM$7+'TUSD BF'!$AM$7+'TUSD CVA'!$AM$7)*1*(1-0.02)</f>
        <v>100.66205186369288</v>
      </c>
      <c r="AA11" s="52">
        <f>('TE BE'!$AB$5+'TE BF'!$AB$5+'TE CVA'!$AB$5)*1*(1-0.02)</f>
        <v>246.88600565553992</v>
      </c>
      <c r="AB11" s="6">
        <f>$K$11*$V$11</f>
        <v>939.37920000000008</v>
      </c>
      <c r="AC11" s="6">
        <f>$M$11*$W$11</f>
        <v>0</v>
      </c>
      <c r="AD11" s="6">
        <f>$O$11*$X$11</f>
        <v>0</v>
      </c>
      <c r="AE11" s="6">
        <f ca="1">$K$11*$Y$11</f>
        <v>1073.155405036051</v>
      </c>
      <c r="AF11" s="6">
        <f ca="1">$M$11*$Z$11</f>
        <v>0</v>
      </c>
      <c r="AG11" s="6">
        <f>$O$11*$AA$11</f>
        <v>0</v>
      </c>
    </row>
    <row r="12" spans="1:48" ht="11.25" customHeight="1" x14ac:dyDescent="0.25">
      <c r="A12" s="4" t="s">
        <v>28</v>
      </c>
      <c r="B12" s="4" t="s">
        <v>35</v>
      </c>
      <c r="C12" s="4" t="s">
        <v>52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44621</v>
      </c>
      <c r="J12" s="6">
        <v>-5</v>
      </c>
      <c r="K12" s="52">
        <v>-5</v>
      </c>
      <c r="L12" s="6">
        <v>0</v>
      </c>
      <c r="M12" s="52">
        <v>0</v>
      </c>
      <c r="N12" s="6">
        <v>0</v>
      </c>
      <c r="O12" s="52">
        <v>0</v>
      </c>
      <c r="P12" s="6">
        <v>0</v>
      </c>
      <c r="Q12" s="4" t="s">
        <v>26</v>
      </c>
      <c r="R12" s="4">
        <v>0</v>
      </c>
      <c r="S12" s="6">
        <v>21</v>
      </c>
      <c r="T12" s="6">
        <v>0</v>
      </c>
      <c r="U12" s="6">
        <v>0</v>
      </c>
      <c r="V12" s="52">
        <f>IF(ISERROR(VLOOKUP($S$12,'TAR FIN'!$A$1:$O$88,15,0)),0,VLOOKUP($S$12,'TAR FIN'!$A$1:$O$88,15,0))*(1-0.04)</f>
        <v>55.257600000000004</v>
      </c>
      <c r="W12" s="52">
        <f>IF(ISERROR(VLOOKUP($T$12,'TAR FIN'!$A$1:$O$88,15,0)),0,VLOOKUP($T$12,'TAR FIN'!$A$1:$O$88,15,0))*(1-0.04)</f>
        <v>0</v>
      </c>
      <c r="X12" s="52">
        <f>IF(ISERROR(VLOOKUP($U$12,'TAR FIN'!$A$1:$O$88,15,0)),0,VLOOKUP($U$12,'TAR FIN'!$A$1:$O$88,15,0))*(1-0.04)</f>
        <v>0</v>
      </c>
      <c r="Y12" s="52">
        <f ca="1">('TUSD BE'!$AM$5+'TUSD BF'!$AM$5+'TUSD CVA'!$AM$5)*1*(1-0.02)</f>
        <v>63.126788531532412</v>
      </c>
      <c r="Z12" s="52">
        <f ca="1">('TUSD BE'!$AM$7+'TUSD BF'!$AM$7+'TUSD CVA'!$AM$7)*1*(1-0.02)</f>
        <v>100.66205186369288</v>
      </c>
      <c r="AA12" s="52">
        <f>('TE BE'!$AB$5+'TE BF'!$AB$5+'TE CVA'!$AB$5)*1*(1-0.02)</f>
        <v>246.88600565553992</v>
      </c>
      <c r="AB12" s="6">
        <f>$K$12*$V$12</f>
        <v>-276.28800000000001</v>
      </c>
      <c r="AC12" s="6">
        <f>$M$12*$W$12</f>
        <v>0</v>
      </c>
      <c r="AD12" s="6">
        <f>$O$12*$X$12</f>
        <v>0</v>
      </c>
      <c r="AE12" s="6">
        <f ca="1">$K$12*$Y$12</f>
        <v>-315.63394265766203</v>
      </c>
      <c r="AF12" s="6">
        <f ca="1">$M$12*$Z$12</f>
        <v>0</v>
      </c>
      <c r="AG12" s="6">
        <f>$O$12*$AA$12</f>
        <v>0</v>
      </c>
    </row>
    <row r="13" spans="1:48" ht="11.25" customHeight="1" x14ac:dyDescent="0.25">
      <c r="A13" s="4" t="s">
        <v>28</v>
      </c>
      <c r="B13" s="4" t="s">
        <v>35</v>
      </c>
      <c r="C13" s="4" t="s">
        <v>52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44652</v>
      </c>
      <c r="J13" s="6">
        <v>11</v>
      </c>
      <c r="K13" s="52">
        <v>11</v>
      </c>
      <c r="L13" s="6">
        <v>0</v>
      </c>
      <c r="M13" s="52">
        <v>0</v>
      </c>
      <c r="N13" s="6">
        <v>0</v>
      </c>
      <c r="O13" s="52">
        <v>0</v>
      </c>
      <c r="P13" s="6">
        <v>0</v>
      </c>
      <c r="Q13" s="4" t="s">
        <v>26</v>
      </c>
      <c r="R13" s="4">
        <v>0</v>
      </c>
      <c r="S13" s="6">
        <v>21</v>
      </c>
      <c r="T13" s="6">
        <v>0</v>
      </c>
      <c r="U13" s="6">
        <v>0</v>
      </c>
      <c r="V13" s="52">
        <f>IF(ISERROR(VLOOKUP($S$13,'TAR FIN'!$A$1:$O$88,15,0)),0,VLOOKUP($S$13,'TAR FIN'!$A$1:$O$88,15,0))*(1-0.04)</f>
        <v>55.257600000000004</v>
      </c>
      <c r="W13" s="52">
        <f>IF(ISERROR(VLOOKUP($T$13,'TAR FIN'!$A$1:$O$88,15,0)),0,VLOOKUP($T$13,'TAR FIN'!$A$1:$O$88,15,0))*(1-0.04)</f>
        <v>0</v>
      </c>
      <c r="X13" s="52">
        <f>IF(ISERROR(VLOOKUP($U$13,'TAR FIN'!$A$1:$O$88,15,0)),0,VLOOKUP($U$13,'TAR FIN'!$A$1:$O$88,15,0))*(1-0.04)</f>
        <v>0</v>
      </c>
      <c r="Y13" s="52">
        <f ca="1">('TUSD BE'!$AM$5+'TUSD BF'!$AM$5+'TUSD CVA'!$AM$5)*1*(1-0.02)</f>
        <v>63.126788531532412</v>
      </c>
      <c r="Z13" s="52">
        <f ca="1">('TUSD BE'!$AM$7+'TUSD BF'!$AM$7+'TUSD CVA'!$AM$7)*1*(1-0.02)</f>
        <v>100.66205186369288</v>
      </c>
      <c r="AA13" s="52">
        <f>('TE BE'!$AB$5+'TE BF'!$AB$5+'TE CVA'!$AB$5)*1*(1-0.02)</f>
        <v>246.88600565553992</v>
      </c>
      <c r="AB13" s="6">
        <f>$K$13*$V$13</f>
        <v>607.83360000000005</v>
      </c>
      <c r="AC13" s="6">
        <f>$M$13*$W$13</f>
        <v>0</v>
      </c>
      <c r="AD13" s="6">
        <f>$O$13*$X$13</f>
        <v>0</v>
      </c>
      <c r="AE13" s="6">
        <f ca="1">$K$13*$Y$13</f>
        <v>694.39467384685656</v>
      </c>
      <c r="AF13" s="6">
        <f ca="1">$M$13*$Z$13</f>
        <v>0</v>
      </c>
      <c r="AG13" s="6">
        <f>$O$13*$AA$13</f>
        <v>0</v>
      </c>
    </row>
    <row r="14" spans="1:48" ht="11.25" customHeight="1" x14ac:dyDescent="0.25">
      <c r="A14" s="4" t="s">
        <v>28</v>
      </c>
      <c r="B14" s="4" t="s">
        <v>35</v>
      </c>
      <c r="C14" s="4" t="s">
        <v>52</v>
      </c>
      <c r="D14" s="4" t="s">
        <v>41</v>
      </c>
      <c r="E14" s="4" t="s">
        <v>25</v>
      </c>
      <c r="F14" s="4" t="s">
        <v>25</v>
      </c>
      <c r="G14" s="4" t="s">
        <v>25</v>
      </c>
      <c r="H14" s="4" t="s">
        <v>37</v>
      </c>
      <c r="I14" s="5">
        <v>44682</v>
      </c>
      <c r="J14" s="6">
        <v>80</v>
      </c>
      <c r="K14" s="52">
        <v>80</v>
      </c>
      <c r="L14" s="6">
        <v>1.125</v>
      </c>
      <c r="M14" s="52">
        <v>1.125</v>
      </c>
      <c r="N14" s="6">
        <v>1.125</v>
      </c>
      <c r="O14" s="52">
        <v>1.125</v>
      </c>
      <c r="P14" s="6">
        <v>0</v>
      </c>
      <c r="Q14" s="4" t="s">
        <v>26</v>
      </c>
      <c r="R14" s="4">
        <v>0</v>
      </c>
      <c r="S14" s="6">
        <v>21</v>
      </c>
      <c r="T14" s="6">
        <v>9</v>
      </c>
      <c r="U14" s="6">
        <v>41</v>
      </c>
      <c r="V14" s="52">
        <f>IF(ISERROR(VLOOKUP($S$14,'TAR FIN'!$A$1:$O$88,15,0)),0,VLOOKUP($S$14,'TAR FIN'!$A$1:$O$88,15,0))*(1-0.04)</f>
        <v>55.257600000000004</v>
      </c>
      <c r="W14" s="52">
        <f>IF(ISERROR(VLOOKUP($T$14,'TAR FIN'!$A$1:$O$88,15,0)),0,VLOOKUP($T$14,'TAR FIN'!$A$1:$O$88,15,0))*(1-0.04)</f>
        <v>76.147199999999984</v>
      </c>
      <c r="X14" s="52">
        <f>IF(ISERROR(VLOOKUP($U$14,'TAR FIN'!$A$1:$O$88,15,0)),0,VLOOKUP($U$14,'TAR FIN'!$A$1:$O$88,15,0))*(1-0.04)</f>
        <v>242.13119999999998</v>
      </c>
      <c r="Y14" s="52">
        <f ca="1">('TUSD BE'!$AM$5+'TUSD BF'!$AM$5+'TUSD CVA'!$AM$5)*1*(1-0.02)</f>
        <v>63.126788531532412</v>
      </c>
      <c r="Z14" s="52">
        <f ca="1">('TUSD BE'!$AM$7+'TUSD BF'!$AM$7+'TUSD CVA'!$AM$7)*1*(1-0.02)</f>
        <v>100.66205186369288</v>
      </c>
      <c r="AA14" s="52">
        <f>('TE BE'!$AB$5+'TE BF'!$AB$5+'TE CVA'!$AB$5)*1*(1-0.02)</f>
        <v>246.88600565553992</v>
      </c>
      <c r="AB14" s="6">
        <f>$K$14*$V$14</f>
        <v>4420.6080000000002</v>
      </c>
      <c r="AC14" s="6">
        <f>$M$14*$W$14</f>
        <v>85.665599999999984</v>
      </c>
      <c r="AD14" s="6">
        <f>$O$14*$X$14</f>
        <v>272.39759999999995</v>
      </c>
      <c r="AE14" s="6">
        <f ca="1">$K$14*$Y$14</f>
        <v>5050.1430825225925</v>
      </c>
      <c r="AF14" s="6">
        <f ca="1">$M$14*$Z$14</f>
        <v>113.24480834665449</v>
      </c>
      <c r="AG14" s="6">
        <f>$O$14*$AA$14</f>
        <v>277.74675636248242</v>
      </c>
    </row>
    <row r="15" spans="1:48" ht="11.25" customHeight="1" x14ac:dyDescent="0.25">
      <c r="A15" s="4" t="s">
        <v>28</v>
      </c>
      <c r="B15" s="4" t="s">
        <v>35</v>
      </c>
      <c r="C15" s="4" t="s">
        <v>52</v>
      </c>
      <c r="D15" s="4" t="s">
        <v>41</v>
      </c>
      <c r="E15" s="4" t="s">
        <v>25</v>
      </c>
      <c r="F15" s="4" t="s">
        <v>25</v>
      </c>
      <c r="G15" s="4" t="s">
        <v>25</v>
      </c>
      <c r="H15" s="4" t="s">
        <v>37</v>
      </c>
      <c r="I15" s="5">
        <v>44713</v>
      </c>
      <c r="J15" s="6">
        <v>31</v>
      </c>
      <c r="K15" s="52">
        <v>31</v>
      </c>
      <c r="L15" s="6">
        <v>0.72299999999999998</v>
      </c>
      <c r="M15" s="52">
        <v>0.72299999999999998</v>
      </c>
      <c r="N15" s="6">
        <v>0.72299999999999998</v>
      </c>
      <c r="O15" s="52">
        <v>0.72299999999999998</v>
      </c>
      <c r="P15" s="6">
        <v>0</v>
      </c>
      <c r="Q15" s="4" t="s">
        <v>26</v>
      </c>
      <c r="R15" s="4">
        <v>0</v>
      </c>
      <c r="S15" s="6">
        <v>21</v>
      </c>
      <c r="T15" s="6">
        <v>9</v>
      </c>
      <c r="U15" s="6">
        <v>41</v>
      </c>
      <c r="V15" s="52">
        <f>IF(ISERROR(VLOOKUP($S$15,'TAR FIN'!$A$1:$O$88,15,0)),0,VLOOKUP($S$15,'TAR FIN'!$A$1:$O$88,15,0))*(1-0.04)</f>
        <v>55.257600000000004</v>
      </c>
      <c r="W15" s="52">
        <f>IF(ISERROR(VLOOKUP($T$15,'TAR FIN'!$A$1:$O$88,15,0)),0,VLOOKUP($T$15,'TAR FIN'!$A$1:$O$88,15,0))*(1-0.04)</f>
        <v>76.147199999999984</v>
      </c>
      <c r="X15" s="52">
        <f>IF(ISERROR(VLOOKUP($U$15,'TAR FIN'!$A$1:$O$88,15,0)),0,VLOOKUP($U$15,'TAR FIN'!$A$1:$O$88,15,0))*(1-0.04)</f>
        <v>242.13119999999998</v>
      </c>
      <c r="Y15" s="52">
        <f ca="1">('TUSD BE'!$AM$5+'TUSD BF'!$AM$5+'TUSD CVA'!$AM$5)*1*(1-0.02)</f>
        <v>63.126788531532412</v>
      </c>
      <c r="Z15" s="52">
        <f ca="1">('TUSD BE'!$AM$7+'TUSD BF'!$AM$7+'TUSD CVA'!$AM$7)*1*(1-0.02)</f>
        <v>100.66205186369288</v>
      </c>
      <c r="AA15" s="52">
        <f>('TE BE'!$AB$5+'TE BF'!$AB$5+'TE CVA'!$AB$5)*1*(1-0.02)</f>
        <v>246.88600565553992</v>
      </c>
      <c r="AB15" s="6">
        <f>$K$15*$V$15</f>
        <v>1712.9856000000002</v>
      </c>
      <c r="AC15" s="6">
        <f>$M$15*$W$15</f>
        <v>55.054425599999988</v>
      </c>
      <c r="AD15" s="6">
        <f>$O$15*$X$15</f>
        <v>175.06085759999999</v>
      </c>
      <c r="AE15" s="6">
        <f ca="1">$K$15*$Y$15</f>
        <v>1956.9304444775048</v>
      </c>
      <c r="AF15" s="6">
        <f ca="1">$M$15*$Z$15</f>
        <v>72.778663497449955</v>
      </c>
      <c r="AG15" s="6">
        <f>$O$15*$AA$15</f>
        <v>178.49858208895535</v>
      </c>
    </row>
    <row r="16" spans="1:48" ht="11.25" customHeight="1" x14ac:dyDescent="0.25">
      <c r="A16" s="4" t="s">
        <v>21</v>
      </c>
      <c r="B16" s="4" t="s">
        <v>35</v>
      </c>
      <c r="C16" s="4" t="s">
        <v>36</v>
      </c>
      <c r="D16" s="4" t="s">
        <v>39</v>
      </c>
      <c r="E16" s="4" t="s">
        <v>25</v>
      </c>
      <c r="F16" s="4" t="s">
        <v>25</v>
      </c>
      <c r="G16" s="4" t="s">
        <v>25</v>
      </c>
      <c r="H16" s="4" t="s">
        <v>38</v>
      </c>
      <c r="I16" s="5">
        <v>44378</v>
      </c>
      <c r="J16" s="6">
        <v>0</v>
      </c>
      <c r="K16" s="6">
        <v>0</v>
      </c>
      <c r="L16" s="6">
        <v>212.73</v>
      </c>
      <c r="M16" s="6">
        <v>212.73</v>
      </c>
      <c r="N16" s="6">
        <v>212.73</v>
      </c>
      <c r="O16" s="6">
        <v>212.73</v>
      </c>
      <c r="P16" s="6">
        <v>0</v>
      </c>
      <c r="Q16" s="4" t="s">
        <v>26</v>
      </c>
      <c r="R16" s="4">
        <v>0</v>
      </c>
      <c r="S16" s="6">
        <v>0</v>
      </c>
      <c r="T16" s="6">
        <v>15</v>
      </c>
      <c r="U16" s="6">
        <v>28</v>
      </c>
      <c r="V16" s="6">
        <f>IF(ISERROR(VLOOKUP($S$16,'TAR FIN'!$A$1:$O$88,15,0)),0,VLOOKUP($S$16,'TAR FIN'!$A$1:$O$88,15,0))</f>
        <v>0</v>
      </c>
      <c r="W16" s="6">
        <f>IF(ISERROR(VLOOKUP($T$16,'TAR FIN'!$A$1:$O$88,15,0)),0,VLOOKUP($T$16,'TAR FIN'!$A$1:$O$88,15,0))</f>
        <v>79.319999999999993</v>
      </c>
      <c r="X16" s="6">
        <f>IF(ISERROR(VLOOKUP($U$16,'TAR FIN'!$A$1:$O$88,15,0)),0,VLOOKUP($U$16,'TAR FIN'!$A$1:$O$88,15,0))</f>
        <v>252.22</v>
      </c>
      <c r="Y16" s="6"/>
      <c r="Z16" s="6">
        <f ca="1">('TUSD BE'!$AM$12+'TUSD BF'!$AM$12+'TUSD CVA'!$AM$12)*1</f>
        <v>102.71637945274784</v>
      </c>
      <c r="AA16" s="6">
        <f>('TE BE'!$AB$6+'TE BF'!$AB$6+'TE CVA'!$AB$6)*1</f>
        <v>251.92449556687748</v>
      </c>
      <c r="AB16" s="6">
        <f>$K$16*$V$16</f>
        <v>0</v>
      </c>
      <c r="AC16" s="6">
        <f>$M$16*$W$16</f>
        <v>16873.743599999998</v>
      </c>
      <c r="AD16" s="6">
        <f>$O$16*$X$16</f>
        <v>53654.760599999994</v>
      </c>
      <c r="AE16" s="6">
        <f>$K$16*$Y$16</f>
        <v>0</v>
      </c>
      <c r="AF16" s="6">
        <f ca="1">$M$16*$Z$16</f>
        <v>21850.855400983048</v>
      </c>
      <c r="AG16" s="6">
        <f>$O$16*$AA$16</f>
        <v>53591.897941941847</v>
      </c>
    </row>
    <row r="17" spans="1:33" ht="11.25" customHeight="1" x14ac:dyDescent="0.25">
      <c r="A17" s="4" t="s">
        <v>28</v>
      </c>
      <c r="B17" s="4" t="s">
        <v>35</v>
      </c>
      <c r="C17" s="4" t="s">
        <v>36</v>
      </c>
      <c r="D17" s="4" t="s">
        <v>39</v>
      </c>
      <c r="E17" s="4" t="s">
        <v>25</v>
      </c>
      <c r="F17" s="4" t="s">
        <v>25</v>
      </c>
      <c r="G17" s="4" t="s">
        <v>25</v>
      </c>
      <c r="H17" s="4" t="s">
        <v>38</v>
      </c>
      <c r="I17" s="5">
        <v>44378</v>
      </c>
      <c r="J17" s="6">
        <v>0</v>
      </c>
      <c r="K17" s="6">
        <v>0</v>
      </c>
      <c r="L17" s="6">
        <v>15.42</v>
      </c>
      <c r="M17" s="6">
        <v>15.42</v>
      </c>
      <c r="N17" s="6">
        <v>15.42</v>
      </c>
      <c r="O17" s="6">
        <v>15.42</v>
      </c>
      <c r="P17" s="6">
        <v>0</v>
      </c>
      <c r="Q17" s="4" t="s">
        <v>26</v>
      </c>
      <c r="R17" s="4">
        <v>0</v>
      </c>
      <c r="S17" s="6">
        <v>0</v>
      </c>
      <c r="T17" s="6">
        <v>15</v>
      </c>
      <c r="U17" s="6">
        <v>28</v>
      </c>
      <c r="V17" s="6">
        <f>IF(ISERROR(VLOOKUP($S$17,'TAR FIN'!$A$1:$O$88,15,0)),0,VLOOKUP($S$17,'TAR FIN'!$A$1:$O$88,15,0))</f>
        <v>0</v>
      </c>
      <c r="W17" s="6">
        <f>IF(ISERROR(VLOOKUP($T$17,'TAR FIN'!$A$1:$O$88,15,0)),0,VLOOKUP($T$17,'TAR FIN'!$A$1:$O$88,15,0))</f>
        <v>79.319999999999993</v>
      </c>
      <c r="X17" s="6">
        <f>IF(ISERROR(VLOOKUP($U$17,'TAR FIN'!$A$1:$O$88,15,0)),0,VLOOKUP($U$17,'TAR FIN'!$A$1:$O$88,15,0))</f>
        <v>252.22</v>
      </c>
      <c r="Y17" s="6"/>
      <c r="Z17" s="6">
        <f ca="1">('TUSD BE'!$AM$12+'TUSD BF'!$AM$12+'TUSD CVA'!$AM$12)*1</f>
        <v>102.71637945274784</v>
      </c>
      <c r="AA17" s="6">
        <f>('TE BE'!$AB$6+'TE BF'!$AB$6+'TE CVA'!$AB$6)*1</f>
        <v>251.92449556687748</v>
      </c>
      <c r="AB17" s="6">
        <f>$K$17*$V$17</f>
        <v>0</v>
      </c>
      <c r="AC17" s="6">
        <f>$M$17*$W$17</f>
        <v>1223.1143999999999</v>
      </c>
      <c r="AD17" s="6">
        <f>$O$17*$X$17</f>
        <v>3889.2323999999999</v>
      </c>
      <c r="AE17" s="6">
        <f>$K$17*$Y$17</f>
        <v>0</v>
      </c>
      <c r="AF17" s="6">
        <f ca="1">$M$17*$Z$17</f>
        <v>1583.8865711613716</v>
      </c>
      <c r="AG17" s="6">
        <f>$O$17*$AA$17</f>
        <v>3884.6757216412507</v>
      </c>
    </row>
    <row r="18" spans="1:33" ht="11.25" customHeight="1" x14ac:dyDescent="0.25">
      <c r="A18" s="4" t="s">
        <v>21</v>
      </c>
      <c r="B18" s="4" t="s">
        <v>35</v>
      </c>
      <c r="C18" s="4" t="s">
        <v>36</v>
      </c>
      <c r="D18" s="4" t="s">
        <v>39</v>
      </c>
      <c r="E18" s="4" t="s">
        <v>25</v>
      </c>
      <c r="F18" s="4" t="s">
        <v>25</v>
      </c>
      <c r="G18" s="4" t="s">
        <v>25</v>
      </c>
      <c r="H18" s="4" t="s">
        <v>38</v>
      </c>
      <c r="I18" s="5">
        <v>44409</v>
      </c>
      <c r="J18" s="6">
        <v>0</v>
      </c>
      <c r="K18" s="6">
        <v>0</v>
      </c>
      <c r="L18" s="6">
        <v>269.262</v>
      </c>
      <c r="M18" s="6">
        <v>269.262</v>
      </c>
      <c r="N18" s="6">
        <v>269.262</v>
      </c>
      <c r="O18" s="6">
        <v>269.262</v>
      </c>
      <c r="P18" s="6">
        <v>0</v>
      </c>
      <c r="Q18" s="4" t="s">
        <v>26</v>
      </c>
      <c r="R18" s="4">
        <v>0</v>
      </c>
      <c r="S18" s="6">
        <v>0</v>
      </c>
      <c r="T18" s="6">
        <v>15</v>
      </c>
      <c r="U18" s="6">
        <v>28</v>
      </c>
      <c r="V18" s="6">
        <f>IF(ISERROR(VLOOKUP($S$18,'TAR FIN'!$A$1:$O$88,15,0)),0,VLOOKUP($S$18,'TAR FIN'!$A$1:$O$88,15,0))</f>
        <v>0</v>
      </c>
      <c r="W18" s="6">
        <f>IF(ISERROR(VLOOKUP($T$18,'TAR FIN'!$A$1:$O$88,15,0)),0,VLOOKUP($T$18,'TAR FIN'!$A$1:$O$88,15,0))</f>
        <v>79.319999999999993</v>
      </c>
      <c r="X18" s="6">
        <f>IF(ISERROR(VLOOKUP($U$18,'TAR FIN'!$A$1:$O$88,15,0)),0,VLOOKUP($U$18,'TAR FIN'!$A$1:$O$88,15,0))</f>
        <v>252.22</v>
      </c>
      <c r="Y18" s="6"/>
      <c r="Z18" s="6">
        <f ca="1">('TUSD BE'!$AM$12+'TUSD BF'!$AM$12+'TUSD CVA'!$AM$12)*1</f>
        <v>102.71637945274784</v>
      </c>
      <c r="AA18" s="6">
        <f>('TE BE'!$AB$6+'TE BF'!$AB$6+'TE CVA'!$AB$6)*1</f>
        <v>251.92449556687748</v>
      </c>
      <c r="AB18" s="6">
        <f>$K$18*$V$18</f>
        <v>0</v>
      </c>
      <c r="AC18" s="6">
        <f>$M$18*$W$18</f>
        <v>21357.861839999998</v>
      </c>
      <c r="AD18" s="6">
        <f>$O$18*$X$18</f>
        <v>67913.261639999997</v>
      </c>
      <c r="AE18" s="6">
        <f>$K$18*$Y$18</f>
        <v>0</v>
      </c>
      <c r="AF18" s="6">
        <f ca="1">$M$18*$Z$18</f>
        <v>27657.617764205792</v>
      </c>
      <c r="AG18" s="6">
        <f>$O$18*$AA$18</f>
        <v>67833.693525328563</v>
      </c>
    </row>
    <row r="19" spans="1:33" ht="11.25" customHeight="1" x14ac:dyDescent="0.25">
      <c r="A19" s="4" t="s">
        <v>21</v>
      </c>
      <c r="B19" s="4" t="s">
        <v>35</v>
      </c>
      <c r="C19" s="4" t="s">
        <v>36</v>
      </c>
      <c r="D19" s="4" t="s">
        <v>39</v>
      </c>
      <c r="E19" s="4" t="s">
        <v>25</v>
      </c>
      <c r="F19" s="4" t="s">
        <v>25</v>
      </c>
      <c r="G19" s="4" t="s">
        <v>25</v>
      </c>
      <c r="H19" s="4" t="s">
        <v>38</v>
      </c>
      <c r="I19" s="5">
        <v>44440</v>
      </c>
      <c r="J19" s="6">
        <v>0</v>
      </c>
      <c r="K19" s="6">
        <v>0</v>
      </c>
      <c r="L19" s="6">
        <v>227.029</v>
      </c>
      <c r="M19" s="6">
        <v>227.029</v>
      </c>
      <c r="N19" s="6">
        <v>227.029</v>
      </c>
      <c r="O19" s="6">
        <v>227.029</v>
      </c>
      <c r="P19" s="6">
        <v>0</v>
      </c>
      <c r="Q19" s="4" t="s">
        <v>26</v>
      </c>
      <c r="R19" s="4">
        <v>0</v>
      </c>
      <c r="S19" s="6">
        <v>0</v>
      </c>
      <c r="T19" s="6">
        <v>15</v>
      </c>
      <c r="U19" s="6">
        <v>28</v>
      </c>
      <c r="V19" s="6">
        <f>IF(ISERROR(VLOOKUP($S$19,'TAR FIN'!$A$1:$O$88,15,0)),0,VLOOKUP($S$19,'TAR FIN'!$A$1:$O$88,15,0))</f>
        <v>0</v>
      </c>
      <c r="W19" s="6">
        <f>IF(ISERROR(VLOOKUP($T$19,'TAR FIN'!$A$1:$O$88,15,0)),0,VLOOKUP($T$19,'TAR FIN'!$A$1:$O$88,15,0))</f>
        <v>79.319999999999993</v>
      </c>
      <c r="X19" s="6">
        <f>IF(ISERROR(VLOOKUP($U$19,'TAR FIN'!$A$1:$O$88,15,0)),0,VLOOKUP($U$19,'TAR FIN'!$A$1:$O$88,15,0))</f>
        <v>252.22</v>
      </c>
      <c r="Y19" s="6"/>
      <c r="Z19" s="6">
        <f ca="1">('TUSD BE'!$AM$12+'TUSD BF'!$AM$12+'TUSD CVA'!$AM$12)*1</f>
        <v>102.71637945274784</v>
      </c>
      <c r="AA19" s="6">
        <f>('TE BE'!$AB$6+'TE BF'!$AB$6+'TE CVA'!$AB$6)*1</f>
        <v>251.92449556687748</v>
      </c>
      <c r="AB19" s="6">
        <f>$K$19*$V$19</f>
        <v>0</v>
      </c>
      <c r="AC19" s="6">
        <f>$M$19*$W$19</f>
        <v>18007.940279999999</v>
      </c>
      <c r="AD19" s="6">
        <f>$O$19*$X$19</f>
        <v>57261.254379999998</v>
      </c>
      <c r="AE19" s="6">
        <f>$K$19*$Y$19</f>
        <v>0</v>
      </c>
      <c r="AF19" s="6">
        <f ca="1">$M$19*$Z$19</f>
        <v>23319.596910777891</v>
      </c>
      <c r="AG19" s="6">
        <f>$O$19*$AA$19</f>
        <v>57194.166304052625</v>
      </c>
    </row>
    <row r="20" spans="1:33" ht="11.25" customHeight="1" x14ac:dyDescent="0.25">
      <c r="A20" s="4" t="s">
        <v>21</v>
      </c>
      <c r="B20" s="4" t="s">
        <v>35</v>
      </c>
      <c r="C20" s="4" t="s">
        <v>36</v>
      </c>
      <c r="D20" s="4" t="s">
        <v>39</v>
      </c>
      <c r="E20" s="4" t="s">
        <v>25</v>
      </c>
      <c r="F20" s="4" t="s">
        <v>25</v>
      </c>
      <c r="G20" s="4" t="s">
        <v>25</v>
      </c>
      <c r="H20" s="4" t="s">
        <v>38</v>
      </c>
      <c r="I20" s="5">
        <v>44470</v>
      </c>
      <c r="J20" s="6">
        <v>0</v>
      </c>
      <c r="K20" s="6">
        <v>0</v>
      </c>
      <c r="L20" s="6">
        <v>227.18100000000001</v>
      </c>
      <c r="M20" s="6">
        <v>227.18100000000001</v>
      </c>
      <c r="N20" s="6">
        <v>227.18100000000001</v>
      </c>
      <c r="O20" s="6">
        <v>227.18100000000001</v>
      </c>
      <c r="P20" s="6">
        <v>0</v>
      </c>
      <c r="Q20" s="4" t="s">
        <v>26</v>
      </c>
      <c r="R20" s="4">
        <v>0</v>
      </c>
      <c r="S20" s="6">
        <v>0</v>
      </c>
      <c r="T20" s="6">
        <v>15</v>
      </c>
      <c r="U20" s="6">
        <v>28</v>
      </c>
      <c r="V20" s="6">
        <f>IF(ISERROR(VLOOKUP($S$20,'TAR FIN'!$A$1:$O$88,15,0)),0,VLOOKUP($S$20,'TAR FIN'!$A$1:$O$88,15,0))</f>
        <v>0</v>
      </c>
      <c r="W20" s="6">
        <f>IF(ISERROR(VLOOKUP($T$20,'TAR FIN'!$A$1:$O$88,15,0)),0,VLOOKUP($T$20,'TAR FIN'!$A$1:$O$88,15,0))</f>
        <v>79.319999999999993</v>
      </c>
      <c r="X20" s="6">
        <f>IF(ISERROR(VLOOKUP($U$20,'TAR FIN'!$A$1:$O$88,15,0)),0,VLOOKUP($U$20,'TAR FIN'!$A$1:$O$88,15,0))</f>
        <v>252.22</v>
      </c>
      <c r="Y20" s="6"/>
      <c r="Z20" s="6">
        <f ca="1">('TUSD BE'!$AM$12+'TUSD BF'!$AM$12+'TUSD CVA'!$AM$12)*1</f>
        <v>102.71637945274784</v>
      </c>
      <c r="AA20" s="6">
        <f>('TE BE'!$AB$6+'TE BF'!$AB$6+'TE CVA'!$AB$6)*1</f>
        <v>251.92449556687748</v>
      </c>
      <c r="AB20" s="6">
        <f>$K$20*$V$20</f>
        <v>0</v>
      </c>
      <c r="AC20" s="6">
        <f>$M$20*$W$20</f>
        <v>18019.996919999998</v>
      </c>
      <c r="AD20" s="6">
        <f>$O$20*$X$20</f>
        <v>57299.591820000001</v>
      </c>
      <c r="AE20" s="6">
        <f>$K$20*$Y$20</f>
        <v>0</v>
      </c>
      <c r="AF20" s="6">
        <f ca="1">$M$20*$Z$20</f>
        <v>23335.209800454708</v>
      </c>
      <c r="AG20" s="6">
        <f>$O$20*$AA$20</f>
        <v>57232.458827378796</v>
      </c>
    </row>
    <row r="21" spans="1:33" ht="11.25" customHeight="1" x14ac:dyDescent="0.25">
      <c r="A21" s="4" t="s">
        <v>21</v>
      </c>
      <c r="B21" s="4" t="s">
        <v>35</v>
      </c>
      <c r="C21" s="4" t="s">
        <v>36</v>
      </c>
      <c r="D21" s="4" t="s">
        <v>39</v>
      </c>
      <c r="E21" s="4" t="s">
        <v>25</v>
      </c>
      <c r="F21" s="4" t="s">
        <v>25</v>
      </c>
      <c r="G21" s="4" t="s">
        <v>25</v>
      </c>
      <c r="H21" s="4" t="s">
        <v>38</v>
      </c>
      <c r="I21" s="5">
        <v>44501</v>
      </c>
      <c r="J21" s="6">
        <v>0</v>
      </c>
      <c r="K21" s="6">
        <v>0</v>
      </c>
      <c r="L21" s="6">
        <v>271.642</v>
      </c>
      <c r="M21" s="6">
        <v>271.642</v>
      </c>
      <c r="N21" s="6">
        <v>271.642</v>
      </c>
      <c r="O21" s="6">
        <v>271.642</v>
      </c>
      <c r="P21" s="6">
        <v>0</v>
      </c>
      <c r="Q21" s="4" t="s">
        <v>26</v>
      </c>
      <c r="R21" s="4">
        <v>0</v>
      </c>
      <c r="S21" s="6">
        <v>0</v>
      </c>
      <c r="T21" s="6">
        <v>15</v>
      </c>
      <c r="U21" s="6">
        <v>28</v>
      </c>
      <c r="V21" s="6">
        <f>IF(ISERROR(VLOOKUP($S$21,'TAR FIN'!$A$1:$O$88,15,0)),0,VLOOKUP($S$21,'TAR FIN'!$A$1:$O$88,15,0))</f>
        <v>0</v>
      </c>
      <c r="W21" s="6">
        <f>IF(ISERROR(VLOOKUP($T$21,'TAR FIN'!$A$1:$O$88,15,0)),0,VLOOKUP($T$21,'TAR FIN'!$A$1:$O$88,15,0))</f>
        <v>79.319999999999993</v>
      </c>
      <c r="X21" s="6">
        <f>IF(ISERROR(VLOOKUP($U$21,'TAR FIN'!$A$1:$O$88,15,0)),0,VLOOKUP($U$21,'TAR FIN'!$A$1:$O$88,15,0))</f>
        <v>252.22</v>
      </c>
      <c r="Y21" s="6"/>
      <c r="Z21" s="6">
        <f ca="1">('TUSD BE'!$AM$12+'TUSD BF'!$AM$12+'TUSD CVA'!$AM$12)*1</f>
        <v>102.71637945274784</v>
      </c>
      <c r="AA21" s="6">
        <f>('TE BE'!$AB$6+'TE BF'!$AB$6+'TE CVA'!$AB$6)*1</f>
        <v>251.92449556687748</v>
      </c>
      <c r="AB21" s="6">
        <f>$K$21*$V$21</f>
        <v>0</v>
      </c>
      <c r="AC21" s="6">
        <f>$M$21*$W$21</f>
        <v>21546.643439999996</v>
      </c>
      <c r="AD21" s="6">
        <f>$O$21*$X$21</f>
        <v>68513.545239999992</v>
      </c>
      <c r="AE21" s="6">
        <f>$K$21*$Y$21</f>
        <v>0</v>
      </c>
      <c r="AF21" s="6">
        <f ca="1">$M$21*$Z$21</f>
        <v>27902.082747303328</v>
      </c>
      <c r="AG21" s="6">
        <f>$O$21*$AA$21</f>
        <v>68433.273824777731</v>
      </c>
    </row>
    <row r="22" spans="1:33" ht="11.25" customHeight="1" x14ac:dyDescent="0.25">
      <c r="A22" s="4" t="s">
        <v>28</v>
      </c>
      <c r="B22" s="4" t="s">
        <v>35</v>
      </c>
      <c r="C22" s="4" t="s">
        <v>36</v>
      </c>
      <c r="D22" s="4" t="s">
        <v>39</v>
      </c>
      <c r="E22" s="4" t="s">
        <v>25</v>
      </c>
      <c r="F22" s="4" t="s">
        <v>25</v>
      </c>
      <c r="G22" s="4" t="s">
        <v>25</v>
      </c>
      <c r="H22" s="4" t="s">
        <v>38</v>
      </c>
      <c r="I22" s="5">
        <v>44501</v>
      </c>
      <c r="J22" s="6">
        <v>0</v>
      </c>
      <c r="K22" s="6">
        <v>0</v>
      </c>
      <c r="L22" s="6">
        <v>5.92</v>
      </c>
      <c r="M22" s="6">
        <v>5.92</v>
      </c>
      <c r="N22" s="6">
        <v>5.92</v>
      </c>
      <c r="O22" s="6">
        <v>5.92</v>
      </c>
      <c r="P22" s="6">
        <v>0</v>
      </c>
      <c r="Q22" s="4" t="s">
        <v>26</v>
      </c>
      <c r="R22" s="4">
        <v>0</v>
      </c>
      <c r="S22" s="6">
        <v>0</v>
      </c>
      <c r="T22" s="6">
        <v>15</v>
      </c>
      <c r="U22" s="6">
        <v>28</v>
      </c>
      <c r="V22" s="6">
        <f>IF(ISERROR(VLOOKUP($S$22,'TAR FIN'!$A$1:$O$88,15,0)),0,VLOOKUP($S$22,'TAR FIN'!$A$1:$O$88,15,0))</f>
        <v>0</v>
      </c>
      <c r="W22" s="6">
        <f>IF(ISERROR(VLOOKUP($T$22,'TAR FIN'!$A$1:$O$88,15,0)),0,VLOOKUP($T$22,'TAR FIN'!$A$1:$O$88,15,0))</f>
        <v>79.319999999999993</v>
      </c>
      <c r="X22" s="6">
        <f>IF(ISERROR(VLOOKUP($U$22,'TAR FIN'!$A$1:$O$88,15,0)),0,VLOOKUP($U$22,'TAR FIN'!$A$1:$O$88,15,0))</f>
        <v>252.22</v>
      </c>
      <c r="Y22" s="6"/>
      <c r="Z22" s="6">
        <f ca="1">('TUSD BE'!$AM$12+'TUSD BF'!$AM$12+'TUSD CVA'!$AM$12)*1</f>
        <v>102.71637945274784</v>
      </c>
      <c r="AA22" s="6">
        <f>('TE BE'!$AB$6+'TE BF'!$AB$6+'TE CVA'!$AB$6)*1</f>
        <v>251.92449556687748</v>
      </c>
      <c r="AB22" s="6">
        <f>$K$22*$V$22</f>
        <v>0</v>
      </c>
      <c r="AC22" s="6">
        <f>$M$22*$W$22</f>
        <v>469.57439999999997</v>
      </c>
      <c r="AD22" s="6">
        <f>$O$22*$X$22</f>
        <v>1493.1424</v>
      </c>
      <c r="AE22" s="6">
        <f>$K$22*$Y$22</f>
        <v>0</v>
      </c>
      <c r="AF22" s="6">
        <f ca="1">$M$22*$Z$22</f>
        <v>608.08096636026721</v>
      </c>
      <c r="AG22" s="6">
        <f>$O$22*$AA$22</f>
        <v>1491.3930137559146</v>
      </c>
    </row>
    <row r="23" spans="1:33" ht="11.25" customHeight="1" x14ac:dyDescent="0.25">
      <c r="A23" s="4" t="s">
        <v>21</v>
      </c>
      <c r="B23" s="4" t="s">
        <v>35</v>
      </c>
      <c r="C23" s="4" t="s">
        <v>36</v>
      </c>
      <c r="D23" s="4" t="s">
        <v>39</v>
      </c>
      <c r="E23" s="4" t="s">
        <v>25</v>
      </c>
      <c r="F23" s="4" t="s">
        <v>25</v>
      </c>
      <c r="G23" s="4" t="s">
        <v>25</v>
      </c>
      <c r="H23" s="4" t="s">
        <v>38</v>
      </c>
      <c r="I23" s="5">
        <v>44531</v>
      </c>
      <c r="J23" s="6">
        <v>0</v>
      </c>
      <c r="K23" s="6">
        <v>0</v>
      </c>
      <c r="L23" s="6">
        <v>232.51499999999999</v>
      </c>
      <c r="M23" s="6">
        <v>232.51499999999999</v>
      </c>
      <c r="N23" s="6">
        <v>232.51499999999999</v>
      </c>
      <c r="O23" s="6">
        <v>232.51499999999999</v>
      </c>
      <c r="P23" s="6">
        <v>0</v>
      </c>
      <c r="Q23" s="4" t="s">
        <v>26</v>
      </c>
      <c r="R23" s="4">
        <v>0</v>
      </c>
      <c r="S23" s="6">
        <v>0</v>
      </c>
      <c r="T23" s="6">
        <v>15</v>
      </c>
      <c r="U23" s="6">
        <v>28</v>
      </c>
      <c r="V23" s="6">
        <f>IF(ISERROR(VLOOKUP($S$23,'TAR FIN'!$A$1:$O$88,15,0)),0,VLOOKUP($S$23,'TAR FIN'!$A$1:$O$88,15,0))</f>
        <v>0</v>
      </c>
      <c r="W23" s="6">
        <f>IF(ISERROR(VLOOKUP($T$23,'TAR FIN'!$A$1:$O$88,15,0)),0,VLOOKUP($T$23,'TAR FIN'!$A$1:$O$88,15,0))</f>
        <v>79.319999999999993</v>
      </c>
      <c r="X23" s="6">
        <f>IF(ISERROR(VLOOKUP($U$23,'TAR FIN'!$A$1:$O$88,15,0)),0,VLOOKUP($U$23,'TAR FIN'!$A$1:$O$88,15,0))</f>
        <v>252.22</v>
      </c>
      <c r="Y23" s="6"/>
      <c r="Z23" s="6">
        <f ca="1">('TUSD BE'!$AM$12+'TUSD BF'!$AM$12+'TUSD CVA'!$AM$12)*1</f>
        <v>102.71637945274784</v>
      </c>
      <c r="AA23" s="6">
        <f>('TE BE'!$AB$6+'TE BF'!$AB$6+'TE CVA'!$AB$6)*1</f>
        <v>251.92449556687748</v>
      </c>
      <c r="AB23" s="6">
        <f>$K$23*$V$23</f>
        <v>0</v>
      </c>
      <c r="AC23" s="6">
        <f>$M$23*$W$23</f>
        <v>18443.089799999998</v>
      </c>
      <c r="AD23" s="6">
        <f>$O$23*$X$23</f>
        <v>58644.933299999997</v>
      </c>
      <c r="AE23" s="6">
        <f>$K$23*$Y$23</f>
        <v>0</v>
      </c>
      <c r="AF23" s="6">
        <f ca="1">$M$23*$Z$23</f>
        <v>23883.098968455663</v>
      </c>
      <c r="AG23" s="6">
        <f>$O$23*$AA$23</f>
        <v>58576.224086732516</v>
      </c>
    </row>
    <row r="24" spans="1:33" ht="11.25" customHeight="1" x14ac:dyDescent="0.25">
      <c r="A24" s="4" t="s">
        <v>21</v>
      </c>
      <c r="B24" s="4" t="s">
        <v>35</v>
      </c>
      <c r="C24" s="4" t="s">
        <v>36</v>
      </c>
      <c r="D24" s="4" t="s">
        <v>39</v>
      </c>
      <c r="E24" s="4" t="s">
        <v>25</v>
      </c>
      <c r="F24" s="4" t="s">
        <v>25</v>
      </c>
      <c r="G24" s="4" t="s">
        <v>25</v>
      </c>
      <c r="H24" s="4" t="s">
        <v>38</v>
      </c>
      <c r="I24" s="5">
        <v>44562</v>
      </c>
      <c r="J24" s="6">
        <v>0</v>
      </c>
      <c r="K24" s="6">
        <v>0</v>
      </c>
      <c r="L24" s="6">
        <v>264.84399999999999</v>
      </c>
      <c r="M24" s="6">
        <v>264.84399999999999</v>
      </c>
      <c r="N24" s="6">
        <v>264.84399999999999</v>
      </c>
      <c r="O24" s="6">
        <v>264.84399999999999</v>
      </c>
      <c r="P24" s="6">
        <v>0</v>
      </c>
      <c r="Q24" s="4" t="s">
        <v>26</v>
      </c>
      <c r="R24" s="4">
        <v>0</v>
      </c>
      <c r="S24" s="6">
        <v>0</v>
      </c>
      <c r="T24" s="6">
        <v>15</v>
      </c>
      <c r="U24" s="6">
        <v>28</v>
      </c>
      <c r="V24" s="6">
        <f>IF(ISERROR(VLOOKUP($S$24,'TAR FIN'!$A$1:$O$88,15,0)),0,VLOOKUP($S$24,'TAR FIN'!$A$1:$O$88,15,0))</f>
        <v>0</v>
      </c>
      <c r="W24" s="6">
        <f>IF(ISERROR(VLOOKUP($T$24,'TAR FIN'!$A$1:$O$88,15,0)),0,VLOOKUP($T$24,'TAR FIN'!$A$1:$O$88,15,0))</f>
        <v>79.319999999999993</v>
      </c>
      <c r="X24" s="6">
        <f>IF(ISERROR(VLOOKUP($U$24,'TAR FIN'!$A$1:$O$88,15,0)),0,VLOOKUP($U$24,'TAR FIN'!$A$1:$O$88,15,0))</f>
        <v>252.22</v>
      </c>
      <c r="Y24" s="6"/>
      <c r="Z24" s="6">
        <f ca="1">('TUSD BE'!$AM$12+'TUSD BF'!$AM$12+'TUSD CVA'!$AM$12)*1</f>
        <v>102.71637945274784</v>
      </c>
      <c r="AA24" s="6">
        <f>('TE BE'!$AB$6+'TE BF'!$AB$6+'TE CVA'!$AB$6)*1</f>
        <v>251.92449556687748</v>
      </c>
      <c r="AB24" s="6">
        <f>$K$24*$V$24</f>
        <v>0</v>
      </c>
      <c r="AC24" s="6">
        <f>$M$24*$W$24</f>
        <v>21007.426079999997</v>
      </c>
      <c r="AD24" s="6">
        <f>$O$24*$X$24</f>
        <v>66798.953679999991</v>
      </c>
      <c r="AE24" s="6">
        <f>$K$24*$Y$24</f>
        <v>0</v>
      </c>
      <c r="AF24" s="6">
        <f ca="1">$M$24*$Z$24</f>
        <v>27203.816799783548</v>
      </c>
      <c r="AG24" s="6">
        <f>$O$24*$AA$24</f>
        <v>66720.691103914098</v>
      </c>
    </row>
    <row r="25" spans="1:33" ht="11.25" customHeight="1" x14ac:dyDescent="0.25">
      <c r="A25" s="4" t="s">
        <v>21</v>
      </c>
      <c r="B25" s="4" t="s">
        <v>35</v>
      </c>
      <c r="C25" s="4" t="s">
        <v>36</v>
      </c>
      <c r="D25" s="4" t="s">
        <v>39</v>
      </c>
      <c r="E25" s="4" t="s">
        <v>25</v>
      </c>
      <c r="F25" s="4" t="s">
        <v>25</v>
      </c>
      <c r="G25" s="4" t="s">
        <v>25</v>
      </c>
      <c r="H25" s="4" t="s">
        <v>38</v>
      </c>
      <c r="I25" s="5">
        <v>44593</v>
      </c>
      <c r="J25" s="6">
        <v>0</v>
      </c>
      <c r="K25" s="6">
        <v>0</v>
      </c>
      <c r="L25" s="6">
        <v>275.154</v>
      </c>
      <c r="M25" s="6">
        <v>275.154</v>
      </c>
      <c r="N25" s="6">
        <v>275.154</v>
      </c>
      <c r="O25" s="6">
        <v>275.154</v>
      </c>
      <c r="P25" s="6">
        <v>0</v>
      </c>
      <c r="Q25" s="4" t="s">
        <v>26</v>
      </c>
      <c r="R25" s="4">
        <v>0</v>
      </c>
      <c r="S25" s="6">
        <v>0</v>
      </c>
      <c r="T25" s="6">
        <v>15</v>
      </c>
      <c r="U25" s="6">
        <v>28</v>
      </c>
      <c r="V25" s="6">
        <f>IF(ISERROR(VLOOKUP($S$25,'TAR FIN'!$A$1:$O$88,15,0)),0,VLOOKUP($S$25,'TAR FIN'!$A$1:$O$88,15,0))</f>
        <v>0</v>
      </c>
      <c r="W25" s="6">
        <f>IF(ISERROR(VLOOKUP($T$25,'TAR FIN'!$A$1:$O$88,15,0)),0,VLOOKUP($T$25,'TAR FIN'!$A$1:$O$88,15,0))</f>
        <v>79.319999999999993</v>
      </c>
      <c r="X25" s="6">
        <f>IF(ISERROR(VLOOKUP($U$25,'TAR FIN'!$A$1:$O$88,15,0)),0,VLOOKUP($U$25,'TAR FIN'!$A$1:$O$88,15,0))</f>
        <v>252.22</v>
      </c>
      <c r="Y25" s="6"/>
      <c r="Z25" s="6">
        <f ca="1">('TUSD BE'!$AM$12+'TUSD BF'!$AM$12+'TUSD CVA'!$AM$12)*1</f>
        <v>102.71637945274784</v>
      </c>
      <c r="AA25" s="6">
        <f>('TE BE'!$AB$6+'TE BF'!$AB$6+'TE CVA'!$AB$6)*1</f>
        <v>251.92449556687748</v>
      </c>
      <c r="AB25" s="6">
        <f>$K$25*$V$25</f>
        <v>0</v>
      </c>
      <c r="AC25" s="6">
        <f>$M$25*$W$25</f>
        <v>21825.215279999997</v>
      </c>
      <c r="AD25" s="6">
        <f>$O$25*$X$25</f>
        <v>69399.341879999993</v>
      </c>
      <c r="AE25" s="6">
        <f>$K$25*$Y$25</f>
        <v>0</v>
      </c>
      <c r="AF25" s="6">
        <f ca="1">$M$25*$Z$25</f>
        <v>28262.82267194138</v>
      </c>
      <c r="AG25" s="6">
        <f>$O$25*$AA$25</f>
        <v>69318.032653208604</v>
      </c>
    </row>
    <row r="26" spans="1:33" ht="11.25" customHeight="1" x14ac:dyDescent="0.25">
      <c r="A26" s="4" t="s">
        <v>28</v>
      </c>
      <c r="B26" s="4" t="s">
        <v>35</v>
      </c>
      <c r="C26" s="4" t="s">
        <v>36</v>
      </c>
      <c r="D26" s="4" t="s">
        <v>39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44593</v>
      </c>
      <c r="J26" s="6">
        <v>0</v>
      </c>
      <c r="K26" s="6">
        <v>0</v>
      </c>
      <c r="L26" s="6">
        <v>6.8579999999999997</v>
      </c>
      <c r="M26" s="6">
        <v>6.8579999999999997</v>
      </c>
      <c r="N26" s="6">
        <v>6.8579999999999997</v>
      </c>
      <c r="O26" s="6">
        <v>6.8579999999999997</v>
      </c>
      <c r="P26" s="6">
        <v>0</v>
      </c>
      <c r="Q26" s="4" t="s">
        <v>26</v>
      </c>
      <c r="R26" s="4">
        <v>0</v>
      </c>
      <c r="S26" s="6">
        <v>0</v>
      </c>
      <c r="T26" s="6">
        <v>15</v>
      </c>
      <c r="U26" s="6">
        <v>28</v>
      </c>
      <c r="V26" s="6">
        <f>IF(ISERROR(VLOOKUP($S$26,'TAR FIN'!$A$1:$O$88,15,0)),0,VLOOKUP($S$26,'TAR FIN'!$A$1:$O$88,15,0))</f>
        <v>0</v>
      </c>
      <c r="W26" s="6">
        <f>IF(ISERROR(VLOOKUP($T$26,'TAR FIN'!$A$1:$O$88,15,0)),0,VLOOKUP($T$26,'TAR FIN'!$A$1:$O$88,15,0))</f>
        <v>79.319999999999993</v>
      </c>
      <c r="X26" s="6">
        <f>IF(ISERROR(VLOOKUP($U$26,'TAR FIN'!$A$1:$O$88,15,0)),0,VLOOKUP($U$26,'TAR FIN'!$A$1:$O$88,15,0))</f>
        <v>252.22</v>
      </c>
      <c r="Y26" s="6"/>
      <c r="Z26" s="6">
        <f ca="1">('TUSD BE'!$AM$12+'TUSD BF'!$AM$12+'TUSD CVA'!$AM$12)*1</f>
        <v>102.71637945274784</v>
      </c>
      <c r="AA26" s="6">
        <f>('TE BE'!$AB$6+'TE BF'!$AB$6+'TE CVA'!$AB$6)*1</f>
        <v>251.92449556687748</v>
      </c>
      <c r="AB26" s="6">
        <f>$K$26*$V$26</f>
        <v>0</v>
      </c>
      <c r="AC26" s="6">
        <f>$M$26*$W$26</f>
        <v>543.97655999999995</v>
      </c>
      <c r="AD26" s="6">
        <f>$O$26*$X$26</f>
        <v>1729.7247599999998</v>
      </c>
      <c r="AE26" s="6">
        <f>$K$26*$Y$26</f>
        <v>0</v>
      </c>
      <c r="AF26" s="6">
        <f ca="1">$M$26*$Z$26</f>
        <v>704.42893028694471</v>
      </c>
      <c r="AG26" s="6">
        <f>$O$26*$AA$26</f>
        <v>1727.6981905976456</v>
      </c>
    </row>
    <row r="27" spans="1:33" ht="11.25" customHeight="1" x14ac:dyDescent="0.25">
      <c r="A27" s="4" t="s">
        <v>21</v>
      </c>
      <c r="B27" s="4" t="s">
        <v>35</v>
      </c>
      <c r="C27" s="4" t="s">
        <v>36</v>
      </c>
      <c r="D27" s="4" t="s">
        <v>39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44621</v>
      </c>
      <c r="J27" s="6">
        <v>0</v>
      </c>
      <c r="K27" s="6">
        <v>0</v>
      </c>
      <c r="L27" s="6">
        <v>207.25399999999999</v>
      </c>
      <c r="M27" s="6">
        <v>207.25399999999999</v>
      </c>
      <c r="N27" s="6">
        <v>207.25399999999999</v>
      </c>
      <c r="O27" s="6">
        <v>207.25399999999999</v>
      </c>
      <c r="P27" s="6">
        <v>0</v>
      </c>
      <c r="Q27" s="4" t="s">
        <v>26</v>
      </c>
      <c r="R27" s="4">
        <v>0</v>
      </c>
      <c r="S27" s="6">
        <v>0</v>
      </c>
      <c r="T27" s="6">
        <v>15</v>
      </c>
      <c r="U27" s="6">
        <v>28</v>
      </c>
      <c r="V27" s="6">
        <f>IF(ISERROR(VLOOKUP($S$27,'TAR FIN'!$A$1:$O$88,15,0)),0,VLOOKUP($S$27,'TAR FIN'!$A$1:$O$88,15,0))</f>
        <v>0</v>
      </c>
      <c r="W27" s="6">
        <f>IF(ISERROR(VLOOKUP($T$27,'TAR FIN'!$A$1:$O$88,15,0)),0,VLOOKUP($T$27,'TAR FIN'!$A$1:$O$88,15,0))</f>
        <v>79.319999999999993</v>
      </c>
      <c r="X27" s="6">
        <f>IF(ISERROR(VLOOKUP($U$27,'TAR FIN'!$A$1:$O$88,15,0)),0,VLOOKUP($U$27,'TAR FIN'!$A$1:$O$88,15,0))</f>
        <v>252.22</v>
      </c>
      <c r="Y27" s="6"/>
      <c r="Z27" s="6">
        <f ca="1">('TUSD BE'!$AM$12+'TUSD BF'!$AM$12+'TUSD CVA'!$AM$12)*1</f>
        <v>102.71637945274784</v>
      </c>
      <c r="AA27" s="6">
        <f>('TE BE'!$AB$6+'TE BF'!$AB$6+'TE CVA'!$AB$6)*1</f>
        <v>251.92449556687748</v>
      </c>
      <c r="AB27" s="6">
        <f>$K$27*$V$27</f>
        <v>0</v>
      </c>
      <c r="AC27" s="6">
        <f>$M$27*$W$27</f>
        <v>16439.387279999999</v>
      </c>
      <c r="AD27" s="6">
        <f>$O$27*$X$27</f>
        <v>52273.603879999995</v>
      </c>
      <c r="AE27" s="6">
        <f>$K$27*$Y$27</f>
        <v>0</v>
      </c>
      <c r="AF27" s="6">
        <f ca="1">$M$27*$Z$27</f>
        <v>21288.380507099802</v>
      </c>
      <c r="AG27" s="6">
        <f>$O$27*$AA$27</f>
        <v>52212.359404217626</v>
      </c>
    </row>
    <row r="28" spans="1:33" ht="11.25" customHeight="1" x14ac:dyDescent="0.25">
      <c r="A28" s="4" t="s">
        <v>28</v>
      </c>
      <c r="B28" s="4" t="s">
        <v>35</v>
      </c>
      <c r="C28" s="4" t="s">
        <v>36</v>
      </c>
      <c r="D28" s="4" t="s">
        <v>39</v>
      </c>
      <c r="E28" s="4" t="s">
        <v>25</v>
      </c>
      <c r="F28" s="4" t="s">
        <v>25</v>
      </c>
      <c r="G28" s="4" t="s">
        <v>25</v>
      </c>
      <c r="H28" s="4" t="s">
        <v>38</v>
      </c>
      <c r="I28" s="5">
        <v>44621</v>
      </c>
      <c r="J28" s="6">
        <v>0</v>
      </c>
      <c r="K28" s="6">
        <v>0</v>
      </c>
      <c r="L28" s="6">
        <v>11.465999999999999</v>
      </c>
      <c r="M28" s="6">
        <v>11.465999999999999</v>
      </c>
      <c r="N28" s="6">
        <v>11.465999999999999</v>
      </c>
      <c r="O28" s="6">
        <v>11.465999999999999</v>
      </c>
      <c r="P28" s="6">
        <v>0</v>
      </c>
      <c r="Q28" s="4" t="s">
        <v>26</v>
      </c>
      <c r="R28" s="4">
        <v>0</v>
      </c>
      <c r="S28" s="6">
        <v>0</v>
      </c>
      <c r="T28" s="6">
        <v>15</v>
      </c>
      <c r="U28" s="6">
        <v>28</v>
      </c>
      <c r="V28" s="6">
        <f>IF(ISERROR(VLOOKUP($S$28,'TAR FIN'!$A$1:$O$88,15,0)),0,VLOOKUP($S$28,'TAR FIN'!$A$1:$O$88,15,0))</f>
        <v>0</v>
      </c>
      <c r="W28" s="6">
        <f>IF(ISERROR(VLOOKUP($T$28,'TAR FIN'!$A$1:$O$88,15,0)),0,VLOOKUP($T$28,'TAR FIN'!$A$1:$O$88,15,0))</f>
        <v>79.319999999999993</v>
      </c>
      <c r="X28" s="6">
        <f>IF(ISERROR(VLOOKUP($U$28,'TAR FIN'!$A$1:$O$88,15,0)),0,VLOOKUP($U$28,'TAR FIN'!$A$1:$O$88,15,0))</f>
        <v>252.22</v>
      </c>
      <c r="Y28" s="6"/>
      <c r="Z28" s="6">
        <f ca="1">('TUSD BE'!$AM$12+'TUSD BF'!$AM$12+'TUSD CVA'!$AM$12)*1</f>
        <v>102.71637945274784</v>
      </c>
      <c r="AA28" s="6">
        <f>('TE BE'!$AB$6+'TE BF'!$AB$6+'TE CVA'!$AB$6)*1</f>
        <v>251.92449556687748</v>
      </c>
      <c r="AB28" s="6">
        <f>$K$28*$V$28</f>
        <v>0</v>
      </c>
      <c r="AC28" s="6">
        <f>$M$28*$W$28</f>
        <v>909.48311999999987</v>
      </c>
      <c r="AD28" s="6">
        <f>$O$28*$X$28</f>
        <v>2891.9545199999998</v>
      </c>
      <c r="AE28" s="6">
        <f>$K$28*$Y$28</f>
        <v>0</v>
      </c>
      <c r="AF28" s="6">
        <f ca="1">$M$28*$Z$28</f>
        <v>1177.7460068052067</v>
      </c>
      <c r="AG28" s="6">
        <f>$O$28*$AA$28</f>
        <v>2888.566266169817</v>
      </c>
    </row>
    <row r="29" spans="1:33" ht="11.25" customHeight="1" x14ac:dyDescent="0.25">
      <c r="A29" s="4" t="s">
        <v>21</v>
      </c>
      <c r="B29" s="4" t="s">
        <v>35</v>
      </c>
      <c r="C29" s="4" t="s">
        <v>36</v>
      </c>
      <c r="D29" s="4" t="s">
        <v>39</v>
      </c>
      <c r="E29" s="4" t="s">
        <v>25</v>
      </c>
      <c r="F29" s="4" t="s">
        <v>25</v>
      </c>
      <c r="G29" s="4" t="s">
        <v>25</v>
      </c>
      <c r="H29" s="4" t="s">
        <v>38</v>
      </c>
      <c r="I29" s="5">
        <v>44652</v>
      </c>
      <c r="J29" s="6">
        <v>0</v>
      </c>
      <c r="K29" s="6">
        <v>0</v>
      </c>
      <c r="L29" s="6">
        <v>501.79</v>
      </c>
      <c r="M29" s="6">
        <v>501.79</v>
      </c>
      <c r="N29" s="6">
        <v>501.79</v>
      </c>
      <c r="O29" s="6">
        <v>501.79</v>
      </c>
      <c r="P29" s="6">
        <v>0</v>
      </c>
      <c r="Q29" s="4" t="s">
        <v>26</v>
      </c>
      <c r="R29" s="4">
        <v>0</v>
      </c>
      <c r="S29" s="6">
        <v>0</v>
      </c>
      <c r="T29" s="6">
        <v>15</v>
      </c>
      <c r="U29" s="6">
        <v>28</v>
      </c>
      <c r="V29" s="6">
        <f>IF(ISERROR(VLOOKUP($S$29,'TAR FIN'!$A$1:$O$88,15,0)),0,VLOOKUP($S$29,'TAR FIN'!$A$1:$O$88,15,0))</f>
        <v>0</v>
      </c>
      <c r="W29" s="6">
        <f>IF(ISERROR(VLOOKUP($T$29,'TAR FIN'!$A$1:$O$88,15,0)),0,VLOOKUP($T$29,'TAR FIN'!$A$1:$O$88,15,0))</f>
        <v>79.319999999999993</v>
      </c>
      <c r="X29" s="6">
        <f>IF(ISERROR(VLOOKUP($U$29,'TAR FIN'!$A$1:$O$88,15,0)),0,VLOOKUP($U$29,'TAR FIN'!$A$1:$O$88,15,0))</f>
        <v>252.22</v>
      </c>
      <c r="Y29" s="6"/>
      <c r="Z29" s="6">
        <f ca="1">('TUSD BE'!$AM$12+'TUSD BF'!$AM$12+'TUSD CVA'!$AM$12)*1</f>
        <v>102.71637945274784</v>
      </c>
      <c r="AA29" s="6">
        <f>('TE BE'!$AB$6+'TE BF'!$AB$6+'TE CVA'!$AB$6)*1</f>
        <v>251.92449556687748</v>
      </c>
      <c r="AB29" s="6">
        <f>$K$29*$V$29</f>
        <v>0</v>
      </c>
      <c r="AC29" s="6">
        <f>$M$29*$W$29</f>
        <v>39801.982799999998</v>
      </c>
      <c r="AD29" s="6">
        <f>$O$29*$X$29</f>
        <v>126561.47380000001</v>
      </c>
      <c r="AE29" s="6">
        <f>$K$29*$Y$29</f>
        <v>0</v>
      </c>
      <c r="AF29" s="6">
        <f ca="1">$M$29*$Z$29</f>
        <v>51542.052045594341</v>
      </c>
      <c r="AG29" s="6">
        <f>$O$29*$AA$29</f>
        <v>126413.19263050346</v>
      </c>
    </row>
    <row r="30" spans="1:33" ht="11.25" customHeight="1" x14ac:dyDescent="0.25">
      <c r="A30" s="4" t="s">
        <v>28</v>
      </c>
      <c r="B30" s="4" t="s">
        <v>35</v>
      </c>
      <c r="C30" s="4" t="s">
        <v>36</v>
      </c>
      <c r="D30" s="4" t="s">
        <v>39</v>
      </c>
      <c r="E30" s="4" t="s">
        <v>25</v>
      </c>
      <c r="F30" s="4" t="s">
        <v>25</v>
      </c>
      <c r="G30" s="4" t="s">
        <v>25</v>
      </c>
      <c r="H30" s="4" t="s">
        <v>38</v>
      </c>
      <c r="I30" s="5">
        <v>44652</v>
      </c>
      <c r="J30" s="6">
        <v>0</v>
      </c>
      <c r="K30" s="6">
        <v>0</v>
      </c>
      <c r="L30" s="6">
        <v>28.596</v>
      </c>
      <c r="M30" s="6">
        <v>28.596</v>
      </c>
      <c r="N30" s="6">
        <v>28.596</v>
      </c>
      <c r="O30" s="6">
        <v>28.596</v>
      </c>
      <c r="P30" s="6">
        <v>0</v>
      </c>
      <c r="Q30" s="4" t="s">
        <v>26</v>
      </c>
      <c r="R30" s="4">
        <v>0</v>
      </c>
      <c r="S30" s="6">
        <v>0</v>
      </c>
      <c r="T30" s="6">
        <v>15</v>
      </c>
      <c r="U30" s="6">
        <v>28</v>
      </c>
      <c r="V30" s="6">
        <f>IF(ISERROR(VLOOKUP($S$30,'TAR FIN'!$A$1:$O$88,15,0)),0,VLOOKUP($S$30,'TAR FIN'!$A$1:$O$88,15,0))</f>
        <v>0</v>
      </c>
      <c r="W30" s="6">
        <f>IF(ISERROR(VLOOKUP($T$30,'TAR FIN'!$A$1:$O$88,15,0)),0,VLOOKUP($T$30,'TAR FIN'!$A$1:$O$88,15,0))</f>
        <v>79.319999999999993</v>
      </c>
      <c r="X30" s="6">
        <f>IF(ISERROR(VLOOKUP($U$30,'TAR FIN'!$A$1:$O$88,15,0)),0,VLOOKUP($U$30,'TAR FIN'!$A$1:$O$88,15,0))</f>
        <v>252.22</v>
      </c>
      <c r="Y30" s="6"/>
      <c r="Z30" s="6">
        <f ca="1">('TUSD BE'!$AM$12+'TUSD BF'!$AM$12+'TUSD CVA'!$AM$12)*1</f>
        <v>102.71637945274784</v>
      </c>
      <c r="AA30" s="6">
        <f>('TE BE'!$AB$6+'TE BF'!$AB$6+'TE CVA'!$AB$6)*1</f>
        <v>251.92449556687748</v>
      </c>
      <c r="AB30" s="6">
        <f>$K$30*$V$30</f>
        <v>0</v>
      </c>
      <c r="AC30" s="6">
        <f>$M$30*$W$30</f>
        <v>2268.2347199999999</v>
      </c>
      <c r="AD30" s="6">
        <f>$O$30*$X$30</f>
        <v>7212.4831199999999</v>
      </c>
      <c r="AE30" s="6">
        <f>$K$30*$Y$30</f>
        <v>0</v>
      </c>
      <c r="AF30" s="6">
        <f ca="1">$M$30*$Z$30</f>
        <v>2937.2775868307772</v>
      </c>
      <c r="AG30" s="6">
        <f>$O$30*$AA$30</f>
        <v>7204.0328752304285</v>
      </c>
    </row>
    <row r="31" spans="1:33" ht="11.25" customHeight="1" x14ac:dyDescent="0.25">
      <c r="A31" s="4" t="s">
        <v>21</v>
      </c>
      <c r="B31" s="4" t="s">
        <v>35</v>
      </c>
      <c r="C31" s="4" t="s">
        <v>36</v>
      </c>
      <c r="D31" s="4" t="s">
        <v>39</v>
      </c>
      <c r="E31" s="4" t="s">
        <v>25</v>
      </c>
      <c r="F31" s="4" t="s">
        <v>25</v>
      </c>
      <c r="G31" s="4" t="s">
        <v>25</v>
      </c>
      <c r="H31" s="4" t="s">
        <v>38</v>
      </c>
      <c r="I31" s="5">
        <v>44682</v>
      </c>
      <c r="J31" s="6">
        <v>0</v>
      </c>
      <c r="K31" s="6">
        <v>0</v>
      </c>
      <c r="L31" s="6">
        <v>514.86</v>
      </c>
      <c r="M31" s="6">
        <v>514.86</v>
      </c>
      <c r="N31" s="6">
        <v>514.86</v>
      </c>
      <c r="O31" s="6">
        <v>514.86</v>
      </c>
      <c r="P31" s="6">
        <v>0</v>
      </c>
      <c r="Q31" s="4" t="s">
        <v>26</v>
      </c>
      <c r="R31" s="4">
        <v>0</v>
      </c>
      <c r="S31" s="6">
        <v>0</v>
      </c>
      <c r="T31" s="6">
        <v>15</v>
      </c>
      <c r="U31" s="6">
        <v>28</v>
      </c>
      <c r="V31" s="6">
        <f>IF(ISERROR(VLOOKUP($S$31,'TAR FIN'!$A$1:$O$88,15,0)),0,VLOOKUP($S$31,'TAR FIN'!$A$1:$O$88,15,0))</f>
        <v>0</v>
      </c>
      <c r="W31" s="6">
        <f>IF(ISERROR(VLOOKUP($T$31,'TAR FIN'!$A$1:$O$88,15,0)),0,VLOOKUP($T$31,'TAR FIN'!$A$1:$O$88,15,0))</f>
        <v>79.319999999999993</v>
      </c>
      <c r="X31" s="6">
        <f>IF(ISERROR(VLOOKUP($U$31,'TAR FIN'!$A$1:$O$88,15,0)),0,VLOOKUP($U$31,'TAR FIN'!$A$1:$O$88,15,0))</f>
        <v>252.22</v>
      </c>
      <c r="Y31" s="6"/>
      <c r="Z31" s="6">
        <f ca="1">('TUSD BE'!$AM$12+'TUSD BF'!$AM$12+'TUSD CVA'!$AM$12)*1</f>
        <v>102.71637945274784</v>
      </c>
      <c r="AA31" s="6">
        <f>('TE BE'!$AB$6+'TE BF'!$AB$6+'TE CVA'!$AB$6)*1</f>
        <v>251.92449556687748</v>
      </c>
      <c r="AB31" s="6">
        <f>$K$31*$V$31</f>
        <v>0</v>
      </c>
      <c r="AC31" s="6">
        <f>$M$31*$W$31</f>
        <v>40838.695199999995</v>
      </c>
      <c r="AD31" s="6">
        <f>$O$31*$X$31</f>
        <v>129857.9892</v>
      </c>
      <c r="AE31" s="6">
        <f>$K$31*$Y$31</f>
        <v>0</v>
      </c>
      <c r="AF31" s="6">
        <f ca="1">$M$31*$Z$31</f>
        <v>52884.555125041756</v>
      </c>
      <c r="AG31" s="6">
        <f>$O$31*$AA$31</f>
        <v>129705.84578756255</v>
      </c>
    </row>
    <row r="32" spans="1:33" ht="11.25" customHeight="1" x14ac:dyDescent="0.25">
      <c r="A32" s="4" t="s">
        <v>28</v>
      </c>
      <c r="B32" s="4" t="s">
        <v>35</v>
      </c>
      <c r="C32" s="4" t="s">
        <v>36</v>
      </c>
      <c r="D32" s="4" t="s">
        <v>39</v>
      </c>
      <c r="E32" s="4" t="s">
        <v>25</v>
      </c>
      <c r="F32" s="4" t="s">
        <v>25</v>
      </c>
      <c r="G32" s="4" t="s">
        <v>25</v>
      </c>
      <c r="H32" s="4" t="s">
        <v>38</v>
      </c>
      <c r="I32" s="5">
        <v>44682</v>
      </c>
      <c r="J32" s="6">
        <v>0</v>
      </c>
      <c r="K32" s="6">
        <v>0</v>
      </c>
      <c r="L32" s="6">
        <v>58.043999999999997</v>
      </c>
      <c r="M32" s="6">
        <v>58.043999999999997</v>
      </c>
      <c r="N32" s="6">
        <v>58.043999999999997</v>
      </c>
      <c r="O32" s="6">
        <v>58.043999999999997</v>
      </c>
      <c r="P32" s="6">
        <v>0</v>
      </c>
      <c r="Q32" s="4" t="s">
        <v>26</v>
      </c>
      <c r="R32" s="4">
        <v>0</v>
      </c>
      <c r="S32" s="6">
        <v>0</v>
      </c>
      <c r="T32" s="6">
        <v>15</v>
      </c>
      <c r="U32" s="6">
        <v>28</v>
      </c>
      <c r="V32" s="6">
        <f>IF(ISERROR(VLOOKUP($S$32,'TAR FIN'!$A$1:$O$88,15,0)),0,VLOOKUP($S$32,'TAR FIN'!$A$1:$O$88,15,0))</f>
        <v>0</v>
      </c>
      <c r="W32" s="6">
        <f>IF(ISERROR(VLOOKUP($T$32,'TAR FIN'!$A$1:$O$88,15,0)),0,VLOOKUP($T$32,'TAR FIN'!$A$1:$O$88,15,0))</f>
        <v>79.319999999999993</v>
      </c>
      <c r="X32" s="6">
        <f>IF(ISERROR(VLOOKUP($U$32,'TAR FIN'!$A$1:$O$88,15,0)),0,VLOOKUP($U$32,'TAR FIN'!$A$1:$O$88,15,0))</f>
        <v>252.22</v>
      </c>
      <c r="Y32" s="6"/>
      <c r="Z32" s="6">
        <f ca="1">('TUSD BE'!$AM$12+'TUSD BF'!$AM$12+'TUSD CVA'!$AM$12)*1</f>
        <v>102.71637945274784</v>
      </c>
      <c r="AA32" s="6">
        <f>('TE BE'!$AB$6+'TE BF'!$AB$6+'TE CVA'!$AB$6)*1</f>
        <v>251.92449556687748</v>
      </c>
      <c r="AB32" s="6">
        <f>$K$32*$V$32</f>
        <v>0</v>
      </c>
      <c r="AC32" s="6">
        <f>$M$32*$W$32</f>
        <v>4604.0500799999991</v>
      </c>
      <c r="AD32" s="6">
        <f>$O$32*$X$32</f>
        <v>14639.857679999999</v>
      </c>
      <c r="AE32" s="6">
        <f>$K$32*$Y$32</f>
        <v>0</v>
      </c>
      <c r="AF32" s="6">
        <f ca="1">$M$32*$Z$32</f>
        <v>5962.0695289552959</v>
      </c>
      <c r="AG32" s="6">
        <f>$O$32*$AA$32</f>
        <v>14622.705420683837</v>
      </c>
    </row>
    <row r="33" spans="1:33" ht="11.25" customHeight="1" x14ac:dyDescent="0.25">
      <c r="A33" s="4" t="s">
        <v>21</v>
      </c>
      <c r="B33" s="4" t="s">
        <v>35</v>
      </c>
      <c r="C33" s="4" t="s">
        <v>36</v>
      </c>
      <c r="D33" s="4" t="s">
        <v>39</v>
      </c>
      <c r="E33" s="4" t="s">
        <v>25</v>
      </c>
      <c r="F33" s="4" t="s">
        <v>25</v>
      </c>
      <c r="G33" s="4" t="s">
        <v>25</v>
      </c>
      <c r="H33" s="4" t="s">
        <v>38</v>
      </c>
      <c r="I33" s="5">
        <v>44713</v>
      </c>
      <c r="J33" s="6">
        <v>0</v>
      </c>
      <c r="K33" s="6">
        <v>0</v>
      </c>
      <c r="L33" s="6">
        <v>431.22199999999998</v>
      </c>
      <c r="M33" s="6">
        <v>431.22199999999998</v>
      </c>
      <c r="N33" s="6">
        <v>431.22199999999998</v>
      </c>
      <c r="O33" s="6">
        <v>431.22199999999998</v>
      </c>
      <c r="P33" s="6">
        <v>0</v>
      </c>
      <c r="Q33" s="4" t="s">
        <v>26</v>
      </c>
      <c r="R33" s="4">
        <v>0</v>
      </c>
      <c r="S33" s="6">
        <v>0</v>
      </c>
      <c r="T33" s="6">
        <v>15</v>
      </c>
      <c r="U33" s="6">
        <v>28</v>
      </c>
      <c r="V33" s="6">
        <f>IF(ISERROR(VLOOKUP($S$33,'TAR FIN'!$A$1:$O$88,15,0)),0,VLOOKUP($S$33,'TAR FIN'!$A$1:$O$88,15,0))</f>
        <v>0</v>
      </c>
      <c r="W33" s="6">
        <f>IF(ISERROR(VLOOKUP($T$33,'TAR FIN'!$A$1:$O$88,15,0)),0,VLOOKUP($T$33,'TAR FIN'!$A$1:$O$88,15,0))</f>
        <v>79.319999999999993</v>
      </c>
      <c r="X33" s="6">
        <f>IF(ISERROR(VLOOKUP($U$33,'TAR FIN'!$A$1:$O$88,15,0)),0,VLOOKUP($U$33,'TAR FIN'!$A$1:$O$88,15,0))</f>
        <v>252.22</v>
      </c>
      <c r="Y33" s="6"/>
      <c r="Z33" s="6">
        <f ca="1">('TUSD BE'!$AM$12+'TUSD BF'!$AM$12+'TUSD CVA'!$AM$12)*1</f>
        <v>102.71637945274784</v>
      </c>
      <c r="AA33" s="6">
        <f>('TE BE'!$AB$6+'TE BF'!$AB$6+'TE CVA'!$AB$6)*1</f>
        <v>251.92449556687748</v>
      </c>
      <c r="AB33" s="6">
        <f>$K$33*$V$33</f>
        <v>0</v>
      </c>
      <c r="AC33" s="6">
        <f>$M$33*$W$33</f>
        <v>34204.529039999994</v>
      </c>
      <c r="AD33" s="6">
        <f>$O$33*$X$33</f>
        <v>108762.81284</v>
      </c>
      <c r="AE33" s="6">
        <f>$K$33*$Y$33</f>
        <v>0</v>
      </c>
      <c r="AF33" s="6">
        <f ca="1">$M$33*$Z$33</f>
        <v>44293.562580372825</v>
      </c>
      <c r="AG33" s="6">
        <f>$O$33*$AA$33</f>
        <v>108635.38482734004</v>
      </c>
    </row>
    <row r="34" spans="1:33" ht="11.25" customHeight="1" x14ac:dyDescent="0.25">
      <c r="A34" s="4" t="s">
        <v>28</v>
      </c>
      <c r="B34" s="4" t="s">
        <v>35</v>
      </c>
      <c r="C34" s="4" t="s">
        <v>36</v>
      </c>
      <c r="D34" s="4" t="s">
        <v>39</v>
      </c>
      <c r="E34" s="4" t="s">
        <v>25</v>
      </c>
      <c r="F34" s="4" t="s">
        <v>25</v>
      </c>
      <c r="G34" s="4" t="s">
        <v>25</v>
      </c>
      <c r="H34" s="4" t="s">
        <v>38</v>
      </c>
      <c r="I34" s="5">
        <v>44713</v>
      </c>
      <c r="J34" s="6">
        <v>0</v>
      </c>
      <c r="K34" s="6">
        <v>0</v>
      </c>
      <c r="L34" s="6">
        <v>28.091999999999999</v>
      </c>
      <c r="M34" s="6">
        <v>28.091999999999999</v>
      </c>
      <c r="N34" s="6">
        <v>28.091999999999999</v>
      </c>
      <c r="O34" s="6">
        <v>28.091999999999999</v>
      </c>
      <c r="P34" s="6">
        <v>0</v>
      </c>
      <c r="Q34" s="4" t="s">
        <v>26</v>
      </c>
      <c r="R34" s="4">
        <v>0</v>
      </c>
      <c r="S34" s="6">
        <v>0</v>
      </c>
      <c r="T34" s="6">
        <v>15</v>
      </c>
      <c r="U34" s="6">
        <v>28</v>
      </c>
      <c r="V34" s="6">
        <f>IF(ISERROR(VLOOKUP($S$34,'TAR FIN'!$A$1:$O$88,15,0)),0,VLOOKUP($S$34,'TAR FIN'!$A$1:$O$88,15,0))</f>
        <v>0</v>
      </c>
      <c r="W34" s="6">
        <f>IF(ISERROR(VLOOKUP($T$34,'TAR FIN'!$A$1:$O$88,15,0)),0,VLOOKUP($T$34,'TAR FIN'!$A$1:$O$88,15,0))</f>
        <v>79.319999999999993</v>
      </c>
      <c r="X34" s="6">
        <f>IF(ISERROR(VLOOKUP($U$34,'TAR FIN'!$A$1:$O$88,15,0)),0,VLOOKUP($U$34,'TAR FIN'!$A$1:$O$88,15,0))</f>
        <v>252.22</v>
      </c>
      <c r="Y34" s="6"/>
      <c r="Z34" s="6">
        <f ca="1">('TUSD BE'!$AM$12+'TUSD BF'!$AM$12+'TUSD CVA'!$AM$12)*1</f>
        <v>102.71637945274784</v>
      </c>
      <c r="AA34" s="6">
        <f>('TE BE'!$AB$6+'TE BF'!$AB$6+'TE CVA'!$AB$6)*1</f>
        <v>251.92449556687748</v>
      </c>
      <c r="AB34" s="6">
        <f>$K$34*$V$34</f>
        <v>0</v>
      </c>
      <c r="AC34" s="6">
        <f>$M$34*$W$34</f>
        <v>2228.2574399999999</v>
      </c>
      <c r="AD34" s="6">
        <f>$O$34*$X$34</f>
        <v>7085.3642399999999</v>
      </c>
      <c r="AE34" s="6">
        <f>$K$34*$Y$34</f>
        <v>0</v>
      </c>
      <c r="AF34" s="6">
        <f ca="1">$M$34*$Z$34</f>
        <v>2885.5085315865922</v>
      </c>
      <c r="AG34" s="6">
        <f>$O$34*$AA$34</f>
        <v>7077.0629294647215</v>
      </c>
    </row>
    <row r="35" spans="1:33" ht="11.25" customHeight="1" x14ac:dyDescent="0.25">
      <c r="A35" s="4" t="s">
        <v>21</v>
      </c>
      <c r="B35" s="4" t="s">
        <v>35</v>
      </c>
      <c r="C35" s="4" t="s">
        <v>36</v>
      </c>
      <c r="D35" s="4" t="s">
        <v>39</v>
      </c>
      <c r="E35" s="4" t="s">
        <v>25</v>
      </c>
      <c r="F35" s="4" t="s">
        <v>25</v>
      </c>
      <c r="G35" s="4" t="s">
        <v>25</v>
      </c>
      <c r="H35" s="4" t="s">
        <v>25</v>
      </c>
      <c r="I35" s="5">
        <v>44378</v>
      </c>
      <c r="J35" s="6">
        <v>2587</v>
      </c>
      <c r="K35" s="6">
        <v>2587</v>
      </c>
      <c r="L35" s="6">
        <v>0</v>
      </c>
      <c r="M35" s="6">
        <v>0</v>
      </c>
      <c r="N35" s="6">
        <v>0</v>
      </c>
      <c r="O35" s="6">
        <v>0</v>
      </c>
      <c r="P35" s="6">
        <v>13</v>
      </c>
      <c r="Q35" s="4" t="s">
        <v>26</v>
      </c>
      <c r="R35" s="4">
        <v>0</v>
      </c>
      <c r="S35" s="6">
        <v>11</v>
      </c>
      <c r="T35" s="6">
        <v>0</v>
      </c>
      <c r="U35" s="6">
        <v>0</v>
      </c>
      <c r="V35" s="6">
        <f>IF(ISERROR(VLOOKUP($S$35,'TAR FIN'!$A$1:$O$88,15,0)),0,VLOOKUP($S$35,'TAR FIN'!$A$1:$O$88,15,0))</f>
        <v>45.42</v>
      </c>
      <c r="W35" s="6">
        <f>IF(ISERROR(VLOOKUP($T$35,'TAR FIN'!$A$1:$O$88,15,0)),0,VLOOKUP($T$35,'TAR FIN'!$A$1:$O$88,15,0))</f>
        <v>0</v>
      </c>
      <c r="X35" s="6">
        <f>IF(ISERROR(VLOOKUP($U$35,'TAR FIN'!$A$1:$O$88,15,0)),0,VLOOKUP($U$35,'TAR FIN'!$A$1:$O$88,15,0))</f>
        <v>0</v>
      </c>
      <c r="Y35" s="6">
        <f ca="1">('TUSD BE'!$AM$10+'TUSD BF'!$AM$10+'TUSD CVA'!$AM$10)*1</f>
        <v>51.541515279759096</v>
      </c>
      <c r="Z35" s="6"/>
      <c r="AA35" s="6"/>
      <c r="AB35" s="6">
        <f>$K$35*$V$35</f>
        <v>117501.54000000001</v>
      </c>
      <c r="AC35" s="6">
        <f>$M$35*$W$35</f>
        <v>0</v>
      </c>
      <c r="AD35" s="6">
        <f>$O$35*$X$35</f>
        <v>0</v>
      </c>
      <c r="AE35" s="6">
        <f ca="1">$K$35*$Y$35</f>
        <v>133337.9000287368</v>
      </c>
      <c r="AF35" s="6">
        <f>$M$35*$Z$35</f>
        <v>0</v>
      </c>
      <c r="AG35" s="6">
        <f>$O$35*$AA$35</f>
        <v>0</v>
      </c>
    </row>
    <row r="36" spans="1:33" ht="11.25" customHeight="1" x14ac:dyDescent="0.25">
      <c r="A36" s="4" t="s">
        <v>28</v>
      </c>
      <c r="B36" s="4" t="s">
        <v>35</v>
      </c>
      <c r="C36" s="4" t="s">
        <v>36</v>
      </c>
      <c r="D36" s="4" t="s">
        <v>39</v>
      </c>
      <c r="E36" s="4" t="s">
        <v>25</v>
      </c>
      <c r="F36" s="4" t="s">
        <v>25</v>
      </c>
      <c r="G36" s="4" t="s">
        <v>25</v>
      </c>
      <c r="H36" s="4" t="s">
        <v>25</v>
      </c>
      <c r="I36" s="5">
        <v>44378</v>
      </c>
      <c r="J36" s="6">
        <v>219</v>
      </c>
      <c r="K36" s="6">
        <v>219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4" t="s">
        <v>26</v>
      </c>
      <c r="R36" s="4">
        <v>0</v>
      </c>
      <c r="S36" s="6">
        <v>11</v>
      </c>
      <c r="T36" s="6">
        <v>0</v>
      </c>
      <c r="U36" s="6">
        <v>0</v>
      </c>
      <c r="V36" s="6">
        <f>IF(ISERROR(VLOOKUP($S$36,'TAR FIN'!$A$1:$O$88,15,0)),0,VLOOKUP($S$36,'TAR FIN'!$A$1:$O$88,15,0))</f>
        <v>45.42</v>
      </c>
      <c r="W36" s="6">
        <f>IF(ISERROR(VLOOKUP($T$36,'TAR FIN'!$A$1:$O$88,15,0)),0,VLOOKUP($T$36,'TAR FIN'!$A$1:$O$88,15,0))</f>
        <v>0</v>
      </c>
      <c r="X36" s="6">
        <f>IF(ISERROR(VLOOKUP($U$36,'TAR FIN'!$A$1:$O$88,15,0)),0,VLOOKUP($U$36,'TAR FIN'!$A$1:$O$88,15,0))</f>
        <v>0</v>
      </c>
      <c r="Y36" s="6">
        <f ca="1">('TUSD BE'!$AM$10+'TUSD BF'!$AM$10+'TUSD CVA'!$AM$10)*1</f>
        <v>51.541515279759096</v>
      </c>
      <c r="Z36" s="6"/>
      <c r="AA36" s="6"/>
      <c r="AB36" s="6">
        <f>$K$36*$V$36</f>
        <v>9946.98</v>
      </c>
      <c r="AC36" s="6">
        <f>$M$36*$W$36</f>
        <v>0</v>
      </c>
      <c r="AD36" s="6">
        <f>$O$36*$X$36</f>
        <v>0</v>
      </c>
      <c r="AE36" s="6">
        <f ca="1">$K$36*$Y$36</f>
        <v>11287.591846267242</v>
      </c>
      <c r="AF36" s="6">
        <f>$M$36*$Z$36</f>
        <v>0</v>
      </c>
      <c r="AG36" s="6">
        <f>$O$36*$AA$36</f>
        <v>0</v>
      </c>
    </row>
    <row r="37" spans="1:33" ht="11.25" customHeight="1" x14ac:dyDescent="0.25">
      <c r="A37" s="4" t="s">
        <v>21</v>
      </c>
      <c r="B37" s="4" t="s">
        <v>35</v>
      </c>
      <c r="C37" s="4" t="s">
        <v>36</v>
      </c>
      <c r="D37" s="4" t="s">
        <v>39</v>
      </c>
      <c r="E37" s="4" t="s">
        <v>25</v>
      </c>
      <c r="F37" s="4" t="s">
        <v>25</v>
      </c>
      <c r="G37" s="4" t="s">
        <v>25</v>
      </c>
      <c r="H37" s="4" t="s">
        <v>25</v>
      </c>
      <c r="I37" s="5">
        <v>44409</v>
      </c>
      <c r="J37" s="6">
        <v>2676</v>
      </c>
      <c r="K37" s="6">
        <v>2676</v>
      </c>
      <c r="L37" s="6">
        <v>0</v>
      </c>
      <c r="M37" s="6">
        <v>0</v>
      </c>
      <c r="N37" s="6">
        <v>0</v>
      </c>
      <c r="O37" s="6">
        <v>0</v>
      </c>
      <c r="P37" s="6">
        <v>15</v>
      </c>
      <c r="Q37" s="4" t="s">
        <v>26</v>
      </c>
      <c r="R37" s="4">
        <v>0</v>
      </c>
      <c r="S37" s="6">
        <v>11</v>
      </c>
      <c r="T37" s="6">
        <v>0</v>
      </c>
      <c r="U37" s="6">
        <v>0</v>
      </c>
      <c r="V37" s="6">
        <f>IF(ISERROR(VLOOKUP($S$37,'TAR FIN'!$A$1:$O$88,15,0)),0,VLOOKUP($S$37,'TAR FIN'!$A$1:$O$88,15,0))</f>
        <v>45.42</v>
      </c>
      <c r="W37" s="6">
        <f>IF(ISERROR(VLOOKUP($T$37,'TAR FIN'!$A$1:$O$88,15,0)),0,VLOOKUP($T$37,'TAR FIN'!$A$1:$O$88,15,0))</f>
        <v>0</v>
      </c>
      <c r="X37" s="6">
        <f>IF(ISERROR(VLOOKUP($U$37,'TAR FIN'!$A$1:$O$88,15,0)),0,VLOOKUP($U$37,'TAR FIN'!$A$1:$O$88,15,0))</f>
        <v>0</v>
      </c>
      <c r="Y37" s="6">
        <f ca="1">('TUSD BE'!$AM$10+'TUSD BF'!$AM$10+'TUSD CVA'!$AM$10)*1</f>
        <v>51.541515279759096</v>
      </c>
      <c r="Z37" s="6"/>
      <c r="AA37" s="6"/>
      <c r="AB37" s="6">
        <f>$K$37*$V$37</f>
        <v>121543.92</v>
      </c>
      <c r="AC37" s="6">
        <f>$M$37*$W$37</f>
        <v>0</v>
      </c>
      <c r="AD37" s="6">
        <f>$O$37*$X$37</f>
        <v>0</v>
      </c>
      <c r="AE37" s="6">
        <f ca="1">$K$37*$Y$37</f>
        <v>137925.09488863533</v>
      </c>
      <c r="AF37" s="6">
        <f>$M$37*$Z$37</f>
        <v>0</v>
      </c>
      <c r="AG37" s="6">
        <f>$O$37*$AA$37</f>
        <v>0</v>
      </c>
    </row>
    <row r="38" spans="1:33" ht="11.25" customHeight="1" x14ac:dyDescent="0.25">
      <c r="A38" s="4" t="s">
        <v>28</v>
      </c>
      <c r="B38" s="4" t="s">
        <v>35</v>
      </c>
      <c r="C38" s="4" t="s">
        <v>36</v>
      </c>
      <c r="D38" s="4" t="s">
        <v>39</v>
      </c>
      <c r="E38" s="4" t="s">
        <v>25</v>
      </c>
      <c r="F38" s="4" t="s">
        <v>25</v>
      </c>
      <c r="G38" s="4" t="s">
        <v>25</v>
      </c>
      <c r="H38" s="4" t="s">
        <v>25</v>
      </c>
      <c r="I38" s="5">
        <v>44409</v>
      </c>
      <c r="J38" s="6">
        <v>156</v>
      </c>
      <c r="K38" s="6">
        <v>156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4" t="s">
        <v>26</v>
      </c>
      <c r="R38" s="4">
        <v>0</v>
      </c>
      <c r="S38" s="6">
        <v>11</v>
      </c>
      <c r="T38" s="6">
        <v>0</v>
      </c>
      <c r="U38" s="6">
        <v>0</v>
      </c>
      <c r="V38" s="6">
        <f>IF(ISERROR(VLOOKUP($S$38,'TAR FIN'!$A$1:$O$88,15,0)),0,VLOOKUP($S$38,'TAR FIN'!$A$1:$O$88,15,0))</f>
        <v>45.42</v>
      </c>
      <c r="W38" s="6">
        <f>IF(ISERROR(VLOOKUP($T$38,'TAR FIN'!$A$1:$O$88,15,0)),0,VLOOKUP($T$38,'TAR FIN'!$A$1:$O$88,15,0))</f>
        <v>0</v>
      </c>
      <c r="X38" s="6">
        <f>IF(ISERROR(VLOOKUP($U$38,'TAR FIN'!$A$1:$O$88,15,0)),0,VLOOKUP($U$38,'TAR FIN'!$A$1:$O$88,15,0))</f>
        <v>0</v>
      </c>
      <c r="Y38" s="6">
        <f ca="1">('TUSD BE'!$AM$10+'TUSD BF'!$AM$10+'TUSD CVA'!$AM$10)*1</f>
        <v>51.541515279759096</v>
      </c>
      <c r="Z38" s="6"/>
      <c r="AA38" s="6"/>
      <c r="AB38" s="6">
        <f>$K$38*$V$38</f>
        <v>7085.52</v>
      </c>
      <c r="AC38" s="6">
        <f>$M$38*$W$38</f>
        <v>0</v>
      </c>
      <c r="AD38" s="6">
        <f>$O$38*$X$38</f>
        <v>0</v>
      </c>
      <c r="AE38" s="6">
        <f ca="1">$K$38*$Y$38</f>
        <v>8040.476383642419</v>
      </c>
      <c r="AF38" s="6">
        <f>$M$38*$Z$38</f>
        <v>0</v>
      </c>
      <c r="AG38" s="6">
        <f>$O$38*$AA$38</f>
        <v>0</v>
      </c>
    </row>
    <row r="39" spans="1:33" ht="11.25" customHeight="1" x14ac:dyDescent="0.25">
      <c r="A39" s="4" t="s">
        <v>21</v>
      </c>
      <c r="B39" s="4" t="s">
        <v>35</v>
      </c>
      <c r="C39" s="4" t="s">
        <v>36</v>
      </c>
      <c r="D39" s="4" t="s">
        <v>39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44440</v>
      </c>
      <c r="J39" s="6">
        <v>2025</v>
      </c>
      <c r="K39" s="6">
        <v>2025</v>
      </c>
      <c r="L39" s="6">
        <v>0</v>
      </c>
      <c r="M39" s="6">
        <v>0</v>
      </c>
      <c r="N39" s="6">
        <v>0</v>
      </c>
      <c r="O39" s="6">
        <v>0</v>
      </c>
      <c r="P39" s="6">
        <v>15</v>
      </c>
      <c r="Q39" s="4" t="s">
        <v>26</v>
      </c>
      <c r="R39" s="4">
        <v>0</v>
      </c>
      <c r="S39" s="6">
        <v>11</v>
      </c>
      <c r="T39" s="6">
        <v>0</v>
      </c>
      <c r="U39" s="6">
        <v>0</v>
      </c>
      <c r="V39" s="6">
        <f>IF(ISERROR(VLOOKUP($S$39,'TAR FIN'!$A$1:$O$88,15,0)),0,VLOOKUP($S$39,'TAR FIN'!$A$1:$O$88,15,0))</f>
        <v>45.42</v>
      </c>
      <c r="W39" s="6">
        <f>IF(ISERROR(VLOOKUP($T$39,'TAR FIN'!$A$1:$O$88,15,0)),0,VLOOKUP($T$39,'TAR FIN'!$A$1:$O$88,15,0))</f>
        <v>0</v>
      </c>
      <c r="X39" s="6">
        <f>IF(ISERROR(VLOOKUP($U$39,'TAR FIN'!$A$1:$O$88,15,0)),0,VLOOKUP($U$39,'TAR FIN'!$A$1:$O$88,15,0))</f>
        <v>0</v>
      </c>
      <c r="Y39" s="6">
        <f ca="1">('TUSD BE'!$AM$10+'TUSD BF'!$AM$10+'TUSD CVA'!$AM$10)*1</f>
        <v>51.541515279759096</v>
      </c>
      <c r="Z39" s="6"/>
      <c r="AA39" s="6"/>
      <c r="AB39" s="6">
        <f>$K$39*$V$39</f>
        <v>91975.5</v>
      </c>
      <c r="AC39" s="6">
        <f>$M$39*$W$39</f>
        <v>0</v>
      </c>
      <c r="AD39" s="6">
        <f>$O$39*$X$39</f>
        <v>0</v>
      </c>
      <c r="AE39" s="6">
        <f ca="1">$K$39*$Y$39</f>
        <v>104371.56844151217</v>
      </c>
      <c r="AF39" s="6">
        <f>$M$39*$Z$39</f>
        <v>0</v>
      </c>
      <c r="AG39" s="6">
        <f>$O$39*$AA$39</f>
        <v>0</v>
      </c>
    </row>
    <row r="40" spans="1:33" ht="11.25" customHeight="1" x14ac:dyDescent="0.25">
      <c r="A40" s="4" t="s">
        <v>28</v>
      </c>
      <c r="B40" s="4" t="s">
        <v>35</v>
      </c>
      <c r="C40" s="4" t="s">
        <v>36</v>
      </c>
      <c r="D40" s="4" t="s">
        <v>39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44440</v>
      </c>
      <c r="J40" s="6">
        <v>80</v>
      </c>
      <c r="K40" s="6">
        <v>80</v>
      </c>
      <c r="L40" s="6">
        <v>0</v>
      </c>
      <c r="M40" s="6">
        <v>0</v>
      </c>
      <c r="N40" s="6">
        <v>0</v>
      </c>
      <c r="O40" s="6">
        <v>0</v>
      </c>
      <c r="P40" s="6">
        <v>1</v>
      </c>
      <c r="Q40" s="4" t="s">
        <v>26</v>
      </c>
      <c r="R40" s="4">
        <v>0</v>
      </c>
      <c r="S40" s="6">
        <v>11</v>
      </c>
      <c r="T40" s="6">
        <v>0</v>
      </c>
      <c r="U40" s="6">
        <v>0</v>
      </c>
      <c r="V40" s="6">
        <f>IF(ISERROR(VLOOKUP($S$40,'TAR FIN'!$A$1:$O$88,15,0)),0,VLOOKUP($S$40,'TAR FIN'!$A$1:$O$88,15,0))</f>
        <v>45.42</v>
      </c>
      <c r="W40" s="6">
        <f>IF(ISERROR(VLOOKUP($T$40,'TAR FIN'!$A$1:$O$88,15,0)),0,VLOOKUP($T$40,'TAR FIN'!$A$1:$O$88,15,0))</f>
        <v>0</v>
      </c>
      <c r="X40" s="6">
        <f>IF(ISERROR(VLOOKUP($U$40,'TAR FIN'!$A$1:$O$88,15,0)),0,VLOOKUP($U$40,'TAR FIN'!$A$1:$O$88,15,0))</f>
        <v>0</v>
      </c>
      <c r="Y40" s="6">
        <f ca="1">('TUSD BE'!$AM$10+'TUSD BF'!$AM$10+'TUSD CVA'!$AM$10)*1</f>
        <v>51.541515279759096</v>
      </c>
      <c r="Z40" s="6"/>
      <c r="AA40" s="6"/>
      <c r="AB40" s="6">
        <f>$K$40*$V$40</f>
        <v>3633.6000000000004</v>
      </c>
      <c r="AC40" s="6">
        <f>$M$40*$W$40</f>
        <v>0</v>
      </c>
      <c r="AD40" s="6">
        <f>$O$40*$X$40</f>
        <v>0</v>
      </c>
      <c r="AE40" s="6">
        <f ca="1">$K$40*$Y$40</f>
        <v>4123.3212223807277</v>
      </c>
      <c r="AF40" s="6">
        <f>$M$40*$Z$40</f>
        <v>0</v>
      </c>
      <c r="AG40" s="6">
        <f>$O$40*$AA$40</f>
        <v>0</v>
      </c>
    </row>
    <row r="41" spans="1:33" ht="11.25" customHeight="1" x14ac:dyDescent="0.25">
      <c r="A41" s="4" t="s">
        <v>21</v>
      </c>
      <c r="B41" s="4" t="s">
        <v>35</v>
      </c>
      <c r="C41" s="4" t="s">
        <v>36</v>
      </c>
      <c r="D41" s="4" t="s">
        <v>39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44470</v>
      </c>
      <c r="J41" s="6">
        <v>1947</v>
      </c>
      <c r="K41" s="6">
        <v>1947</v>
      </c>
      <c r="L41" s="6">
        <v>0</v>
      </c>
      <c r="M41" s="6">
        <v>0</v>
      </c>
      <c r="N41" s="6">
        <v>0</v>
      </c>
      <c r="O41" s="6">
        <v>0</v>
      </c>
      <c r="P41" s="6">
        <v>15</v>
      </c>
      <c r="Q41" s="4" t="s">
        <v>26</v>
      </c>
      <c r="R41" s="4">
        <v>0</v>
      </c>
      <c r="S41" s="6">
        <v>11</v>
      </c>
      <c r="T41" s="6">
        <v>0</v>
      </c>
      <c r="U41" s="6">
        <v>0</v>
      </c>
      <c r="V41" s="6">
        <f>IF(ISERROR(VLOOKUP($S$41,'TAR FIN'!$A$1:$O$88,15,0)),0,VLOOKUP($S$41,'TAR FIN'!$A$1:$O$88,15,0))</f>
        <v>45.42</v>
      </c>
      <c r="W41" s="6">
        <f>IF(ISERROR(VLOOKUP($T$41,'TAR FIN'!$A$1:$O$88,15,0)),0,VLOOKUP($T$41,'TAR FIN'!$A$1:$O$88,15,0))</f>
        <v>0</v>
      </c>
      <c r="X41" s="6">
        <f>IF(ISERROR(VLOOKUP($U$41,'TAR FIN'!$A$1:$O$88,15,0)),0,VLOOKUP($U$41,'TAR FIN'!$A$1:$O$88,15,0))</f>
        <v>0</v>
      </c>
      <c r="Y41" s="6">
        <f ca="1">('TUSD BE'!$AM$10+'TUSD BF'!$AM$10+'TUSD CVA'!$AM$10)*1</f>
        <v>51.541515279759096</v>
      </c>
      <c r="Z41" s="6"/>
      <c r="AA41" s="6"/>
      <c r="AB41" s="6">
        <f>$K$41*$V$41</f>
        <v>88432.74</v>
      </c>
      <c r="AC41" s="6">
        <f>$M$41*$W$41</f>
        <v>0</v>
      </c>
      <c r="AD41" s="6">
        <f>$O$41*$X$41</f>
        <v>0</v>
      </c>
      <c r="AE41" s="6">
        <f ca="1">$K$41*$Y$41</f>
        <v>100351.33024969096</v>
      </c>
      <c r="AF41" s="6">
        <f>$M$41*$Z$41</f>
        <v>0</v>
      </c>
      <c r="AG41" s="6">
        <f>$O$41*$AA$41</f>
        <v>0</v>
      </c>
    </row>
    <row r="42" spans="1:33" ht="11.25" customHeight="1" x14ac:dyDescent="0.25">
      <c r="A42" s="4" t="s">
        <v>28</v>
      </c>
      <c r="B42" s="4" t="s">
        <v>35</v>
      </c>
      <c r="C42" s="4" t="s">
        <v>36</v>
      </c>
      <c r="D42" s="4" t="s">
        <v>39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44470</v>
      </c>
      <c r="J42" s="6">
        <v>122</v>
      </c>
      <c r="K42" s="6">
        <v>122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4" t="s">
        <v>26</v>
      </c>
      <c r="R42" s="4">
        <v>0</v>
      </c>
      <c r="S42" s="6">
        <v>11</v>
      </c>
      <c r="T42" s="6">
        <v>0</v>
      </c>
      <c r="U42" s="6">
        <v>0</v>
      </c>
      <c r="V42" s="6">
        <f>IF(ISERROR(VLOOKUP($S$42,'TAR FIN'!$A$1:$O$88,15,0)),0,VLOOKUP($S$42,'TAR FIN'!$A$1:$O$88,15,0))</f>
        <v>45.42</v>
      </c>
      <c r="W42" s="6">
        <f>IF(ISERROR(VLOOKUP($T$42,'TAR FIN'!$A$1:$O$88,15,0)),0,VLOOKUP($T$42,'TAR FIN'!$A$1:$O$88,15,0))</f>
        <v>0</v>
      </c>
      <c r="X42" s="6">
        <f>IF(ISERROR(VLOOKUP($U$42,'TAR FIN'!$A$1:$O$88,15,0)),0,VLOOKUP($U$42,'TAR FIN'!$A$1:$O$88,15,0))</f>
        <v>0</v>
      </c>
      <c r="Y42" s="6">
        <f ca="1">('TUSD BE'!$AM$10+'TUSD BF'!$AM$10+'TUSD CVA'!$AM$10)*1</f>
        <v>51.541515279759096</v>
      </c>
      <c r="Z42" s="6"/>
      <c r="AA42" s="6"/>
      <c r="AB42" s="6">
        <f>$K$42*$V$42</f>
        <v>5541.24</v>
      </c>
      <c r="AC42" s="6">
        <f>$M$42*$W$42</f>
        <v>0</v>
      </c>
      <c r="AD42" s="6">
        <f>$O$42*$X$42</f>
        <v>0</v>
      </c>
      <c r="AE42" s="6">
        <f ca="1">$K$42*$Y$42</f>
        <v>6288.0648641306097</v>
      </c>
      <c r="AF42" s="6">
        <f>$M$42*$Z$42</f>
        <v>0</v>
      </c>
      <c r="AG42" s="6">
        <f>$O$42*$AA$42</f>
        <v>0</v>
      </c>
    </row>
    <row r="43" spans="1:33" ht="11.25" customHeight="1" x14ac:dyDescent="0.25">
      <c r="A43" s="4" t="s">
        <v>21</v>
      </c>
      <c r="B43" s="4" t="s">
        <v>35</v>
      </c>
      <c r="C43" s="4" t="s">
        <v>36</v>
      </c>
      <c r="D43" s="4" t="s">
        <v>39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44501</v>
      </c>
      <c r="J43" s="6">
        <v>2420</v>
      </c>
      <c r="K43" s="6">
        <v>2420</v>
      </c>
      <c r="L43" s="6">
        <v>0</v>
      </c>
      <c r="M43" s="6">
        <v>0</v>
      </c>
      <c r="N43" s="6">
        <v>0</v>
      </c>
      <c r="O43" s="6">
        <v>0</v>
      </c>
      <c r="P43" s="6">
        <v>15</v>
      </c>
      <c r="Q43" s="4" t="s">
        <v>26</v>
      </c>
      <c r="R43" s="4">
        <v>0</v>
      </c>
      <c r="S43" s="6">
        <v>11</v>
      </c>
      <c r="T43" s="6">
        <v>0</v>
      </c>
      <c r="U43" s="6">
        <v>0</v>
      </c>
      <c r="V43" s="6">
        <f>IF(ISERROR(VLOOKUP($S$43,'TAR FIN'!$A$1:$O$88,15,0)),0,VLOOKUP($S$43,'TAR FIN'!$A$1:$O$88,15,0))</f>
        <v>45.42</v>
      </c>
      <c r="W43" s="6">
        <f>IF(ISERROR(VLOOKUP($T$43,'TAR FIN'!$A$1:$O$88,15,0)),0,VLOOKUP($T$43,'TAR FIN'!$A$1:$O$88,15,0))</f>
        <v>0</v>
      </c>
      <c r="X43" s="6">
        <f>IF(ISERROR(VLOOKUP($U$43,'TAR FIN'!$A$1:$O$88,15,0)),0,VLOOKUP($U$43,'TAR FIN'!$A$1:$O$88,15,0))</f>
        <v>0</v>
      </c>
      <c r="Y43" s="6">
        <f ca="1">('TUSD BE'!$AM$10+'TUSD BF'!$AM$10+'TUSD CVA'!$AM$10)*1</f>
        <v>51.541515279759096</v>
      </c>
      <c r="Z43" s="6"/>
      <c r="AA43" s="6"/>
      <c r="AB43" s="6">
        <f>$K$43*$V$43</f>
        <v>109916.40000000001</v>
      </c>
      <c r="AC43" s="6">
        <f>$M$43*$W$43</f>
        <v>0</v>
      </c>
      <c r="AD43" s="6">
        <f>$O$43*$X$43</f>
        <v>0</v>
      </c>
      <c r="AE43" s="6">
        <f ca="1">$K$43*$Y$43</f>
        <v>124730.46697701701</v>
      </c>
      <c r="AF43" s="6">
        <f>$M$43*$Z$43</f>
        <v>0</v>
      </c>
      <c r="AG43" s="6">
        <f>$O$43*$AA$43</f>
        <v>0</v>
      </c>
    </row>
    <row r="44" spans="1:33" ht="11.25" customHeight="1" x14ac:dyDescent="0.25">
      <c r="A44" s="4" t="s">
        <v>28</v>
      </c>
      <c r="B44" s="4" t="s">
        <v>35</v>
      </c>
      <c r="C44" s="4" t="s">
        <v>36</v>
      </c>
      <c r="D44" s="4" t="s">
        <v>39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44501</v>
      </c>
      <c r="J44" s="6">
        <v>161</v>
      </c>
      <c r="K44" s="6">
        <v>161</v>
      </c>
      <c r="L44" s="6">
        <v>0</v>
      </c>
      <c r="M44" s="6">
        <v>0</v>
      </c>
      <c r="N44" s="6">
        <v>0</v>
      </c>
      <c r="O44" s="6">
        <v>0</v>
      </c>
      <c r="P44" s="6">
        <v>1</v>
      </c>
      <c r="Q44" s="4" t="s">
        <v>26</v>
      </c>
      <c r="R44" s="4">
        <v>0</v>
      </c>
      <c r="S44" s="6">
        <v>11</v>
      </c>
      <c r="T44" s="6">
        <v>0</v>
      </c>
      <c r="U44" s="6">
        <v>0</v>
      </c>
      <c r="V44" s="6">
        <f>IF(ISERROR(VLOOKUP($S$44,'TAR FIN'!$A$1:$O$88,15,0)),0,VLOOKUP($S$44,'TAR FIN'!$A$1:$O$88,15,0))</f>
        <v>45.42</v>
      </c>
      <c r="W44" s="6">
        <f>IF(ISERROR(VLOOKUP($T$44,'TAR FIN'!$A$1:$O$88,15,0)),0,VLOOKUP($T$44,'TAR FIN'!$A$1:$O$88,15,0))</f>
        <v>0</v>
      </c>
      <c r="X44" s="6">
        <f>IF(ISERROR(VLOOKUP($U$44,'TAR FIN'!$A$1:$O$88,15,0)),0,VLOOKUP($U$44,'TAR FIN'!$A$1:$O$88,15,0))</f>
        <v>0</v>
      </c>
      <c r="Y44" s="6">
        <f ca="1">('TUSD BE'!$AM$10+'TUSD BF'!$AM$10+'TUSD CVA'!$AM$10)*1</f>
        <v>51.541515279759096</v>
      </c>
      <c r="Z44" s="6"/>
      <c r="AA44" s="6"/>
      <c r="AB44" s="6">
        <f>$K$44*$V$44</f>
        <v>7312.62</v>
      </c>
      <c r="AC44" s="6">
        <f>$M$44*$W$44</f>
        <v>0</v>
      </c>
      <c r="AD44" s="6">
        <f>$O$44*$X$44</f>
        <v>0</v>
      </c>
      <c r="AE44" s="6">
        <f ca="1">$K$44*$Y$44</f>
        <v>8298.183960041215</v>
      </c>
      <c r="AF44" s="6">
        <f>$M$44*$Z$44</f>
        <v>0</v>
      </c>
      <c r="AG44" s="6">
        <f>$O$44*$AA$44</f>
        <v>0</v>
      </c>
    </row>
    <row r="45" spans="1:33" ht="11.25" customHeight="1" x14ac:dyDescent="0.25">
      <c r="A45" s="4" t="s">
        <v>21</v>
      </c>
      <c r="B45" s="4" t="s">
        <v>35</v>
      </c>
      <c r="C45" s="4" t="s">
        <v>36</v>
      </c>
      <c r="D45" s="4" t="s">
        <v>39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44531</v>
      </c>
      <c r="J45" s="6">
        <v>2017</v>
      </c>
      <c r="K45" s="6">
        <v>2017</v>
      </c>
      <c r="L45" s="6">
        <v>0</v>
      </c>
      <c r="M45" s="6">
        <v>0</v>
      </c>
      <c r="N45" s="6">
        <v>0</v>
      </c>
      <c r="O45" s="6">
        <v>0</v>
      </c>
      <c r="P45" s="6">
        <v>15</v>
      </c>
      <c r="Q45" s="4" t="s">
        <v>26</v>
      </c>
      <c r="R45" s="4">
        <v>0</v>
      </c>
      <c r="S45" s="6">
        <v>11</v>
      </c>
      <c r="T45" s="6">
        <v>0</v>
      </c>
      <c r="U45" s="6">
        <v>0</v>
      </c>
      <c r="V45" s="6">
        <f>IF(ISERROR(VLOOKUP($S$45,'TAR FIN'!$A$1:$O$88,15,0)),0,VLOOKUP($S$45,'TAR FIN'!$A$1:$O$88,15,0))</f>
        <v>45.42</v>
      </c>
      <c r="W45" s="6">
        <f>IF(ISERROR(VLOOKUP($T$45,'TAR FIN'!$A$1:$O$88,15,0)),0,VLOOKUP($T$45,'TAR FIN'!$A$1:$O$88,15,0))</f>
        <v>0</v>
      </c>
      <c r="X45" s="6">
        <f>IF(ISERROR(VLOOKUP($U$45,'TAR FIN'!$A$1:$O$88,15,0)),0,VLOOKUP($U$45,'TAR FIN'!$A$1:$O$88,15,0))</f>
        <v>0</v>
      </c>
      <c r="Y45" s="6">
        <f ca="1">('TUSD BE'!$AM$10+'TUSD BF'!$AM$10+'TUSD CVA'!$AM$10)*1</f>
        <v>51.541515279759096</v>
      </c>
      <c r="Z45" s="6"/>
      <c r="AA45" s="6"/>
      <c r="AB45" s="6">
        <f>$K$45*$V$45</f>
        <v>91612.14</v>
      </c>
      <c r="AC45" s="6">
        <f>$M$45*$W$45</f>
        <v>0</v>
      </c>
      <c r="AD45" s="6">
        <f>$O$45*$X$45</f>
        <v>0</v>
      </c>
      <c r="AE45" s="6">
        <f ca="1">$K$45*$Y$45</f>
        <v>103959.2363192741</v>
      </c>
      <c r="AF45" s="6">
        <f>$M$45*$Z$45</f>
        <v>0</v>
      </c>
      <c r="AG45" s="6">
        <f>$O$45*$AA$45</f>
        <v>0</v>
      </c>
    </row>
    <row r="46" spans="1:33" ht="11.25" customHeight="1" x14ac:dyDescent="0.25">
      <c r="A46" s="4" t="s">
        <v>28</v>
      </c>
      <c r="B46" s="4" t="s">
        <v>35</v>
      </c>
      <c r="C46" s="4" t="s">
        <v>36</v>
      </c>
      <c r="D46" s="4" t="s">
        <v>39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44531</v>
      </c>
      <c r="J46" s="6">
        <v>121</v>
      </c>
      <c r="K46" s="6">
        <v>121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4" t="s">
        <v>26</v>
      </c>
      <c r="R46" s="4">
        <v>0</v>
      </c>
      <c r="S46" s="6">
        <v>11</v>
      </c>
      <c r="T46" s="6">
        <v>0</v>
      </c>
      <c r="U46" s="6">
        <v>0</v>
      </c>
      <c r="V46" s="6">
        <f>IF(ISERROR(VLOOKUP($S$46,'TAR FIN'!$A$1:$O$88,15,0)),0,VLOOKUP($S$46,'TAR FIN'!$A$1:$O$88,15,0))</f>
        <v>45.42</v>
      </c>
      <c r="W46" s="6">
        <f>IF(ISERROR(VLOOKUP($T$46,'TAR FIN'!$A$1:$O$88,15,0)),0,VLOOKUP($T$46,'TAR FIN'!$A$1:$O$88,15,0))</f>
        <v>0</v>
      </c>
      <c r="X46" s="6">
        <f>IF(ISERROR(VLOOKUP($U$46,'TAR FIN'!$A$1:$O$88,15,0)),0,VLOOKUP($U$46,'TAR FIN'!$A$1:$O$88,15,0))</f>
        <v>0</v>
      </c>
      <c r="Y46" s="6">
        <f ca="1">('TUSD BE'!$AM$10+'TUSD BF'!$AM$10+'TUSD CVA'!$AM$10)*1</f>
        <v>51.541515279759096</v>
      </c>
      <c r="Z46" s="6"/>
      <c r="AA46" s="6"/>
      <c r="AB46" s="6">
        <f>$K$46*$V$46</f>
        <v>5495.8200000000006</v>
      </c>
      <c r="AC46" s="6">
        <f>$M$46*$W$46</f>
        <v>0</v>
      </c>
      <c r="AD46" s="6">
        <f>$O$46*$X$46</f>
        <v>0</v>
      </c>
      <c r="AE46" s="6">
        <f ca="1">$K$46*$Y$46</f>
        <v>6236.5233488508511</v>
      </c>
      <c r="AF46" s="6">
        <f>$M$46*$Z$46</f>
        <v>0</v>
      </c>
      <c r="AG46" s="6">
        <f>$O$46*$AA$46</f>
        <v>0</v>
      </c>
    </row>
    <row r="47" spans="1:33" ht="11.25" customHeight="1" x14ac:dyDescent="0.25">
      <c r="A47" s="4" t="s">
        <v>21</v>
      </c>
      <c r="B47" s="4" t="s">
        <v>35</v>
      </c>
      <c r="C47" s="4" t="s">
        <v>36</v>
      </c>
      <c r="D47" s="4" t="s">
        <v>39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44562</v>
      </c>
      <c r="J47" s="6">
        <v>2357</v>
      </c>
      <c r="K47" s="6">
        <v>2357</v>
      </c>
      <c r="L47" s="6">
        <v>0</v>
      </c>
      <c r="M47" s="6">
        <v>0</v>
      </c>
      <c r="N47" s="6">
        <v>0</v>
      </c>
      <c r="O47" s="6">
        <v>0</v>
      </c>
      <c r="P47" s="6">
        <v>15</v>
      </c>
      <c r="Q47" s="4" t="s">
        <v>26</v>
      </c>
      <c r="R47" s="4">
        <v>0</v>
      </c>
      <c r="S47" s="6">
        <v>11</v>
      </c>
      <c r="T47" s="6">
        <v>0</v>
      </c>
      <c r="U47" s="6">
        <v>0</v>
      </c>
      <c r="V47" s="6">
        <f>IF(ISERROR(VLOOKUP($S$47,'TAR FIN'!$A$1:$O$88,15,0)),0,VLOOKUP($S$47,'TAR FIN'!$A$1:$O$88,15,0))</f>
        <v>45.42</v>
      </c>
      <c r="W47" s="6">
        <f>IF(ISERROR(VLOOKUP($T$47,'TAR FIN'!$A$1:$O$88,15,0)),0,VLOOKUP($T$47,'TAR FIN'!$A$1:$O$88,15,0))</f>
        <v>0</v>
      </c>
      <c r="X47" s="6">
        <f>IF(ISERROR(VLOOKUP($U$47,'TAR FIN'!$A$1:$O$88,15,0)),0,VLOOKUP($U$47,'TAR FIN'!$A$1:$O$88,15,0))</f>
        <v>0</v>
      </c>
      <c r="Y47" s="6">
        <f ca="1">('TUSD BE'!$AM$10+'TUSD BF'!$AM$10+'TUSD CVA'!$AM$10)*1</f>
        <v>51.541515279759096</v>
      </c>
      <c r="Z47" s="6"/>
      <c r="AA47" s="6"/>
      <c r="AB47" s="6">
        <f>$K$47*$V$47</f>
        <v>107054.94</v>
      </c>
      <c r="AC47" s="6">
        <f>$M$47*$W$47</f>
        <v>0</v>
      </c>
      <c r="AD47" s="6">
        <f>$O$47*$X$47</f>
        <v>0</v>
      </c>
      <c r="AE47" s="6">
        <f ca="1">$K$47*$Y$47</f>
        <v>121483.35151439218</v>
      </c>
      <c r="AF47" s="6">
        <f>$M$47*$Z$47</f>
        <v>0</v>
      </c>
      <c r="AG47" s="6">
        <f>$O$47*$AA$47</f>
        <v>0</v>
      </c>
    </row>
    <row r="48" spans="1:33" ht="11.25" customHeight="1" x14ac:dyDescent="0.25">
      <c r="A48" s="4" t="s">
        <v>28</v>
      </c>
      <c r="B48" s="4" t="s">
        <v>35</v>
      </c>
      <c r="C48" s="4" t="s">
        <v>36</v>
      </c>
      <c r="D48" s="4" t="s">
        <v>39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44562</v>
      </c>
      <c r="J48" s="6">
        <v>105</v>
      </c>
      <c r="K48" s="6">
        <v>105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4" t="s">
        <v>26</v>
      </c>
      <c r="R48" s="4">
        <v>0</v>
      </c>
      <c r="S48" s="6">
        <v>11</v>
      </c>
      <c r="T48" s="6">
        <v>0</v>
      </c>
      <c r="U48" s="6">
        <v>0</v>
      </c>
      <c r="V48" s="6">
        <f>IF(ISERROR(VLOOKUP($S$48,'TAR FIN'!$A$1:$O$88,15,0)),0,VLOOKUP($S$48,'TAR FIN'!$A$1:$O$88,15,0))</f>
        <v>45.42</v>
      </c>
      <c r="W48" s="6">
        <f>IF(ISERROR(VLOOKUP($T$48,'TAR FIN'!$A$1:$O$88,15,0)),0,VLOOKUP($T$48,'TAR FIN'!$A$1:$O$88,15,0))</f>
        <v>0</v>
      </c>
      <c r="X48" s="6">
        <f>IF(ISERROR(VLOOKUP($U$48,'TAR FIN'!$A$1:$O$88,15,0)),0,VLOOKUP($U$48,'TAR FIN'!$A$1:$O$88,15,0))</f>
        <v>0</v>
      </c>
      <c r="Y48" s="6">
        <f ca="1">('TUSD BE'!$AM$10+'TUSD BF'!$AM$10+'TUSD CVA'!$AM$10)*1</f>
        <v>51.541515279759096</v>
      </c>
      <c r="Z48" s="6"/>
      <c r="AA48" s="6"/>
      <c r="AB48" s="6">
        <f>$K$48*$V$48</f>
        <v>4769.1000000000004</v>
      </c>
      <c r="AC48" s="6">
        <f>$M$48*$W$48</f>
        <v>0</v>
      </c>
      <c r="AD48" s="6">
        <f>$O$48*$X$48</f>
        <v>0</v>
      </c>
      <c r="AE48" s="6">
        <f ca="1">$K$48*$Y$48</f>
        <v>5411.8591043747056</v>
      </c>
      <c r="AF48" s="6">
        <f>$M$48*$Z$48</f>
        <v>0</v>
      </c>
      <c r="AG48" s="6">
        <f>$O$48*$AA$48</f>
        <v>0</v>
      </c>
    </row>
    <row r="49" spans="1:33" ht="11.25" customHeight="1" x14ac:dyDescent="0.25">
      <c r="A49" s="4" t="s">
        <v>21</v>
      </c>
      <c r="B49" s="4" t="s">
        <v>35</v>
      </c>
      <c r="C49" s="4" t="s">
        <v>36</v>
      </c>
      <c r="D49" s="4" t="s">
        <v>39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44593</v>
      </c>
      <c r="J49" s="6">
        <v>2680</v>
      </c>
      <c r="K49" s="6">
        <v>2680</v>
      </c>
      <c r="L49" s="6">
        <v>0</v>
      </c>
      <c r="M49" s="6">
        <v>0</v>
      </c>
      <c r="N49" s="6">
        <v>0</v>
      </c>
      <c r="O49" s="6">
        <v>0</v>
      </c>
      <c r="P49" s="6">
        <v>15</v>
      </c>
      <c r="Q49" s="4" t="s">
        <v>26</v>
      </c>
      <c r="R49" s="4">
        <v>0</v>
      </c>
      <c r="S49" s="6">
        <v>11</v>
      </c>
      <c r="T49" s="6">
        <v>0</v>
      </c>
      <c r="U49" s="6">
        <v>0</v>
      </c>
      <c r="V49" s="6">
        <f>IF(ISERROR(VLOOKUP($S$49,'TAR FIN'!$A$1:$O$88,15,0)),0,VLOOKUP($S$49,'TAR FIN'!$A$1:$O$88,15,0))</f>
        <v>45.42</v>
      </c>
      <c r="W49" s="6">
        <f>IF(ISERROR(VLOOKUP($T$49,'TAR FIN'!$A$1:$O$88,15,0)),0,VLOOKUP($T$49,'TAR FIN'!$A$1:$O$88,15,0))</f>
        <v>0</v>
      </c>
      <c r="X49" s="6">
        <f>IF(ISERROR(VLOOKUP($U$49,'TAR FIN'!$A$1:$O$88,15,0)),0,VLOOKUP($U$49,'TAR FIN'!$A$1:$O$88,15,0))</f>
        <v>0</v>
      </c>
      <c r="Y49" s="6">
        <f ca="1">('TUSD BE'!$AM$10+'TUSD BF'!$AM$10+'TUSD CVA'!$AM$10)*1</f>
        <v>51.541515279759096</v>
      </c>
      <c r="Z49" s="6"/>
      <c r="AA49" s="6"/>
      <c r="AB49" s="6">
        <f>$K$49*$V$49</f>
        <v>121725.6</v>
      </c>
      <c r="AC49" s="6">
        <f>$M$49*$W$49</f>
        <v>0</v>
      </c>
      <c r="AD49" s="6">
        <f>$O$49*$X$49</f>
        <v>0</v>
      </c>
      <c r="AE49" s="6">
        <f ca="1">$K$49*$Y$49</f>
        <v>138131.26094975439</v>
      </c>
      <c r="AF49" s="6">
        <f>$M$49*$Z$49</f>
        <v>0</v>
      </c>
      <c r="AG49" s="6">
        <f>$O$49*$AA$49</f>
        <v>0</v>
      </c>
    </row>
    <row r="50" spans="1:33" ht="11.25" customHeight="1" x14ac:dyDescent="0.25">
      <c r="A50" s="4" t="s">
        <v>28</v>
      </c>
      <c r="B50" s="4" t="s">
        <v>35</v>
      </c>
      <c r="C50" s="4" t="s">
        <v>36</v>
      </c>
      <c r="D50" s="4" t="s">
        <v>39</v>
      </c>
      <c r="E50" s="4" t="s">
        <v>25</v>
      </c>
      <c r="F50" s="4" t="s">
        <v>25</v>
      </c>
      <c r="G50" s="4" t="s">
        <v>25</v>
      </c>
      <c r="H50" s="4" t="s">
        <v>25</v>
      </c>
      <c r="I50" s="5">
        <v>44593</v>
      </c>
      <c r="J50" s="6">
        <v>144</v>
      </c>
      <c r="K50" s="6">
        <v>144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4" t="s">
        <v>26</v>
      </c>
      <c r="R50" s="4">
        <v>0</v>
      </c>
      <c r="S50" s="6">
        <v>11</v>
      </c>
      <c r="T50" s="6">
        <v>0</v>
      </c>
      <c r="U50" s="6">
        <v>0</v>
      </c>
      <c r="V50" s="6">
        <f>IF(ISERROR(VLOOKUP($S$50,'TAR FIN'!$A$1:$O$88,15,0)),0,VLOOKUP($S$50,'TAR FIN'!$A$1:$O$88,15,0))</f>
        <v>45.42</v>
      </c>
      <c r="W50" s="6">
        <f>IF(ISERROR(VLOOKUP($T$50,'TAR FIN'!$A$1:$O$88,15,0)),0,VLOOKUP($T$50,'TAR FIN'!$A$1:$O$88,15,0))</f>
        <v>0</v>
      </c>
      <c r="X50" s="6">
        <f>IF(ISERROR(VLOOKUP($U$50,'TAR FIN'!$A$1:$O$88,15,0)),0,VLOOKUP($U$50,'TAR FIN'!$A$1:$O$88,15,0))</f>
        <v>0</v>
      </c>
      <c r="Y50" s="6">
        <f ca="1">('TUSD BE'!$AM$10+'TUSD BF'!$AM$10+'TUSD CVA'!$AM$10)*1</f>
        <v>51.541515279759096</v>
      </c>
      <c r="Z50" s="6"/>
      <c r="AA50" s="6"/>
      <c r="AB50" s="6">
        <f>$K$50*$V$50</f>
        <v>6540.4800000000005</v>
      </c>
      <c r="AC50" s="6">
        <f>$M$50*$W$50</f>
        <v>0</v>
      </c>
      <c r="AD50" s="6">
        <f>$O$50*$X$50</f>
        <v>0</v>
      </c>
      <c r="AE50" s="6">
        <f ca="1">$K$50*$Y$50</f>
        <v>7421.9782002853099</v>
      </c>
      <c r="AF50" s="6">
        <f>$M$50*$Z$50</f>
        <v>0</v>
      </c>
      <c r="AG50" s="6">
        <f>$O$50*$AA$50</f>
        <v>0</v>
      </c>
    </row>
    <row r="51" spans="1:33" ht="11.25" customHeight="1" x14ac:dyDescent="0.25">
      <c r="A51" s="4" t="s">
        <v>21</v>
      </c>
      <c r="B51" s="4" t="s">
        <v>35</v>
      </c>
      <c r="C51" s="4" t="s">
        <v>36</v>
      </c>
      <c r="D51" s="4" t="s">
        <v>39</v>
      </c>
      <c r="E51" s="4" t="s">
        <v>25</v>
      </c>
      <c r="F51" s="4" t="s">
        <v>25</v>
      </c>
      <c r="G51" s="4" t="s">
        <v>25</v>
      </c>
      <c r="H51" s="4" t="s">
        <v>25</v>
      </c>
      <c r="I51" s="5">
        <v>44621</v>
      </c>
      <c r="J51" s="6">
        <v>2552</v>
      </c>
      <c r="K51" s="6">
        <v>2552</v>
      </c>
      <c r="L51" s="6">
        <v>0</v>
      </c>
      <c r="M51" s="6">
        <v>0</v>
      </c>
      <c r="N51" s="6">
        <v>0</v>
      </c>
      <c r="O51" s="6">
        <v>0</v>
      </c>
      <c r="P51" s="6">
        <v>15</v>
      </c>
      <c r="Q51" s="4" t="s">
        <v>26</v>
      </c>
      <c r="R51" s="4">
        <v>0</v>
      </c>
      <c r="S51" s="6">
        <v>11</v>
      </c>
      <c r="T51" s="6">
        <v>0</v>
      </c>
      <c r="U51" s="6">
        <v>0</v>
      </c>
      <c r="V51" s="6">
        <f>IF(ISERROR(VLOOKUP($S$51,'TAR FIN'!$A$1:$O$88,15,0)),0,VLOOKUP($S$51,'TAR FIN'!$A$1:$O$88,15,0))</f>
        <v>45.42</v>
      </c>
      <c r="W51" s="6">
        <f>IF(ISERROR(VLOOKUP($T$51,'TAR FIN'!$A$1:$O$88,15,0)),0,VLOOKUP($T$51,'TAR FIN'!$A$1:$O$88,15,0))</f>
        <v>0</v>
      </c>
      <c r="X51" s="6">
        <f>IF(ISERROR(VLOOKUP($U$51,'TAR FIN'!$A$1:$O$88,15,0)),0,VLOOKUP($U$51,'TAR FIN'!$A$1:$O$88,15,0))</f>
        <v>0</v>
      </c>
      <c r="Y51" s="6">
        <f ca="1">('TUSD BE'!$AM$10+'TUSD BF'!$AM$10+'TUSD CVA'!$AM$10)*1</f>
        <v>51.541515279759096</v>
      </c>
      <c r="Z51" s="6"/>
      <c r="AA51" s="6"/>
      <c r="AB51" s="6">
        <f>$K$51*$V$51</f>
        <v>115911.84000000001</v>
      </c>
      <c r="AC51" s="6">
        <f>$M$51*$W$51</f>
        <v>0</v>
      </c>
      <c r="AD51" s="6">
        <f>$O$51*$X$51</f>
        <v>0</v>
      </c>
      <c r="AE51" s="6">
        <f ca="1">$K$51*$Y$51</f>
        <v>131533.94699394522</v>
      </c>
      <c r="AF51" s="6">
        <f>$M$51*$Z$51</f>
        <v>0</v>
      </c>
      <c r="AG51" s="6">
        <f>$O$51*$AA$51</f>
        <v>0</v>
      </c>
    </row>
    <row r="52" spans="1:33" ht="11.25" customHeight="1" x14ac:dyDescent="0.25">
      <c r="A52" s="4" t="s">
        <v>28</v>
      </c>
      <c r="B52" s="4" t="s">
        <v>35</v>
      </c>
      <c r="C52" s="4" t="s">
        <v>36</v>
      </c>
      <c r="D52" s="4" t="s">
        <v>39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44621</v>
      </c>
      <c r="J52" s="6">
        <v>140</v>
      </c>
      <c r="K52" s="6">
        <v>140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4" t="s">
        <v>26</v>
      </c>
      <c r="R52" s="4">
        <v>0</v>
      </c>
      <c r="S52" s="6">
        <v>11</v>
      </c>
      <c r="T52" s="6">
        <v>0</v>
      </c>
      <c r="U52" s="6">
        <v>0</v>
      </c>
      <c r="V52" s="6">
        <f>IF(ISERROR(VLOOKUP($S$52,'TAR FIN'!$A$1:$O$88,15,0)),0,VLOOKUP($S$52,'TAR FIN'!$A$1:$O$88,15,0))</f>
        <v>45.42</v>
      </c>
      <c r="W52" s="6">
        <f>IF(ISERROR(VLOOKUP($T$52,'TAR FIN'!$A$1:$O$88,15,0)),0,VLOOKUP($T$52,'TAR FIN'!$A$1:$O$88,15,0))</f>
        <v>0</v>
      </c>
      <c r="X52" s="6">
        <f>IF(ISERROR(VLOOKUP($U$52,'TAR FIN'!$A$1:$O$88,15,0)),0,VLOOKUP($U$52,'TAR FIN'!$A$1:$O$88,15,0))</f>
        <v>0</v>
      </c>
      <c r="Y52" s="6">
        <f ca="1">('TUSD BE'!$AM$10+'TUSD BF'!$AM$10+'TUSD CVA'!$AM$10)*1</f>
        <v>51.541515279759096</v>
      </c>
      <c r="Z52" s="6"/>
      <c r="AA52" s="6"/>
      <c r="AB52" s="6">
        <f>$K$52*$V$52</f>
        <v>6358.8</v>
      </c>
      <c r="AC52" s="6">
        <f>$M$52*$W$52</f>
        <v>0</v>
      </c>
      <c r="AD52" s="6">
        <f>$O$52*$X$52</f>
        <v>0</v>
      </c>
      <c r="AE52" s="6">
        <f ca="1">$K$52*$Y$52</f>
        <v>7215.8121391662735</v>
      </c>
      <c r="AF52" s="6">
        <f>$M$52*$Z$52</f>
        <v>0</v>
      </c>
      <c r="AG52" s="6">
        <f>$O$52*$AA$52</f>
        <v>0</v>
      </c>
    </row>
    <row r="53" spans="1:33" ht="11.25" customHeight="1" x14ac:dyDescent="0.25">
      <c r="A53" s="4" t="s">
        <v>21</v>
      </c>
      <c r="B53" s="4" t="s">
        <v>35</v>
      </c>
      <c r="C53" s="4" t="s">
        <v>36</v>
      </c>
      <c r="D53" s="4" t="s">
        <v>39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44652</v>
      </c>
      <c r="J53" s="6">
        <v>3444</v>
      </c>
      <c r="K53" s="6">
        <v>3444</v>
      </c>
      <c r="L53" s="6">
        <v>0</v>
      </c>
      <c r="M53" s="6">
        <v>0</v>
      </c>
      <c r="N53" s="6">
        <v>0</v>
      </c>
      <c r="O53" s="6">
        <v>0</v>
      </c>
      <c r="P53" s="6">
        <v>15</v>
      </c>
      <c r="Q53" s="4" t="s">
        <v>26</v>
      </c>
      <c r="R53" s="4">
        <v>0</v>
      </c>
      <c r="S53" s="6">
        <v>11</v>
      </c>
      <c r="T53" s="6">
        <v>0</v>
      </c>
      <c r="U53" s="6">
        <v>0</v>
      </c>
      <c r="V53" s="6">
        <f>IF(ISERROR(VLOOKUP($S$53,'TAR FIN'!$A$1:$O$88,15,0)),0,VLOOKUP($S$53,'TAR FIN'!$A$1:$O$88,15,0))</f>
        <v>45.42</v>
      </c>
      <c r="W53" s="6">
        <f>IF(ISERROR(VLOOKUP($T$53,'TAR FIN'!$A$1:$O$88,15,0)),0,VLOOKUP($T$53,'TAR FIN'!$A$1:$O$88,15,0))</f>
        <v>0</v>
      </c>
      <c r="X53" s="6">
        <f>IF(ISERROR(VLOOKUP($U$53,'TAR FIN'!$A$1:$O$88,15,0)),0,VLOOKUP($U$53,'TAR FIN'!$A$1:$O$88,15,0))</f>
        <v>0</v>
      </c>
      <c r="Y53" s="6">
        <f ca="1">('TUSD BE'!$AM$10+'TUSD BF'!$AM$10+'TUSD CVA'!$AM$10)*1</f>
        <v>51.541515279759096</v>
      </c>
      <c r="Z53" s="6"/>
      <c r="AA53" s="6"/>
      <c r="AB53" s="6">
        <f>$K$53*$V$53</f>
        <v>156426.48000000001</v>
      </c>
      <c r="AC53" s="6">
        <f>$M$53*$W$53</f>
        <v>0</v>
      </c>
      <c r="AD53" s="6">
        <f>$O$53*$X$53</f>
        <v>0</v>
      </c>
      <c r="AE53" s="6">
        <f ca="1">$K$53*$Y$53</f>
        <v>177508.97862349031</v>
      </c>
      <c r="AF53" s="6">
        <f>$M$53*$Z$53</f>
        <v>0</v>
      </c>
      <c r="AG53" s="6">
        <f>$O$53*$AA$53</f>
        <v>0</v>
      </c>
    </row>
    <row r="54" spans="1:33" ht="11.25" customHeight="1" x14ac:dyDescent="0.25">
      <c r="A54" s="4" t="s">
        <v>28</v>
      </c>
      <c r="B54" s="4" t="s">
        <v>35</v>
      </c>
      <c r="C54" s="4" t="s">
        <v>36</v>
      </c>
      <c r="D54" s="4" t="s">
        <v>39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44652</v>
      </c>
      <c r="J54" s="6">
        <v>181</v>
      </c>
      <c r="K54" s="6">
        <v>181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4" t="s">
        <v>26</v>
      </c>
      <c r="R54" s="4">
        <v>0</v>
      </c>
      <c r="S54" s="6">
        <v>11</v>
      </c>
      <c r="T54" s="6">
        <v>0</v>
      </c>
      <c r="U54" s="6">
        <v>0</v>
      </c>
      <c r="V54" s="6">
        <f>IF(ISERROR(VLOOKUP($S$54,'TAR FIN'!$A$1:$O$88,15,0)),0,VLOOKUP($S$54,'TAR FIN'!$A$1:$O$88,15,0))</f>
        <v>45.42</v>
      </c>
      <c r="W54" s="6">
        <f>IF(ISERROR(VLOOKUP($T$54,'TAR FIN'!$A$1:$O$88,15,0)),0,VLOOKUP($T$54,'TAR FIN'!$A$1:$O$88,15,0))</f>
        <v>0</v>
      </c>
      <c r="X54" s="6">
        <f>IF(ISERROR(VLOOKUP($U$54,'TAR FIN'!$A$1:$O$88,15,0)),0,VLOOKUP($U$54,'TAR FIN'!$A$1:$O$88,15,0))</f>
        <v>0</v>
      </c>
      <c r="Y54" s="6">
        <f ca="1">('TUSD BE'!$AM$10+'TUSD BF'!$AM$10+'TUSD CVA'!$AM$10)*1</f>
        <v>51.541515279759096</v>
      </c>
      <c r="Z54" s="6"/>
      <c r="AA54" s="6"/>
      <c r="AB54" s="6">
        <f>$K$54*$V$54</f>
        <v>8221.02</v>
      </c>
      <c r="AC54" s="6">
        <f>$M$54*$W$54</f>
        <v>0</v>
      </c>
      <c r="AD54" s="6">
        <f>$O$54*$X$54</f>
        <v>0</v>
      </c>
      <c r="AE54" s="6">
        <f ca="1">$K$54*$Y$54</f>
        <v>9329.0142656363969</v>
      </c>
      <c r="AF54" s="6">
        <f>$M$54*$Z$54</f>
        <v>0</v>
      </c>
      <c r="AG54" s="6">
        <f>$O$54*$AA$54</f>
        <v>0</v>
      </c>
    </row>
    <row r="55" spans="1:33" ht="11.25" customHeight="1" x14ac:dyDescent="0.25">
      <c r="A55" s="4" t="s">
        <v>21</v>
      </c>
      <c r="B55" s="4" t="s">
        <v>35</v>
      </c>
      <c r="C55" s="4" t="s">
        <v>36</v>
      </c>
      <c r="D55" s="4" t="s">
        <v>39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44682</v>
      </c>
      <c r="J55" s="6">
        <v>3523</v>
      </c>
      <c r="K55" s="6">
        <v>3523</v>
      </c>
      <c r="L55" s="6">
        <v>0</v>
      </c>
      <c r="M55" s="6">
        <v>0</v>
      </c>
      <c r="N55" s="6">
        <v>0</v>
      </c>
      <c r="O55" s="6">
        <v>0</v>
      </c>
      <c r="P55" s="6">
        <v>14</v>
      </c>
      <c r="Q55" s="4" t="s">
        <v>26</v>
      </c>
      <c r="R55" s="4">
        <v>0</v>
      </c>
      <c r="S55" s="6">
        <v>11</v>
      </c>
      <c r="T55" s="6">
        <v>0</v>
      </c>
      <c r="U55" s="6">
        <v>0</v>
      </c>
      <c r="V55" s="6">
        <f>IF(ISERROR(VLOOKUP($S$55,'TAR FIN'!$A$1:$O$88,15,0)),0,VLOOKUP($S$55,'TAR FIN'!$A$1:$O$88,15,0))</f>
        <v>45.42</v>
      </c>
      <c r="W55" s="6">
        <f>IF(ISERROR(VLOOKUP($T$55,'TAR FIN'!$A$1:$O$88,15,0)),0,VLOOKUP($T$55,'TAR FIN'!$A$1:$O$88,15,0))</f>
        <v>0</v>
      </c>
      <c r="X55" s="6">
        <f>IF(ISERROR(VLOOKUP($U$55,'TAR FIN'!$A$1:$O$88,15,0)),0,VLOOKUP($U$55,'TAR FIN'!$A$1:$O$88,15,0))</f>
        <v>0</v>
      </c>
      <c r="Y55" s="6">
        <f ca="1">('TUSD BE'!$AM$10+'TUSD BF'!$AM$10+'TUSD CVA'!$AM$10)*1</f>
        <v>51.541515279759096</v>
      </c>
      <c r="Z55" s="6"/>
      <c r="AA55" s="6"/>
      <c r="AB55" s="6">
        <f>$K$55*$V$55</f>
        <v>160014.66</v>
      </c>
      <c r="AC55" s="6">
        <f>$M$55*$W$55</f>
        <v>0</v>
      </c>
      <c r="AD55" s="6">
        <f>$O$55*$X$55</f>
        <v>0</v>
      </c>
      <c r="AE55" s="6">
        <f ca="1">$K$55*$Y$55</f>
        <v>181580.75833059128</v>
      </c>
      <c r="AF55" s="6">
        <f>$M$55*$Z$55</f>
        <v>0</v>
      </c>
      <c r="AG55" s="6">
        <f>$O$55*$AA$55</f>
        <v>0</v>
      </c>
    </row>
    <row r="56" spans="1:33" ht="11.25" customHeight="1" x14ac:dyDescent="0.25">
      <c r="A56" s="4" t="s">
        <v>28</v>
      </c>
      <c r="B56" s="4" t="s">
        <v>35</v>
      </c>
      <c r="C56" s="4" t="s">
        <v>36</v>
      </c>
      <c r="D56" s="4" t="s">
        <v>39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44682</v>
      </c>
      <c r="J56" s="6">
        <v>326</v>
      </c>
      <c r="K56" s="6">
        <v>326</v>
      </c>
      <c r="L56" s="6">
        <v>0</v>
      </c>
      <c r="M56" s="6">
        <v>0</v>
      </c>
      <c r="N56" s="6">
        <v>0</v>
      </c>
      <c r="O56" s="6">
        <v>0</v>
      </c>
      <c r="P56" s="6">
        <v>2</v>
      </c>
      <c r="Q56" s="4" t="s">
        <v>26</v>
      </c>
      <c r="R56" s="4">
        <v>0</v>
      </c>
      <c r="S56" s="6">
        <v>11</v>
      </c>
      <c r="T56" s="6">
        <v>0</v>
      </c>
      <c r="U56" s="6">
        <v>0</v>
      </c>
      <c r="V56" s="6">
        <f>IF(ISERROR(VLOOKUP($S$56,'TAR FIN'!$A$1:$O$88,15,0)),0,VLOOKUP($S$56,'TAR FIN'!$A$1:$O$88,15,0))</f>
        <v>45.42</v>
      </c>
      <c r="W56" s="6">
        <f>IF(ISERROR(VLOOKUP($T$56,'TAR FIN'!$A$1:$O$88,15,0)),0,VLOOKUP($T$56,'TAR FIN'!$A$1:$O$88,15,0))</f>
        <v>0</v>
      </c>
      <c r="X56" s="6">
        <f>IF(ISERROR(VLOOKUP($U$56,'TAR FIN'!$A$1:$O$88,15,0)),0,VLOOKUP($U$56,'TAR FIN'!$A$1:$O$88,15,0))</f>
        <v>0</v>
      </c>
      <c r="Y56" s="6">
        <f ca="1">('TUSD BE'!$AM$10+'TUSD BF'!$AM$10+'TUSD CVA'!$AM$10)*1</f>
        <v>51.541515279759096</v>
      </c>
      <c r="Z56" s="6"/>
      <c r="AA56" s="6"/>
      <c r="AB56" s="6">
        <f>$K$56*$V$56</f>
        <v>14806.92</v>
      </c>
      <c r="AC56" s="6">
        <f>$M$56*$W$56</f>
        <v>0</v>
      </c>
      <c r="AD56" s="6">
        <f>$O$56*$X$56</f>
        <v>0</v>
      </c>
      <c r="AE56" s="6">
        <f ca="1">$K$56*$Y$56</f>
        <v>16802.533981201464</v>
      </c>
      <c r="AF56" s="6">
        <f>$M$56*$Z$56</f>
        <v>0</v>
      </c>
      <c r="AG56" s="6">
        <f>$O$56*$AA$56</f>
        <v>0</v>
      </c>
    </row>
    <row r="57" spans="1:33" ht="11.25" customHeight="1" x14ac:dyDescent="0.25">
      <c r="A57" s="4" t="s">
        <v>21</v>
      </c>
      <c r="B57" s="4" t="s">
        <v>35</v>
      </c>
      <c r="C57" s="4" t="s">
        <v>36</v>
      </c>
      <c r="D57" s="4" t="s">
        <v>39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44713</v>
      </c>
      <c r="J57" s="6">
        <v>3242</v>
      </c>
      <c r="K57" s="6">
        <v>3242</v>
      </c>
      <c r="L57" s="6">
        <v>0</v>
      </c>
      <c r="M57" s="6">
        <v>0</v>
      </c>
      <c r="N57" s="6">
        <v>0</v>
      </c>
      <c r="O57" s="6">
        <v>0</v>
      </c>
      <c r="P57" s="6">
        <v>14</v>
      </c>
      <c r="Q57" s="4" t="s">
        <v>26</v>
      </c>
      <c r="R57" s="4">
        <v>0</v>
      </c>
      <c r="S57" s="6">
        <v>11</v>
      </c>
      <c r="T57" s="6">
        <v>0</v>
      </c>
      <c r="U57" s="6">
        <v>0</v>
      </c>
      <c r="V57" s="6">
        <f>IF(ISERROR(VLOOKUP($S$57,'TAR FIN'!$A$1:$O$88,15,0)),0,VLOOKUP($S$57,'TAR FIN'!$A$1:$O$88,15,0))</f>
        <v>45.42</v>
      </c>
      <c r="W57" s="6">
        <f>IF(ISERROR(VLOOKUP($T$57,'TAR FIN'!$A$1:$O$88,15,0)),0,VLOOKUP($T$57,'TAR FIN'!$A$1:$O$88,15,0))</f>
        <v>0</v>
      </c>
      <c r="X57" s="6">
        <f>IF(ISERROR(VLOOKUP($U$57,'TAR FIN'!$A$1:$O$88,15,0)),0,VLOOKUP($U$57,'TAR FIN'!$A$1:$O$88,15,0))</f>
        <v>0</v>
      </c>
      <c r="Y57" s="6">
        <f ca="1">('TUSD BE'!$AM$10+'TUSD BF'!$AM$10+'TUSD CVA'!$AM$10)*1</f>
        <v>51.541515279759096</v>
      </c>
      <c r="Z57" s="6"/>
      <c r="AA57" s="6"/>
      <c r="AB57" s="6">
        <f>$K$57*$V$57</f>
        <v>147251.64000000001</v>
      </c>
      <c r="AC57" s="6">
        <f>$M$57*$W$57</f>
        <v>0</v>
      </c>
      <c r="AD57" s="6">
        <f>$O$57*$X$57</f>
        <v>0</v>
      </c>
      <c r="AE57" s="6">
        <f ca="1">$K$57*$Y$57</f>
        <v>167097.59253697898</v>
      </c>
      <c r="AF57" s="6">
        <f>$M$57*$Z$57</f>
        <v>0</v>
      </c>
      <c r="AG57" s="6">
        <f>$O$57*$AA$57</f>
        <v>0</v>
      </c>
    </row>
    <row r="58" spans="1:33" ht="11.25" customHeight="1" x14ac:dyDescent="0.25">
      <c r="A58" s="4" t="s">
        <v>27</v>
      </c>
      <c r="B58" s="4" t="s">
        <v>35</v>
      </c>
      <c r="C58" s="4" t="s">
        <v>36</v>
      </c>
      <c r="D58" s="4" t="s">
        <v>39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44713</v>
      </c>
      <c r="J58" s="6">
        <v>-739</v>
      </c>
      <c r="K58" s="6">
        <v>-739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4" t="s">
        <v>26</v>
      </c>
      <c r="R58" s="4">
        <v>0</v>
      </c>
      <c r="S58" s="6">
        <v>11</v>
      </c>
      <c r="T58" s="6">
        <v>0</v>
      </c>
      <c r="U58" s="6">
        <v>0</v>
      </c>
      <c r="V58" s="6">
        <f>IF(ISERROR(VLOOKUP($S$58,'TAR FIN'!$A$1:$O$88,15,0)),0,VLOOKUP($S$58,'TAR FIN'!$A$1:$O$88,15,0))</f>
        <v>45.42</v>
      </c>
      <c r="W58" s="6">
        <f>IF(ISERROR(VLOOKUP($T$58,'TAR FIN'!$A$1:$O$88,15,0)),0,VLOOKUP($T$58,'TAR FIN'!$A$1:$O$88,15,0))</f>
        <v>0</v>
      </c>
      <c r="X58" s="6">
        <f>IF(ISERROR(VLOOKUP($U$58,'TAR FIN'!$A$1:$O$88,15,0)),0,VLOOKUP($U$58,'TAR FIN'!$A$1:$O$88,15,0))</f>
        <v>0</v>
      </c>
      <c r="Y58" s="6">
        <f ca="1">('TUSD BE'!$AM$10+'TUSD BF'!$AM$10+'TUSD CVA'!$AM$10)*1</f>
        <v>51.541515279759096</v>
      </c>
      <c r="Z58" s="6"/>
      <c r="AA58" s="6"/>
      <c r="AB58" s="6">
        <f>$K$58*$V$58</f>
        <v>-33565.380000000005</v>
      </c>
      <c r="AC58" s="6">
        <f>$M$58*$W$58</f>
        <v>0</v>
      </c>
      <c r="AD58" s="6">
        <f>$O$58*$X$58</f>
        <v>0</v>
      </c>
      <c r="AE58" s="6">
        <f ca="1">$K$58*$Y$58</f>
        <v>-38089.179791741975</v>
      </c>
      <c r="AF58" s="6">
        <f>$M$58*$Z$58</f>
        <v>0</v>
      </c>
      <c r="AG58" s="6">
        <f>$O$58*$AA$58</f>
        <v>0</v>
      </c>
    </row>
    <row r="59" spans="1:33" ht="11.25" customHeight="1" x14ac:dyDescent="0.25">
      <c r="A59" s="4" t="s">
        <v>28</v>
      </c>
      <c r="B59" s="4" t="s">
        <v>35</v>
      </c>
      <c r="C59" s="4" t="s">
        <v>36</v>
      </c>
      <c r="D59" s="4" t="s">
        <v>39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44713</v>
      </c>
      <c r="J59" s="6">
        <v>280</v>
      </c>
      <c r="K59" s="6">
        <v>280</v>
      </c>
      <c r="L59" s="6">
        <v>0</v>
      </c>
      <c r="M59" s="6">
        <v>0</v>
      </c>
      <c r="N59" s="6">
        <v>0</v>
      </c>
      <c r="O59" s="6">
        <v>0</v>
      </c>
      <c r="P59" s="6">
        <v>2</v>
      </c>
      <c r="Q59" s="4" t="s">
        <v>26</v>
      </c>
      <c r="R59" s="4">
        <v>0</v>
      </c>
      <c r="S59" s="6">
        <v>11</v>
      </c>
      <c r="T59" s="6">
        <v>0</v>
      </c>
      <c r="U59" s="6">
        <v>0</v>
      </c>
      <c r="V59" s="6">
        <f>IF(ISERROR(VLOOKUP($S$59,'TAR FIN'!$A$1:$O$88,15,0)),0,VLOOKUP($S$59,'TAR FIN'!$A$1:$O$88,15,0))</f>
        <v>45.42</v>
      </c>
      <c r="W59" s="6">
        <f>IF(ISERROR(VLOOKUP($T$59,'TAR FIN'!$A$1:$O$88,15,0)),0,VLOOKUP($T$59,'TAR FIN'!$A$1:$O$88,15,0))</f>
        <v>0</v>
      </c>
      <c r="X59" s="6">
        <f>IF(ISERROR(VLOOKUP($U$59,'TAR FIN'!$A$1:$O$88,15,0)),0,VLOOKUP($U$59,'TAR FIN'!$A$1:$O$88,15,0))</f>
        <v>0</v>
      </c>
      <c r="Y59" s="6">
        <f ca="1">('TUSD BE'!$AM$10+'TUSD BF'!$AM$10+'TUSD CVA'!$AM$10)*1</f>
        <v>51.541515279759096</v>
      </c>
      <c r="Z59" s="6"/>
      <c r="AA59" s="6"/>
      <c r="AB59" s="6">
        <f>$K$59*$V$59</f>
        <v>12717.6</v>
      </c>
      <c r="AC59" s="6">
        <f>$M$59*$W$59</f>
        <v>0</v>
      </c>
      <c r="AD59" s="6">
        <f>$O$59*$X$59</f>
        <v>0</v>
      </c>
      <c r="AE59" s="6">
        <f ca="1">$K$59*$Y$59</f>
        <v>14431.624278332547</v>
      </c>
      <c r="AF59" s="6">
        <f>$M$59*$Z$59</f>
        <v>0</v>
      </c>
      <c r="AG59" s="6">
        <f>$O$59*$AA$59</f>
        <v>0</v>
      </c>
    </row>
    <row r="60" spans="1:33" ht="11.25" customHeight="1" x14ac:dyDescent="0.25">
      <c r="A60" s="4" t="s">
        <v>21</v>
      </c>
      <c r="B60" s="4" t="s">
        <v>35</v>
      </c>
      <c r="C60" s="4" t="s">
        <v>36</v>
      </c>
      <c r="D60" s="4" t="s">
        <v>39</v>
      </c>
      <c r="E60" s="4" t="s">
        <v>25</v>
      </c>
      <c r="F60" s="4" t="s">
        <v>25</v>
      </c>
      <c r="G60" s="4" t="s">
        <v>25</v>
      </c>
      <c r="H60" s="4" t="s">
        <v>37</v>
      </c>
      <c r="I60" s="5">
        <v>44378</v>
      </c>
      <c r="J60" s="6">
        <v>0</v>
      </c>
      <c r="K60" s="6">
        <v>0</v>
      </c>
      <c r="L60" s="6">
        <v>6.1849999999999996</v>
      </c>
      <c r="M60" s="6">
        <v>6.1849999999999996</v>
      </c>
      <c r="N60" s="6">
        <v>6.1849999999999996</v>
      </c>
      <c r="O60" s="6">
        <v>6.1849999999999996</v>
      </c>
      <c r="P60" s="6">
        <v>0</v>
      </c>
      <c r="Q60" s="4" t="s">
        <v>26</v>
      </c>
      <c r="R60" s="4">
        <v>0</v>
      </c>
      <c r="S60" s="6">
        <v>0</v>
      </c>
      <c r="T60" s="6">
        <v>7</v>
      </c>
      <c r="U60" s="6">
        <v>41</v>
      </c>
      <c r="V60" s="6">
        <f>IF(ISERROR(VLOOKUP($S$60,'TAR FIN'!$A$1:$O$88,15,0)),0,VLOOKUP($S$60,'TAR FIN'!$A$1:$O$88,15,0))</f>
        <v>0</v>
      </c>
      <c r="W60" s="6">
        <f>IF(ISERROR(VLOOKUP($T$60,'TAR FIN'!$A$1:$O$88,15,0)),0,VLOOKUP($T$60,'TAR FIN'!$A$1:$O$88,15,0))</f>
        <v>1465.12</v>
      </c>
      <c r="X60" s="6">
        <f>IF(ISERROR(VLOOKUP($U$60,'TAR FIN'!$A$1:$O$88,15,0)),0,VLOOKUP($U$60,'TAR FIN'!$A$1:$O$88,15,0))</f>
        <v>252.22</v>
      </c>
      <c r="Y60" s="6"/>
      <c r="Z60" s="6">
        <f ca="1">('TUSD BE'!$AM$11+'TUSD BF'!$AM$11+'TUSD CVA'!$AM$11)*1</f>
        <v>1652.6258572524951</v>
      </c>
      <c r="AA60" s="6">
        <f>('TE BE'!$AB$5+'TE BF'!$AB$5+'TE CVA'!$AB$5)*1</f>
        <v>251.92449556687748</v>
      </c>
      <c r="AB60" s="6">
        <f>$K$60*$V$60</f>
        <v>0</v>
      </c>
      <c r="AC60" s="6">
        <f>$M$60*$W$60</f>
        <v>9061.7671999999984</v>
      </c>
      <c r="AD60" s="6">
        <f>$O$60*$X$60</f>
        <v>1559.9806999999998</v>
      </c>
      <c r="AE60" s="6">
        <f>$K$60*$Y$60</f>
        <v>0</v>
      </c>
      <c r="AF60" s="6">
        <f ca="1">$M$60*$Z$60</f>
        <v>10221.490927106681</v>
      </c>
      <c r="AG60" s="6">
        <f>$O$60*$AA$60</f>
        <v>1558.1530050811371</v>
      </c>
    </row>
    <row r="61" spans="1:33" ht="11.25" customHeight="1" x14ac:dyDescent="0.25">
      <c r="A61" s="4" t="s">
        <v>28</v>
      </c>
      <c r="B61" s="4" t="s">
        <v>35</v>
      </c>
      <c r="C61" s="4" t="s">
        <v>36</v>
      </c>
      <c r="D61" s="4" t="s">
        <v>39</v>
      </c>
      <c r="E61" s="4" t="s">
        <v>25</v>
      </c>
      <c r="F61" s="4" t="s">
        <v>25</v>
      </c>
      <c r="G61" s="4" t="s">
        <v>25</v>
      </c>
      <c r="H61" s="4" t="s">
        <v>37</v>
      </c>
      <c r="I61" s="5">
        <v>44378</v>
      </c>
      <c r="J61" s="6">
        <v>0</v>
      </c>
      <c r="K61" s="6">
        <v>0</v>
      </c>
      <c r="L61" s="6">
        <v>1.23</v>
      </c>
      <c r="M61" s="6">
        <v>1.23</v>
      </c>
      <c r="N61" s="6">
        <v>1.23</v>
      </c>
      <c r="O61" s="6">
        <v>1.23</v>
      </c>
      <c r="P61" s="6">
        <v>0</v>
      </c>
      <c r="Q61" s="4" t="s">
        <v>26</v>
      </c>
      <c r="R61" s="4">
        <v>0</v>
      </c>
      <c r="S61" s="6">
        <v>0</v>
      </c>
      <c r="T61" s="6">
        <v>7</v>
      </c>
      <c r="U61" s="6">
        <v>41</v>
      </c>
      <c r="V61" s="6">
        <f>IF(ISERROR(VLOOKUP($S$61,'TAR FIN'!$A$1:$O$88,15,0)),0,VLOOKUP($S$61,'TAR FIN'!$A$1:$O$88,15,0))</f>
        <v>0</v>
      </c>
      <c r="W61" s="6">
        <f>IF(ISERROR(VLOOKUP($T$61,'TAR FIN'!$A$1:$O$88,15,0)),0,VLOOKUP($T$61,'TAR FIN'!$A$1:$O$88,15,0))</f>
        <v>1465.12</v>
      </c>
      <c r="X61" s="6">
        <f>IF(ISERROR(VLOOKUP($U$61,'TAR FIN'!$A$1:$O$88,15,0)),0,VLOOKUP($U$61,'TAR FIN'!$A$1:$O$88,15,0))</f>
        <v>252.22</v>
      </c>
      <c r="Y61" s="6"/>
      <c r="Z61" s="6">
        <f ca="1">('TUSD BE'!$AM$11+'TUSD BF'!$AM$11+'TUSD CVA'!$AM$11)*1</f>
        <v>1652.6258572524951</v>
      </c>
      <c r="AA61" s="6">
        <f>('TE BE'!$AB$5+'TE BF'!$AB$5+'TE CVA'!$AB$5)*1</f>
        <v>251.92449556687748</v>
      </c>
      <c r="AB61" s="6">
        <f>$K$61*$V$61</f>
        <v>0</v>
      </c>
      <c r="AC61" s="6">
        <f>$M$61*$W$61</f>
        <v>1802.0975999999998</v>
      </c>
      <c r="AD61" s="6">
        <f>$O$61*$X$61</f>
        <v>310.23059999999998</v>
      </c>
      <c r="AE61" s="6">
        <f>$K$61*$Y$61</f>
        <v>0</v>
      </c>
      <c r="AF61" s="6">
        <f ca="1">$M$61*$Z$61</f>
        <v>2032.7298044205688</v>
      </c>
      <c r="AG61" s="6">
        <f>$O$61*$AA$61</f>
        <v>309.86712954725931</v>
      </c>
    </row>
    <row r="62" spans="1:33" ht="11.25" customHeight="1" x14ac:dyDescent="0.25">
      <c r="A62" s="4" t="s">
        <v>21</v>
      </c>
      <c r="B62" s="4" t="s">
        <v>35</v>
      </c>
      <c r="C62" s="4" t="s">
        <v>36</v>
      </c>
      <c r="D62" s="4" t="s">
        <v>39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44409</v>
      </c>
      <c r="J62" s="6">
        <v>0</v>
      </c>
      <c r="K62" s="6">
        <v>0</v>
      </c>
      <c r="L62" s="6">
        <v>8.1029999999999998</v>
      </c>
      <c r="M62" s="6">
        <v>8.1029999999999998</v>
      </c>
      <c r="N62" s="6">
        <v>8.1029999999999998</v>
      </c>
      <c r="O62" s="6">
        <v>8.1029999999999998</v>
      </c>
      <c r="P62" s="6">
        <v>0</v>
      </c>
      <c r="Q62" s="4" t="s">
        <v>26</v>
      </c>
      <c r="R62" s="4">
        <v>0</v>
      </c>
      <c r="S62" s="6">
        <v>0</v>
      </c>
      <c r="T62" s="6">
        <v>7</v>
      </c>
      <c r="U62" s="6">
        <v>41</v>
      </c>
      <c r="V62" s="6">
        <f>IF(ISERROR(VLOOKUP($S$62,'TAR FIN'!$A$1:$O$88,15,0)),0,VLOOKUP($S$62,'TAR FIN'!$A$1:$O$88,15,0))</f>
        <v>0</v>
      </c>
      <c r="W62" s="6">
        <f>IF(ISERROR(VLOOKUP($T$62,'TAR FIN'!$A$1:$O$88,15,0)),0,VLOOKUP($T$62,'TAR FIN'!$A$1:$O$88,15,0))</f>
        <v>1465.12</v>
      </c>
      <c r="X62" s="6">
        <f>IF(ISERROR(VLOOKUP($U$62,'TAR FIN'!$A$1:$O$88,15,0)),0,VLOOKUP($U$62,'TAR FIN'!$A$1:$O$88,15,0))</f>
        <v>252.22</v>
      </c>
      <c r="Y62" s="6"/>
      <c r="Z62" s="6">
        <f ca="1">('TUSD BE'!$AM$11+'TUSD BF'!$AM$11+'TUSD CVA'!$AM$11)*1</f>
        <v>1652.6258572524951</v>
      </c>
      <c r="AA62" s="6">
        <f>('TE BE'!$AB$5+'TE BF'!$AB$5+'TE CVA'!$AB$5)*1</f>
        <v>251.92449556687748</v>
      </c>
      <c r="AB62" s="6">
        <f>$K$62*$V$62</f>
        <v>0</v>
      </c>
      <c r="AC62" s="6">
        <f>$M$62*$W$62</f>
        <v>11871.867359999998</v>
      </c>
      <c r="AD62" s="6">
        <f>$O$62*$X$62</f>
        <v>2043.73866</v>
      </c>
      <c r="AE62" s="6">
        <f>$K$62*$Y$62</f>
        <v>0</v>
      </c>
      <c r="AF62" s="6">
        <f ca="1">$M$62*$Z$62</f>
        <v>13391.227321316966</v>
      </c>
      <c r="AG62" s="6">
        <f>$O$62*$AA$62</f>
        <v>2041.3441875784081</v>
      </c>
    </row>
    <row r="63" spans="1:33" ht="11.25" customHeight="1" x14ac:dyDescent="0.25">
      <c r="A63" s="4" t="s">
        <v>21</v>
      </c>
      <c r="B63" s="4" t="s">
        <v>35</v>
      </c>
      <c r="C63" s="4" t="s">
        <v>36</v>
      </c>
      <c r="D63" s="4" t="s">
        <v>39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44440</v>
      </c>
      <c r="J63" s="6">
        <v>0</v>
      </c>
      <c r="K63" s="6">
        <v>0</v>
      </c>
      <c r="L63" s="6">
        <v>7.7350000000000003</v>
      </c>
      <c r="M63" s="6">
        <v>7.7350000000000003</v>
      </c>
      <c r="N63" s="6">
        <v>7.7350000000000003</v>
      </c>
      <c r="O63" s="6">
        <v>7.7350000000000003</v>
      </c>
      <c r="P63" s="6">
        <v>0</v>
      </c>
      <c r="Q63" s="4" t="s">
        <v>26</v>
      </c>
      <c r="R63" s="4">
        <v>0</v>
      </c>
      <c r="S63" s="6">
        <v>0</v>
      </c>
      <c r="T63" s="6">
        <v>7</v>
      </c>
      <c r="U63" s="6">
        <v>41</v>
      </c>
      <c r="V63" s="6">
        <f>IF(ISERROR(VLOOKUP($S$63,'TAR FIN'!$A$1:$O$88,15,0)),0,VLOOKUP($S$63,'TAR FIN'!$A$1:$O$88,15,0))</f>
        <v>0</v>
      </c>
      <c r="W63" s="6">
        <f>IF(ISERROR(VLOOKUP($T$63,'TAR FIN'!$A$1:$O$88,15,0)),0,VLOOKUP($T$63,'TAR FIN'!$A$1:$O$88,15,0))</f>
        <v>1465.12</v>
      </c>
      <c r="X63" s="6">
        <f>IF(ISERROR(VLOOKUP($U$63,'TAR FIN'!$A$1:$O$88,15,0)),0,VLOOKUP($U$63,'TAR FIN'!$A$1:$O$88,15,0))</f>
        <v>252.22</v>
      </c>
      <c r="Y63" s="6"/>
      <c r="Z63" s="6">
        <f ca="1">('TUSD BE'!$AM$11+'TUSD BF'!$AM$11+'TUSD CVA'!$AM$11)*1</f>
        <v>1652.6258572524951</v>
      </c>
      <c r="AA63" s="6">
        <f>('TE BE'!$AB$5+'TE BF'!$AB$5+'TE CVA'!$AB$5)*1</f>
        <v>251.92449556687748</v>
      </c>
      <c r="AB63" s="6">
        <f>$K$63*$V$63</f>
        <v>0</v>
      </c>
      <c r="AC63" s="6">
        <f>$M$63*$W$63</f>
        <v>11332.7032</v>
      </c>
      <c r="AD63" s="6">
        <f>$O$63*$X$63</f>
        <v>1950.9217000000001</v>
      </c>
      <c r="AE63" s="6">
        <f>$K$63*$Y$63</f>
        <v>0</v>
      </c>
      <c r="AF63" s="6">
        <f ca="1">$M$63*$Z$63</f>
        <v>12783.061005848051</v>
      </c>
      <c r="AG63" s="6">
        <f>$O$63*$AA$63</f>
        <v>1948.6359732097974</v>
      </c>
    </row>
    <row r="64" spans="1:33" ht="11.25" customHeight="1" x14ac:dyDescent="0.25">
      <c r="A64" s="4" t="s">
        <v>21</v>
      </c>
      <c r="B64" s="4" t="s">
        <v>35</v>
      </c>
      <c r="C64" s="4" t="s">
        <v>36</v>
      </c>
      <c r="D64" s="4" t="s">
        <v>39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44470</v>
      </c>
      <c r="J64" s="6">
        <v>0</v>
      </c>
      <c r="K64" s="6">
        <v>0</v>
      </c>
      <c r="L64" s="6">
        <v>8.2110000000000003</v>
      </c>
      <c r="M64" s="6">
        <v>8.2110000000000003</v>
      </c>
      <c r="N64" s="6">
        <v>8.2110000000000003</v>
      </c>
      <c r="O64" s="6">
        <v>8.2110000000000003</v>
      </c>
      <c r="P64" s="6">
        <v>0</v>
      </c>
      <c r="Q64" s="4" t="s">
        <v>26</v>
      </c>
      <c r="R64" s="4">
        <v>0</v>
      </c>
      <c r="S64" s="6">
        <v>0</v>
      </c>
      <c r="T64" s="6">
        <v>7</v>
      </c>
      <c r="U64" s="6">
        <v>41</v>
      </c>
      <c r="V64" s="6">
        <f>IF(ISERROR(VLOOKUP($S$64,'TAR FIN'!$A$1:$O$88,15,0)),0,VLOOKUP($S$64,'TAR FIN'!$A$1:$O$88,15,0))</f>
        <v>0</v>
      </c>
      <c r="W64" s="6">
        <f>IF(ISERROR(VLOOKUP($T$64,'TAR FIN'!$A$1:$O$88,15,0)),0,VLOOKUP($T$64,'TAR FIN'!$A$1:$O$88,15,0))</f>
        <v>1465.12</v>
      </c>
      <c r="X64" s="6">
        <f>IF(ISERROR(VLOOKUP($U$64,'TAR FIN'!$A$1:$O$88,15,0)),0,VLOOKUP($U$64,'TAR FIN'!$A$1:$O$88,15,0))</f>
        <v>252.22</v>
      </c>
      <c r="Y64" s="6"/>
      <c r="Z64" s="6">
        <f ca="1">('TUSD BE'!$AM$11+'TUSD BF'!$AM$11+'TUSD CVA'!$AM$11)*1</f>
        <v>1652.6258572524951</v>
      </c>
      <c r="AA64" s="6">
        <f>('TE BE'!$AB$5+'TE BF'!$AB$5+'TE CVA'!$AB$5)*1</f>
        <v>251.92449556687748</v>
      </c>
      <c r="AB64" s="6">
        <f>$K$64*$V$64</f>
        <v>0</v>
      </c>
      <c r="AC64" s="6">
        <f>$M$64*$W$64</f>
        <v>12030.10032</v>
      </c>
      <c r="AD64" s="6">
        <f>$O$64*$X$64</f>
        <v>2070.9784199999999</v>
      </c>
      <c r="AE64" s="6">
        <f>$K$64*$Y$64</f>
        <v>0</v>
      </c>
      <c r="AF64" s="6">
        <f ca="1">$M$64*$Z$64</f>
        <v>13569.710913900237</v>
      </c>
      <c r="AG64" s="6">
        <f>$O$64*$AA$64</f>
        <v>2068.552033099631</v>
      </c>
    </row>
    <row r="65" spans="1:33" ht="11.25" customHeight="1" x14ac:dyDescent="0.25">
      <c r="A65" s="4" t="s">
        <v>21</v>
      </c>
      <c r="B65" s="4" t="s">
        <v>35</v>
      </c>
      <c r="C65" s="4" t="s">
        <v>36</v>
      </c>
      <c r="D65" s="4" t="s">
        <v>39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44501</v>
      </c>
      <c r="J65" s="6">
        <v>0</v>
      </c>
      <c r="K65" s="6">
        <v>0</v>
      </c>
      <c r="L65" s="6">
        <v>20.187999999999999</v>
      </c>
      <c r="M65" s="6">
        <v>20.187999999999999</v>
      </c>
      <c r="N65" s="6">
        <v>20.187999999999999</v>
      </c>
      <c r="O65" s="6">
        <v>20.187999999999999</v>
      </c>
      <c r="P65" s="6">
        <v>0</v>
      </c>
      <c r="Q65" s="4" t="s">
        <v>26</v>
      </c>
      <c r="R65" s="4">
        <v>0</v>
      </c>
      <c r="S65" s="6">
        <v>0</v>
      </c>
      <c r="T65" s="6">
        <v>7</v>
      </c>
      <c r="U65" s="6">
        <v>41</v>
      </c>
      <c r="V65" s="6">
        <f>IF(ISERROR(VLOOKUP($S$65,'TAR FIN'!$A$1:$O$88,15,0)),0,VLOOKUP($S$65,'TAR FIN'!$A$1:$O$88,15,0))</f>
        <v>0</v>
      </c>
      <c r="W65" s="6">
        <f>IF(ISERROR(VLOOKUP($T$65,'TAR FIN'!$A$1:$O$88,15,0)),0,VLOOKUP($T$65,'TAR FIN'!$A$1:$O$88,15,0))</f>
        <v>1465.12</v>
      </c>
      <c r="X65" s="6">
        <f>IF(ISERROR(VLOOKUP($U$65,'TAR FIN'!$A$1:$O$88,15,0)),0,VLOOKUP($U$65,'TAR FIN'!$A$1:$O$88,15,0))</f>
        <v>252.22</v>
      </c>
      <c r="Y65" s="6"/>
      <c r="Z65" s="6">
        <f ca="1">('TUSD BE'!$AM$11+'TUSD BF'!$AM$11+'TUSD CVA'!$AM$11)*1</f>
        <v>1652.6258572524951</v>
      </c>
      <c r="AA65" s="6">
        <f>('TE BE'!$AB$5+'TE BF'!$AB$5+'TE CVA'!$AB$5)*1</f>
        <v>251.92449556687748</v>
      </c>
      <c r="AB65" s="6">
        <f>$K$65*$V$65</f>
        <v>0</v>
      </c>
      <c r="AC65" s="6">
        <f>$M$65*$W$65</f>
        <v>29577.842559999997</v>
      </c>
      <c r="AD65" s="6">
        <f>$O$65*$X$65</f>
        <v>5091.81736</v>
      </c>
      <c r="AE65" s="6">
        <f>$K$65*$Y$65</f>
        <v>0</v>
      </c>
      <c r="AF65" s="6">
        <f ca="1">$M$65*$Z$65</f>
        <v>33363.21080621337</v>
      </c>
      <c r="AG65" s="6">
        <f>$O$65*$AA$65</f>
        <v>5085.8517165041221</v>
      </c>
    </row>
    <row r="66" spans="1:33" ht="11.25" customHeight="1" x14ac:dyDescent="0.25">
      <c r="A66" s="4" t="s">
        <v>28</v>
      </c>
      <c r="B66" s="4" t="s">
        <v>35</v>
      </c>
      <c r="C66" s="4" t="s">
        <v>36</v>
      </c>
      <c r="D66" s="4" t="s">
        <v>39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44501</v>
      </c>
      <c r="J66" s="6">
        <v>0</v>
      </c>
      <c r="K66" s="6">
        <v>0</v>
      </c>
      <c r="L66" s="6">
        <v>1.8859999999999999</v>
      </c>
      <c r="M66" s="6">
        <v>1.8859999999999999</v>
      </c>
      <c r="N66" s="6">
        <v>1.8859999999999999</v>
      </c>
      <c r="O66" s="6">
        <v>1.8859999999999999</v>
      </c>
      <c r="P66" s="6">
        <v>0</v>
      </c>
      <c r="Q66" s="4" t="s">
        <v>26</v>
      </c>
      <c r="R66" s="4">
        <v>0</v>
      </c>
      <c r="S66" s="6">
        <v>0</v>
      </c>
      <c r="T66" s="6">
        <v>7</v>
      </c>
      <c r="U66" s="6">
        <v>41</v>
      </c>
      <c r="V66" s="6">
        <f>IF(ISERROR(VLOOKUP($S$66,'TAR FIN'!$A$1:$O$88,15,0)),0,VLOOKUP($S$66,'TAR FIN'!$A$1:$O$88,15,0))</f>
        <v>0</v>
      </c>
      <c r="W66" s="6">
        <f>IF(ISERROR(VLOOKUP($T$66,'TAR FIN'!$A$1:$O$88,15,0)),0,VLOOKUP($T$66,'TAR FIN'!$A$1:$O$88,15,0))</f>
        <v>1465.12</v>
      </c>
      <c r="X66" s="6">
        <f>IF(ISERROR(VLOOKUP($U$66,'TAR FIN'!$A$1:$O$88,15,0)),0,VLOOKUP($U$66,'TAR FIN'!$A$1:$O$88,15,0))</f>
        <v>252.22</v>
      </c>
      <c r="Y66" s="6"/>
      <c r="Z66" s="6">
        <f ca="1">('TUSD BE'!$AM$11+'TUSD BF'!$AM$11+'TUSD CVA'!$AM$11)*1</f>
        <v>1652.6258572524951</v>
      </c>
      <c r="AA66" s="6">
        <f>('TE BE'!$AB$5+'TE BF'!$AB$5+'TE CVA'!$AB$5)*1</f>
        <v>251.92449556687748</v>
      </c>
      <c r="AB66" s="6">
        <f>$K$66*$V$66</f>
        <v>0</v>
      </c>
      <c r="AC66" s="6">
        <f>$M$66*$W$66</f>
        <v>2763.2163199999995</v>
      </c>
      <c r="AD66" s="6">
        <f>$O$66*$X$66</f>
        <v>475.68691999999999</v>
      </c>
      <c r="AE66" s="6">
        <f>$K$66*$Y$66</f>
        <v>0</v>
      </c>
      <c r="AF66" s="6">
        <f ca="1">$M$66*$Z$66</f>
        <v>3116.8523667782056</v>
      </c>
      <c r="AG66" s="6">
        <f>$O$66*$AA$66</f>
        <v>475.1295986391309</v>
      </c>
    </row>
    <row r="67" spans="1:33" ht="11.25" customHeight="1" x14ac:dyDescent="0.25">
      <c r="A67" s="4" t="s">
        <v>21</v>
      </c>
      <c r="B67" s="4" t="s">
        <v>35</v>
      </c>
      <c r="C67" s="4" t="s">
        <v>36</v>
      </c>
      <c r="D67" s="4" t="s">
        <v>39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44531</v>
      </c>
      <c r="J67" s="6">
        <v>0</v>
      </c>
      <c r="K67" s="6">
        <v>0</v>
      </c>
      <c r="L67" s="6">
        <v>16.204000000000001</v>
      </c>
      <c r="M67" s="6">
        <v>16.204000000000001</v>
      </c>
      <c r="N67" s="6">
        <v>16.204000000000001</v>
      </c>
      <c r="O67" s="6">
        <v>16.204000000000001</v>
      </c>
      <c r="P67" s="6">
        <v>0</v>
      </c>
      <c r="Q67" s="4" t="s">
        <v>26</v>
      </c>
      <c r="R67" s="4">
        <v>0</v>
      </c>
      <c r="S67" s="6">
        <v>0</v>
      </c>
      <c r="T67" s="6">
        <v>7</v>
      </c>
      <c r="U67" s="6">
        <v>41</v>
      </c>
      <c r="V67" s="6">
        <f>IF(ISERROR(VLOOKUP($S$67,'TAR FIN'!$A$1:$O$88,15,0)),0,VLOOKUP($S$67,'TAR FIN'!$A$1:$O$88,15,0))</f>
        <v>0</v>
      </c>
      <c r="W67" s="6">
        <f>IF(ISERROR(VLOOKUP($T$67,'TAR FIN'!$A$1:$O$88,15,0)),0,VLOOKUP($T$67,'TAR FIN'!$A$1:$O$88,15,0))</f>
        <v>1465.12</v>
      </c>
      <c r="X67" s="6">
        <f>IF(ISERROR(VLOOKUP($U$67,'TAR FIN'!$A$1:$O$88,15,0)),0,VLOOKUP($U$67,'TAR FIN'!$A$1:$O$88,15,0))</f>
        <v>252.22</v>
      </c>
      <c r="Y67" s="6"/>
      <c r="Z67" s="6">
        <f ca="1">('TUSD BE'!$AM$11+'TUSD BF'!$AM$11+'TUSD CVA'!$AM$11)*1</f>
        <v>1652.6258572524951</v>
      </c>
      <c r="AA67" s="6">
        <f>('TE BE'!$AB$5+'TE BF'!$AB$5+'TE CVA'!$AB$5)*1</f>
        <v>251.92449556687748</v>
      </c>
      <c r="AB67" s="6">
        <f>$K$67*$V$67</f>
        <v>0</v>
      </c>
      <c r="AC67" s="6">
        <f>$M$67*$W$67</f>
        <v>23740.804479999999</v>
      </c>
      <c r="AD67" s="6">
        <f>$O$67*$X$67</f>
        <v>4086.9728800000003</v>
      </c>
      <c r="AE67" s="6">
        <f>$K$67*$Y$67</f>
        <v>0</v>
      </c>
      <c r="AF67" s="6">
        <f ca="1">$M$67*$Z$67</f>
        <v>26779.149390919432</v>
      </c>
      <c r="AG67" s="6">
        <f>$O$67*$AA$67</f>
        <v>4082.1845261656827</v>
      </c>
    </row>
    <row r="68" spans="1:33" ht="11.25" customHeight="1" x14ac:dyDescent="0.25">
      <c r="A68" s="4" t="s">
        <v>21</v>
      </c>
      <c r="B68" s="4" t="s">
        <v>35</v>
      </c>
      <c r="C68" s="4" t="s">
        <v>36</v>
      </c>
      <c r="D68" s="4" t="s">
        <v>39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44562</v>
      </c>
      <c r="J68" s="6">
        <v>0</v>
      </c>
      <c r="K68" s="6">
        <v>0</v>
      </c>
      <c r="L68" s="6">
        <v>12.834</v>
      </c>
      <c r="M68" s="6">
        <v>12.834</v>
      </c>
      <c r="N68" s="6">
        <v>12.834</v>
      </c>
      <c r="O68" s="6">
        <v>12.834</v>
      </c>
      <c r="P68" s="6">
        <v>0</v>
      </c>
      <c r="Q68" s="4" t="s">
        <v>26</v>
      </c>
      <c r="R68" s="4">
        <v>0</v>
      </c>
      <c r="S68" s="6">
        <v>0</v>
      </c>
      <c r="T68" s="6">
        <v>7</v>
      </c>
      <c r="U68" s="6">
        <v>41</v>
      </c>
      <c r="V68" s="6">
        <f>IF(ISERROR(VLOOKUP($S$68,'TAR FIN'!$A$1:$O$88,15,0)),0,VLOOKUP($S$68,'TAR FIN'!$A$1:$O$88,15,0))</f>
        <v>0</v>
      </c>
      <c r="W68" s="6">
        <f>IF(ISERROR(VLOOKUP($T$68,'TAR FIN'!$A$1:$O$88,15,0)),0,VLOOKUP($T$68,'TAR FIN'!$A$1:$O$88,15,0))</f>
        <v>1465.12</v>
      </c>
      <c r="X68" s="6">
        <f>IF(ISERROR(VLOOKUP($U$68,'TAR FIN'!$A$1:$O$88,15,0)),0,VLOOKUP($U$68,'TAR FIN'!$A$1:$O$88,15,0))</f>
        <v>252.22</v>
      </c>
      <c r="Y68" s="6"/>
      <c r="Z68" s="6">
        <f ca="1">('TUSD BE'!$AM$11+'TUSD BF'!$AM$11+'TUSD CVA'!$AM$11)*1</f>
        <v>1652.6258572524951</v>
      </c>
      <c r="AA68" s="6">
        <f>('TE BE'!$AB$5+'TE BF'!$AB$5+'TE CVA'!$AB$5)*1</f>
        <v>251.92449556687748</v>
      </c>
      <c r="AB68" s="6">
        <f>$K$68*$V$68</f>
        <v>0</v>
      </c>
      <c r="AC68" s="6">
        <f>$M$68*$W$68</f>
        <v>18803.350079999997</v>
      </c>
      <c r="AD68" s="6">
        <f>$O$68*$X$68</f>
        <v>3236.9914799999997</v>
      </c>
      <c r="AE68" s="6">
        <f>$K$68*$Y$68</f>
        <v>0</v>
      </c>
      <c r="AF68" s="6">
        <f ca="1">$M$68*$Z$68</f>
        <v>21209.800251978522</v>
      </c>
      <c r="AG68" s="6">
        <f>$O$68*$AA$68</f>
        <v>3233.1989761053055</v>
      </c>
    </row>
    <row r="69" spans="1:33" ht="11.25" customHeight="1" x14ac:dyDescent="0.25">
      <c r="A69" s="4" t="s">
        <v>28</v>
      </c>
      <c r="B69" s="4" t="s">
        <v>35</v>
      </c>
      <c r="C69" s="4" t="s">
        <v>36</v>
      </c>
      <c r="D69" s="4" t="s">
        <v>39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44562</v>
      </c>
      <c r="J69" s="6">
        <v>0</v>
      </c>
      <c r="K69" s="6">
        <v>0</v>
      </c>
      <c r="L69" s="6">
        <v>1.218</v>
      </c>
      <c r="M69" s="6">
        <v>1.218</v>
      </c>
      <c r="N69" s="6">
        <v>1.218</v>
      </c>
      <c r="O69" s="6">
        <v>1.218</v>
      </c>
      <c r="P69" s="6">
        <v>0</v>
      </c>
      <c r="Q69" s="4" t="s">
        <v>26</v>
      </c>
      <c r="R69" s="4">
        <v>0</v>
      </c>
      <c r="S69" s="6">
        <v>0</v>
      </c>
      <c r="T69" s="6">
        <v>7</v>
      </c>
      <c r="U69" s="6">
        <v>41</v>
      </c>
      <c r="V69" s="6">
        <f>IF(ISERROR(VLOOKUP($S$69,'TAR FIN'!$A$1:$O$88,15,0)),0,VLOOKUP($S$69,'TAR FIN'!$A$1:$O$88,15,0))</f>
        <v>0</v>
      </c>
      <c r="W69" s="6">
        <f>IF(ISERROR(VLOOKUP($T$69,'TAR FIN'!$A$1:$O$88,15,0)),0,VLOOKUP($T$69,'TAR FIN'!$A$1:$O$88,15,0))</f>
        <v>1465.12</v>
      </c>
      <c r="X69" s="6">
        <f>IF(ISERROR(VLOOKUP($U$69,'TAR FIN'!$A$1:$O$88,15,0)),0,VLOOKUP($U$69,'TAR FIN'!$A$1:$O$88,15,0))</f>
        <v>252.22</v>
      </c>
      <c r="Y69" s="6"/>
      <c r="Z69" s="6">
        <f ca="1">('TUSD BE'!$AM$11+'TUSD BF'!$AM$11+'TUSD CVA'!$AM$11)*1</f>
        <v>1652.6258572524951</v>
      </c>
      <c r="AA69" s="6">
        <f>('TE BE'!$AB$5+'TE BF'!$AB$5+'TE CVA'!$AB$5)*1</f>
        <v>251.92449556687748</v>
      </c>
      <c r="AB69" s="6">
        <f>$K$69*$V$69</f>
        <v>0</v>
      </c>
      <c r="AC69" s="6">
        <f>$M$69*$W$69</f>
        <v>1784.5161599999999</v>
      </c>
      <c r="AD69" s="6">
        <f>$O$69*$X$69</f>
        <v>307.20396</v>
      </c>
      <c r="AE69" s="6">
        <f>$K$69*$Y$69</f>
        <v>0</v>
      </c>
      <c r="AF69" s="6">
        <f ca="1">$M$69*$Z$69</f>
        <v>2012.8982941335389</v>
      </c>
      <c r="AG69" s="6">
        <f>$O$69*$AA$69</f>
        <v>306.84403560045678</v>
      </c>
    </row>
    <row r="70" spans="1:33" ht="11.25" customHeight="1" x14ac:dyDescent="0.25">
      <c r="A70" s="4" t="s">
        <v>21</v>
      </c>
      <c r="B70" s="4" t="s">
        <v>35</v>
      </c>
      <c r="C70" s="4" t="s">
        <v>36</v>
      </c>
      <c r="D70" s="4" t="s">
        <v>39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44593</v>
      </c>
      <c r="J70" s="6">
        <v>0</v>
      </c>
      <c r="K70" s="6">
        <v>0</v>
      </c>
      <c r="L70" s="6">
        <v>12.782999999999999</v>
      </c>
      <c r="M70" s="6">
        <v>12.782999999999999</v>
      </c>
      <c r="N70" s="6">
        <v>12.782999999999999</v>
      </c>
      <c r="O70" s="6">
        <v>12.782999999999999</v>
      </c>
      <c r="P70" s="6">
        <v>0</v>
      </c>
      <c r="Q70" s="4" t="s">
        <v>26</v>
      </c>
      <c r="R70" s="4">
        <v>0</v>
      </c>
      <c r="S70" s="6">
        <v>0</v>
      </c>
      <c r="T70" s="6">
        <v>7</v>
      </c>
      <c r="U70" s="6">
        <v>41</v>
      </c>
      <c r="V70" s="6">
        <f>IF(ISERROR(VLOOKUP($S$70,'TAR FIN'!$A$1:$O$88,15,0)),0,VLOOKUP($S$70,'TAR FIN'!$A$1:$O$88,15,0))</f>
        <v>0</v>
      </c>
      <c r="W70" s="6">
        <f>IF(ISERROR(VLOOKUP($T$70,'TAR FIN'!$A$1:$O$88,15,0)),0,VLOOKUP($T$70,'TAR FIN'!$A$1:$O$88,15,0))</f>
        <v>1465.12</v>
      </c>
      <c r="X70" s="6">
        <f>IF(ISERROR(VLOOKUP($U$70,'TAR FIN'!$A$1:$O$88,15,0)),0,VLOOKUP($U$70,'TAR FIN'!$A$1:$O$88,15,0))</f>
        <v>252.22</v>
      </c>
      <c r="Y70" s="6"/>
      <c r="Z70" s="6">
        <f ca="1">('TUSD BE'!$AM$11+'TUSD BF'!$AM$11+'TUSD CVA'!$AM$11)*1</f>
        <v>1652.6258572524951</v>
      </c>
      <c r="AA70" s="6">
        <f>('TE BE'!$AB$5+'TE BF'!$AB$5+'TE CVA'!$AB$5)*1</f>
        <v>251.92449556687748</v>
      </c>
      <c r="AB70" s="6">
        <f>$K$70*$V$70</f>
        <v>0</v>
      </c>
      <c r="AC70" s="6">
        <f>$M$70*$W$70</f>
        <v>18728.628959999998</v>
      </c>
      <c r="AD70" s="6">
        <f>$O$70*$X$70</f>
        <v>3224.12826</v>
      </c>
      <c r="AE70" s="6">
        <f>$K$70*$Y$70</f>
        <v>0</v>
      </c>
      <c r="AF70" s="6">
        <f ca="1">$M$70*$Z$70</f>
        <v>21125.516333258642</v>
      </c>
      <c r="AG70" s="6">
        <f>$O$70*$AA$70</f>
        <v>3220.3508268313949</v>
      </c>
    </row>
    <row r="71" spans="1:33" ht="11.25" customHeight="1" x14ac:dyDescent="0.25">
      <c r="A71" s="4" t="s">
        <v>28</v>
      </c>
      <c r="B71" s="4" t="s">
        <v>35</v>
      </c>
      <c r="C71" s="4" t="s">
        <v>36</v>
      </c>
      <c r="D71" s="4" t="s">
        <v>39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44593</v>
      </c>
      <c r="J71" s="6">
        <v>0</v>
      </c>
      <c r="K71" s="6">
        <v>0</v>
      </c>
      <c r="L71" s="6">
        <v>1.1479999999999999</v>
      </c>
      <c r="M71" s="6">
        <v>1.1479999999999999</v>
      </c>
      <c r="N71" s="6">
        <v>1.1479999999999999</v>
      </c>
      <c r="O71" s="6">
        <v>1.1479999999999999</v>
      </c>
      <c r="P71" s="6">
        <v>0</v>
      </c>
      <c r="Q71" s="4" t="s">
        <v>26</v>
      </c>
      <c r="R71" s="4">
        <v>0</v>
      </c>
      <c r="S71" s="6">
        <v>0</v>
      </c>
      <c r="T71" s="6">
        <v>7</v>
      </c>
      <c r="U71" s="6">
        <v>41</v>
      </c>
      <c r="V71" s="6">
        <f>IF(ISERROR(VLOOKUP($S$71,'TAR FIN'!$A$1:$O$88,15,0)),0,VLOOKUP($S$71,'TAR FIN'!$A$1:$O$88,15,0))</f>
        <v>0</v>
      </c>
      <c r="W71" s="6">
        <f>IF(ISERROR(VLOOKUP($T$71,'TAR FIN'!$A$1:$O$88,15,0)),0,VLOOKUP($T$71,'TAR FIN'!$A$1:$O$88,15,0))</f>
        <v>1465.12</v>
      </c>
      <c r="X71" s="6">
        <f>IF(ISERROR(VLOOKUP($U$71,'TAR FIN'!$A$1:$O$88,15,0)),0,VLOOKUP($U$71,'TAR FIN'!$A$1:$O$88,15,0))</f>
        <v>252.22</v>
      </c>
      <c r="Y71" s="6"/>
      <c r="Z71" s="6">
        <f ca="1">('TUSD BE'!$AM$11+'TUSD BF'!$AM$11+'TUSD CVA'!$AM$11)*1</f>
        <v>1652.6258572524951</v>
      </c>
      <c r="AA71" s="6">
        <f>('TE BE'!$AB$5+'TE BF'!$AB$5+'TE CVA'!$AB$5)*1</f>
        <v>251.92449556687748</v>
      </c>
      <c r="AB71" s="6">
        <f>$K$71*$V$71</f>
        <v>0</v>
      </c>
      <c r="AC71" s="6">
        <f>$M$71*$W$71</f>
        <v>1681.9577599999998</v>
      </c>
      <c r="AD71" s="6">
        <f>$O$71*$X$71</f>
        <v>289.54855999999995</v>
      </c>
      <c r="AE71" s="6">
        <f>$K$71*$Y$71</f>
        <v>0</v>
      </c>
      <c r="AF71" s="6">
        <f ca="1">$M$71*$Z$71</f>
        <v>1897.2144841258641</v>
      </c>
      <c r="AG71" s="6">
        <f>$O$71*$AA$71</f>
        <v>289.20932091077532</v>
      </c>
    </row>
    <row r="72" spans="1:33" ht="11.25" customHeight="1" x14ac:dyDescent="0.25">
      <c r="A72" s="4" t="s">
        <v>21</v>
      </c>
      <c r="B72" s="4" t="s">
        <v>35</v>
      </c>
      <c r="C72" s="4" t="s">
        <v>36</v>
      </c>
      <c r="D72" s="4" t="s">
        <v>39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44621</v>
      </c>
      <c r="J72" s="6">
        <v>0</v>
      </c>
      <c r="K72" s="6">
        <v>0</v>
      </c>
      <c r="L72" s="6">
        <v>9.1430000000000007</v>
      </c>
      <c r="M72" s="6">
        <v>9.1430000000000007</v>
      </c>
      <c r="N72" s="6">
        <v>9.1430000000000007</v>
      </c>
      <c r="O72" s="6">
        <v>9.1430000000000007</v>
      </c>
      <c r="P72" s="6">
        <v>0</v>
      </c>
      <c r="Q72" s="4" t="s">
        <v>26</v>
      </c>
      <c r="R72" s="4">
        <v>0</v>
      </c>
      <c r="S72" s="6">
        <v>0</v>
      </c>
      <c r="T72" s="6">
        <v>7</v>
      </c>
      <c r="U72" s="6">
        <v>41</v>
      </c>
      <c r="V72" s="6">
        <f>IF(ISERROR(VLOOKUP($S$72,'TAR FIN'!$A$1:$O$88,15,0)),0,VLOOKUP($S$72,'TAR FIN'!$A$1:$O$88,15,0))</f>
        <v>0</v>
      </c>
      <c r="W72" s="6">
        <f>IF(ISERROR(VLOOKUP($T$72,'TAR FIN'!$A$1:$O$88,15,0)),0,VLOOKUP($T$72,'TAR FIN'!$A$1:$O$88,15,0))</f>
        <v>1465.12</v>
      </c>
      <c r="X72" s="6">
        <f>IF(ISERROR(VLOOKUP($U$72,'TAR FIN'!$A$1:$O$88,15,0)),0,VLOOKUP($U$72,'TAR FIN'!$A$1:$O$88,15,0))</f>
        <v>252.22</v>
      </c>
      <c r="Y72" s="6"/>
      <c r="Z72" s="6">
        <f ca="1">('TUSD BE'!$AM$11+'TUSD BF'!$AM$11+'TUSD CVA'!$AM$11)*1</f>
        <v>1652.6258572524951</v>
      </c>
      <c r="AA72" s="6">
        <f>('TE BE'!$AB$5+'TE BF'!$AB$5+'TE CVA'!$AB$5)*1</f>
        <v>251.92449556687748</v>
      </c>
      <c r="AB72" s="6">
        <f>$K$72*$V$72</f>
        <v>0</v>
      </c>
      <c r="AC72" s="6">
        <f>$M$72*$W$72</f>
        <v>13395.59216</v>
      </c>
      <c r="AD72" s="6">
        <f>$O$72*$X$72</f>
        <v>2306.0474600000002</v>
      </c>
      <c r="AE72" s="6">
        <f>$K$72*$Y$72</f>
        <v>0</v>
      </c>
      <c r="AF72" s="6">
        <f ca="1">$M$72*$Z$72</f>
        <v>15109.958212859563</v>
      </c>
      <c r="AG72" s="6">
        <f>$O$72*$AA$72</f>
        <v>2303.3456629679608</v>
      </c>
    </row>
    <row r="73" spans="1:33" ht="11.25" customHeight="1" x14ac:dyDescent="0.25">
      <c r="A73" s="4" t="s">
        <v>28</v>
      </c>
      <c r="B73" s="4" t="s">
        <v>35</v>
      </c>
      <c r="C73" s="4" t="s">
        <v>36</v>
      </c>
      <c r="D73" s="4" t="s">
        <v>39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44621</v>
      </c>
      <c r="J73" s="6">
        <v>0</v>
      </c>
      <c r="K73" s="6">
        <v>0</v>
      </c>
      <c r="L73" s="6">
        <v>0.65600000000000003</v>
      </c>
      <c r="M73" s="6">
        <v>0.65600000000000003</v>
      </c>
      <c r="N73" s="6">
        <v>0.65600000000000003</v>
      </c>
      <c r="O73" s="6">
        <v>0.65600000000000003</v>
      </c>
      <c r="P73" s="6">
        <v>0</v>
      </c>
      <c r="Q73" s="4" t="s">
        <v>26</v>
      </c>
      <c r="R73" s="4">
        <v>0</v>
      </c>
      <c r="S73" s="6">
        <v>0</v>
      </c>
      <c r="T73" s="6">
        <v>7</v>
      </c>
      <c r="U73" s="6">
        <v>41</v>
      </c>
      <c r="V73" s="6">
        <f>IF(ISERROR(VLOOKUP($S$73,'TAR FIN'!$A$1:$O$88,15,0)),0,VLOOKUP($S$73,'TAR FIN'!$A$1:$O$88,15,0))</f>
        <v>0</v>
      </c>
      <c r="W73" s="6">
        <f>IF(ISERROR(VLOOKUP($T$73,'TAR FIN'!$A$1:$O$88,15,0)),0,VLOOKUP($T$73,'TAR FIN'!$A$1:$O$88,15,0))</f>
        <v>1465.12</v>
      </c>
      <c r="X73" s="6">
        <f>IF(ISERROR(VLOOKUP($U$73,'TAR FIN'!$A$1:$O$88,15,0)),0,VLOOKUP($U$73,'TAR FIN'!$A$1:$O$88,15,0))</f>
        <v>252.22</v>
      </c>
      <c r="Y73" s="6"/>
      <c r="Z73" s="6">
        <f ca="1">('TUSD BE'!$AM$11+'TUSD BF'!$AM$11+'TUSD CVA'!$AM$11)*1</f>
        <v>1652.6258572524951</v>
      </c>
      <c r="AA73" s="6">
        <f>('TE BE'!$AB$5+'TE BF'!$AB$5+'TE CVA'!$AB$5)*1</f>
        <v>251.92449556687748</v>
      </c>
      <c r="AB73" s="6">
        <f>$K$73*$V$73</f>
        <v>0</v>
      </c>
      <c r="AC73" s="6">
        <f>$M$73*$W$73</f>
        <v>961.11871999999994</v>
      </c>
      <c r="AD73" s="6">
        <f>$O$73*$X$73</f>
        <v>165.45632000000001</v>
      </c>
      <c r="AE73" s="6">
        <f>$K$73*$Y$73</f>
        <v>0</v>
      </c>
      <c r="AF73" s="6">
        <f ca="1">$M$73*$Z$73</f>
        <v>1084.1225623576368</v>
      </c>
      <c r="AG73" s="6">
        <f>$O$73*$AA$73</f>
        <v>165.26246909187162</v>
      </c>
    </row>
    <row r="74" spans="1:33" ht="11.25" customHeight="1" x14ac:dyDescent="0.25">
      <c r="A74" s="4" t="s">
        <v>21</v>
      </c>
      <c r="B74" s="4" t="s">
        <v>35</v>
      </c>
      <c r="C74" s="4" t="s">
        <v>36</v>
      </c>
      <c r="D74" s="4" t="s">
        <v>39</v>
      </c>
      <c r="E74" s="4" t="s">
        <v>25</v>
      </c>
      <c r="F74" s="4" t="s">
        <v>25</v>
      </c>
      <c r="G74" s="4" t="s">
        <v>25</v>
      </c>
      <c r="H74" s="4" t="s">
        <v>37</v>
      </c>
      <c r="I74" s="5">
        <v>44652</v>
      </c>
      <c r="J74" s="6">
        <v>0</v>
      </c>
      <c r="K74" s="6">
        <v>0</v>
      </c>
      <c r="L74" s="6">
        <v>32.179000000000002</v>
      </c>
      <c r="M74" s="6">
        <v>32.179000000000002</v>
      </c>
      <c r="N74" s="6">
        <v>32.179000000000002</v>
      </c>
      <c r="O74" s="6">
        <v>32.179000000000002</v>
      </c>
      <c r="P74" s="6">
        <v>0</v>
      </c>
      <c r="Q74" s="4" t="s">
        <v>26</v>
      </c>
      <c r="R74" s="4">
        <v>0</v>
      </c>
      <c r="S74" s="6">
        <v>0</v>
      </c>
      <c r="T74" s="6">
        <v>7</v>
      </c>
      <c r="U74" s="6">
        <v>41</v>
      </c>
      <c r="V74" s="6">
        <f>IF(ISERROR(VLOOKUP($S$74,'TAR FIN'!$A$1:$O$88,15,0)),0,VLOOKUP($S$74,'TAR FIN'!$A$1:$O$88,15,0))</f>
        <v>0</v>
      </c>
      <c r="W74" s="6">
        <f>IF(ISERROR(VLOOKUP($T$74,'TAR FIN'!$A$1:$O$88,15,0)),0,VLOOKUP($T$74,'TAR FIN'!$A$1:$O$88,15,0))</f>
        <v>1465.12</v>
      </c>
      <c r="X74" s="6">
        <f>IF(ISERROR(VLOOKUP($U$74,'TAR FIN'!$A$1:$O$88,15,0)),0,VLOOKUP($U$74,'TAR FIN'!$A$1:$O$88,15,0))</f>
        <v>252.22</v>
      </c>
      <c r="Y74" s="6"/>
      <c r="Z74" s="6">
        <f ca="1">('TUSD BE'!$AM$11+'TUSD BF'!$AM$11+'TUSD CVA'!$AM$11)*1</f>
        <v>1652.6258572524951</v>
      </c>
      <c r="AA74" s="6">
        <f>('TE BE'!$AB$5+'TE BF'!$AB$5+'TE CVA'!$AB$5)*1</f>
        <v>251.92449556687748</v>
      </c>
      <c r="AB74" s="6">
        <f>$K$74*$V$74</f>
        <v>0</v>
      </c>
      <c r="AC74" s="6">
        <f>$M$74*$W$74</f>
        <v>47146.09648</v>
      </c>
      <c r="AD74" s="6">
        <f>$O$74*$X$74</f>
        <v>8116.1873800000003</v>
      </c>
      <c r="AE74" s="6">
        <f>$K$74*$Y$74</f>
        <v>0</v>
      </c>
      <c r="AF74" s="6">
        <f ca="1">$M$74*$Z$74</f>
        <v>53179.847460528043</v>
      </c>
      <c r="AG74" s="6">
        <f>$O$74*$AA$74</f>
        <v>8106.6783428465515</v>
      </c>
    </row>
    <row r="75" spans="1:33" ht="11.25" customHeight="1" x14ac:dyDescent="0.25">
      <c r="A75" s="4" t="s">
        <v>28</v>
      </c>
      <c r="B75" s="4" t="s">
        <v>35</v>
      </c>
      <c r="C75" s="4" t="s">
        <v>36</v>
      </c>
      <c r="D75" s="4" t="s">
        <v>39</v>
      </c>
      <c r="E75" s="4" t="s">
        <v>25</v>
      </c>
      <c r="F75" s="4" t="s">
        <v>25</v>
      </c>
      <c r="G75" s="4" t="s">
        <v>25</v>
      </c>
      <c r="H75" s="4" t="s">
        <v>37</v>
      </c>
      <c r="I75" s="5">
        <v>44652</v>
      </c>
      <c r="J75" s="6">
        <v>0</v>
      </c>
      <c r="K75" s="6">
        <v>0</v>
      </c>
      <c r="L75" s="6">
        <v>4.4279999999999999</v>
      </c>
      <c r="M75" s="6">
        <v>4.4279999999999999</v>
      </c>
      <c r="N75" s="6">
        <v>4.4279999999999999</v>
      </c>
      <c r="O75" s="6">
        <v>4.4279999999999999</v>
      </c>
      <c r="P75" s="6">
        <v>0</v>
      </c>
      <c r="Q75" s="4" t="s">
        <v>26</v>
      </c>
      <c r="R75" s="4">
        <v>0</v>
      </c>
      <c r="S75" s="6">
        <v>0</v>
      </c>
      <c r="T75" s="6">
        <v>7</v>
      </c>
      <c r="U75" s="6">
        <v>41</v>
      </c>
      <c r="V75" s="6">
        <f>IF(ISERROR(VLOOKUP($S$75,'TAR FIN'!$A$1:$O$88,15,0)),0,VLOOKUP($S$75,'TAR FIN'!$A$1:$O$88,15,0))</f>
        <v>0</v>
      </c>
      <c r="W75" s="6">
        <f>IF(ISERROR(VLOOKUP($T$75,'TAR FIN'!$A$1:$O$88,15,0)),0,VLOOKUP($T$75,'TAR FIN'!$A$1:$O$88,15,0))</f>
        <v>1465.12</v>
      </c>
      <c r="X75" s="6">
        <f>IF(ISERROR(VLOOKUP($U$75,'TAR FIN'!$A$1:$O$88,15,0)),0,VLOOKUP($U$75,'TAR FIN'!$A$1:$O$88,15,0))</f>
        <v>252.22</v>
      </c>
      <c r="Y75" s="6"/>
      <c r="Z75" s="6">
        <f ca="1">('TUSD BE'!$AM$11+'TUSD BF'!$AM$11+'TUSD CVA'!$AM$11)*1</f>
        <v>1652.6258572524951</v>
      </c>
      <c r="AA75" s="6">
        <f>('TE BE'!$AB$5+'TE BF'!$AB$5+'TE CVA'!$AB$5)*1</f>
        <v>251.92449556687748</v>
      </c>
      <c r="AB75" s="6">
        <f>$K$75*$V$75</f>
        <v>0</v>
      </c>
      <c r="AC75" s="6">
        <f>$M$75*$W$75</f>
        <v>6487.5513599999995</v>
      </c>
      <c r="AD75" s="6">
        <f>$O$75*$X$75</f>
        <v>1116.83016</v>
      </c>
      <c r="AE75" s="6">
        <f>$K$75*$Y$75</f>
        <v>0</v>
      </c>
      <c r="AF75" s="6">
        <f ca="1">$M$75*$Z$75</f>
        <v>7317.8272959140477</v>
      </c>
      <c r="AG75" s="6">
        <f>$O$75*$AA$75</f>
        <v>1115.5216663701335</v>
      </c>
    </row>
    <row r="76" spans="1:33" ht="11.25" customHeight="1" x14ac:dyDescent="0.25">
      <c r="A76" s="4" t="s">
        <v>21</v>
      </c>
      <c r="B76" s="4" t="s">
        <v>35</v>
      </c>
      <c r="C76" s="4" t="s">
        <v>36</v>
      </c>
      <c r="D76" s="4" t="s">
        <v>39</v>
      </c>
      <c r="E76" s="4" t="s">
        <v>25</v>
      </c>
      <c r="F76" s="4" t="s">
        <v>25</v>
      </c>
      <c r="G76" s="4" t="s">
        <v>25</v>
      </c>
      <c r="H76" s="4" t="s">
        <v>37</v>
      </c>
      <c r="I76" s="5">
        <v>44682</v>
      </c>
      <c r="J76" s="6">
        <v>0</v>
      </c>
      <c r="K76" s="6">
        <v>0</v>
      </c>
      <c r="L76" s="6">
        <v>37.75</v>
      </c>
      <c r="M76" s="6">
        <v>37.75</v>
      </c>
      <c r="N76" s="6">
        <v>37.75</v>
      </c>
      <c r="O76" s="6">
        <v>37.75</v>
      </c>
      <c r="P76" s="6">
        <v>0</v>
      </c>
      <c r="Q76" s="4" t="s">
        <v>26</v>
      </c>
      <c r="R76" s="4">
        <v>0</v>
      </c>
      <c r="S76" s="6">
        <v>0</v>
      </c>
      <c r="T76" s="6">
        <v>7</v>
      </c>
      <c r="U76" s="6">
        <v>41</v>
      </c>
      <c r="V76" s="6">
        <f>IF(ISERROR(VLOOKUP($S$76,'TAR FIN'!$A$1:$O$88,15,0)),0,VLOOKUP($S$76,'TAR FIN'!$A$1:$O$88,15,0))</f>
        <v>0</v>
      </c>
      <c r="W76" s="6">
        <f>IF(ISERROR(VLOOKUP($T$76,'TAR FIN'!$A$1:$O$88,15,0)),0,VLOOKUP($T$76,'TAR FIN'!$A$1:$O$88,15,0))</f>
        <v>1465.12</v>
      </c>
      <c r="X76" s="6">
        <f>IF(ISERROR(VLOOKUP($U$76,'TAR FIN'!$A$1:$O$88,15,0)),0,VLOOKUP($U$76,'TAR FIN'!$A$1:$O$88,15,0))</f>
        <v>252.22</v>
      </c>
      <c r="Y76" s="6"/>
      <c r="Z76" s="6">
        <f ca="1">('TUSD BE'!$AM$11+'TUSD BF'!$AM$11+'TUSD CVA'!$AM$11)*1</f>
        <v>1652.6258572524951</v>
      </c>
      <c r="AA76" s="6">
        <f>('TE BE'!$AB$5+'TE BF'!$AB$5+'TE CVA'!$AB$5)*1</f>
        <v>251.92449556687748</v>
      </c>
      <c r="AB76" s="6">
        <f>$K$76*$V$76</f>
        <v>0</v>
      </c>
      <c r="AC76" s="6">
        <f>$M$76*$W$76</f>
        <v>55308.28</v>
      </c>
      <c r="AD76" s="6">
        <f>$O$76*$X$76</f>
        <v>9521.3050000000003</v>
      </c>
      <c r="AE76" s="6">
        <f>$K$76*$Y$76</f>
        <v>0</v>
      </c>
      <c r="AF76" s="6">
        <f ca="1">$M$76*$Z$76</f>
        <v>62386.626111281686</v>
      </c>
      <c r="AG76" s="6">
        <f>$O$76*$AA$76</f>
        <v>9510.1497076496253</v>
      </c>
    </row>
    <row r="77" spans="1:33" ht="11.25" customHeight="1" x14ac:dyDescent="0.25">
      <c r="A77" s="4" t="s">
        <v>28</v>
      </c>
      <c r="B77" s="4" t="s">
        <v>35</v>
      </c>
      <c r="C77" s="4" t="s">
        <v>36</v>
      </c>
      <c r="D77" s="4" t="s">
        <v>39</v>
      </c>
      <c r="E77" s="4" t="s">
        <v>25</v>
      </c>
      <c r="F77" s="4" t="s">
        <v>25</v>
      </c>
      <c r="G77" s="4" t="s">
        <v>25</v>
      </c>
      <c r="H77" s="4" t="s">
        <v>37</v>
      </c>
      <c r="I77" s="5">
        <v>44682</v>
      </c>
      <c r="J77" s="6">
        <v>0</v>
      </c>
      <c r="K77" s="6">
        <v>0</v>
      </c>
      <c r="L77" s="6">
        <v>6.29</v>
      </c>
      <c r="M77" s="6">
        <v>6.29</v>
      </c>
      <c r="N77" s="6">
        <v>6.29</v>
      </c>
      <c r="O77" s="6">
        <v>6.29</v>
      </c>
      <c r="P77" s="6">
        <v>0</v>
      </c>
      <c r="Q77" s="4" t="s">
        <v>26</v>
      </c>
      <c r="R77" s="4">
        <v>0</v>
      </c>
      <c r="S77" s="6">
        <v>0</v>
      </c>
      <c r="T77" s="6">
        <v>7</v>
      </c>
      <c r="U77" s="6">
        <v>41</v>
      </c>
      <c r="V77" s="6">
        <f>IF(ISERROR(VLOOKUP($S$77,'TAR FIN'!$A$1:$O$88,15,0)),0,VLOOKUP($S$77,'TAR FIN'!$A$1:$O$88,15,0))</f>
        <v>0</v>
      </c>
      <c r="W77" s="6">
        <f>IF(ISERROR(VLOOKUP($T$77,'TAR FIN'!$A$1:$O$88,15,0)),0,VLOOKUP($T$77,'TAR FIN'!$A$1:$O$88,15,0))</f>
        <v>1465.12</v>
      </c>
      <c r="X77" s="6">
        <f>IF(ISERROR(VLOOKUP($U$77,'TAR FIN'!$A$1:$O$88,15,0)),0,VLOOKUP($U$77,'TAR FIN'!$A$1:$O$88,15,0))</f>
        <v>252.22</v>
      </c>
      <c r="Y77" s="6"/>
      <c r="Z77" s="6">
        <f ca="1">('TUSD BE'!$AM$11+'TUSD BF'!$AM$11+'TUSD CVA'!$AM$11)*1</f>
        <v>1652.6258572524951</v>
      </c>
      <c r="AA77" s="6">
        <f>('TE BE'!$AB$5+'TE BF'!$AB$5+'TE CVA'!$AB$5)*1</f>
        <v>251.92449556687748</v>
      </c>
      <c r="AB77" s="6">
        <f>$K$77*$V$77</f>
        <v>0</v>
      </c>
      <c r="AC77" s="6">
        <f>$M$77*$W$77</f>
        <v>9215.6047999999992</v>
      </c>
      <c r="AD77" s="6">
        <f>$O$77*$X$77</f>
        <v>1586.4638</v>
      </c>
      <c r="AE77" s="6">
        <f>$K$77*$Y$77</f>
        <v>0</v>
      </c>
      <c r="AF77" s="6">
        <f ca="1">$M$77*$Z$77</f>
        <v>10395.016642118195</v>
      </c>
      <c r="AG77" s="6">
        <f>$O$77*$AA$77</f>
        <v>1584.6050771156595</v>
      </c>
    </row>
    <row r="78" spans="1:33" ht="11.25" customHeight="1" x14ac:dyDescent="0.25">
      <c r="A78" s="4" t="s">
        <v>21</v>
      </c>
      <c r="B78" s="4" t="s">
        <v>35</v>
      </c>
      <c r="C78" s="4" t="s">
        <v>36</v>
      </c>
      <c r="D78" s="4" t="s">
        <v>39</v>
      </c>
      <c r="E78" s="4" t="s">
        <v>25</v>
      </c>
      <c r="F78" s="4" t="s">
        <v>25</v>
      </c>
      <c r="G78" s="4" t="s">
        <v>25</v>
      </c>
      <c r="H78" s="4" t="s">
        <v>37</v>
      </c>
      <c r="I78" s="5">
        <v>44713</v>
      </c>
      <c r="J78" s="6">
        <v>0</v>
      </c>
      <c r="K78" s="6">
        <v>0</v>
      </c>
      <c r="L78" s="6">
        <v>19.905000000000001</v>
      </c>
      <c r="M78" s="6">
        <v>19.905000000000001</v>
      </c>
      <c r="N78" s="6">
        <v>19.905000000000001</v>
      </c>
      <c r="O78" s="6">
        <v>19.905000000000001</v>
      </c>
      <c r="P78" s="6">
        <v>0</v>
      </c>
      <c r="Q78" s="4" t="s">
        <v>26</v>
      </c>
      <c r="R78" s="4">
        <v>0</v>
      </c>
      <c r="S78" s="6">
        <v>0</v>
      </c>
      <c r="T78" s="6">
        <v>7</v>
      </c>
      <c r="U78" s="6">
        <v>41</v>
      </c>
      <c r="V78" s="6">
        <f>IF(ISERROR(VLOOKUP($S$78,'TAR FIN'!$A$1:$O$88,15,0)),0,VLOOKUP($S$78,'TAR FIN'!$A$1:$O$88,15,0))</f>
        <v>0</v>
      </c>
      <c r="W78" s="6">
        <f>IF(ISERROR(VLOOKUP($T$78,'TAR FIN'!$A$1:$O$88,15,0)),0,VLOOKUP($T$78,'TAR FIN'!$A$1:$O$88,15,0))</f>
        <v>1465.12</v>
      </c>
      <c r="X78" s="6">
        <f>IF(ISERROR(VLOOKUP($U$78,'TAR FIN'!$A$1:$O$88,15,0)),0,VLOOKUP($U$78,'TAR FIN'!$A$1:$O$88,15,0))</f>
        <v>252.22</v>
      </c>
      <c r="Y78" s="6"/>
      <c r="Z78" s="6">
        <f ca="1">('TUSD BE'!$AM$11+'TUSD BF'!$AM$11+'TUSD CVA'!$AM$11)*1</f>
        <v>1652.6258572524951</v>
      </c>
      <c r="AA78" s="6">
        <f>('TE BE'!$AB$5+'TE BF'!$AB$5+'TE CVA'!$AB$5)*1</f>
        <v>251.92449556687748</v>
      </c>
      <c r="AB78" s="6">
        <f>$K$78*$V$78</f>
        <v>0</v>
      </c>
      <c r="AC78" s="6">
        <f>$M$78*$W$78</f>
        <v>29163.213599999999</v>
      </c>
      <c r="AD78" s="6">
        <f>$O$78*$X$78</f>
        <v>5020.4391000000005</v>
      </c>
      <c r="AE78" s="6">
        <f>$K$78*$Y$78</f>
        <v>0</v>
      </c>
      <c r="AF78" s="6">
        <f ca="1">$M$78*$Z$78</f>
        <v>32895.517688610918</v>
      </c>
      <c r="AG78" s="6">
        <f>$O$78*$AA$78</f>
        <v>5014.5570842586967</v>
      </c>
    </row>
    <row r="79" spans="1:33" ht="11.25" customHeight="1" x14ac:dyDescent="0.25">
      <c r="A79" s="4" t="s">
        <v>28</v>
      </c>
      <c r="B79" s="4" t="s">
        <v>35</v>
      </c>
      <c r="C79" s="4" t="s">
        <v>36</v>
      </c>
      <c r="D79" s="4" t="s">
        <v>39</v>
      </c>
      <c r="E79" s="4" t="s">
        <v>25</v>
      </c>
      <c r="F79" s="4" t="s">
        <v>25</v>
      </c>
      <c r="G79" s="4" t="s">
        <v>25</v>
      </c>
      <c r="H79" s="4" t="s">
        <v>37</v>
      </c>
      <c r="I79" s="5">
        <v>44713</v>
      </c>
      <c r="J79" s="6">
        <v>0</v>
      </c>
      <c r="K79" s="6">
        <v>0</v>
      </c>
      <c r="L79" s="6">
        <v>3.4780000000000002</v>
      </c>
      <c r="M79" s="6">
        <v>3.4780000000000002</v>
      </c>
      <c r="N79" s="6">
        <v>3.4780000000000002</v>
      </c>
      <c r="O79" s="6">
        <v>3.4780000000000002</v>
      </c>
      <c r="P79" s="6">
        <v>0</v>
      </c>
      <c r="Q79" s="4" t="s">
        <v>26</v>
      </c>
      <c r="R79" s="4">
        <v>0</v>
      </c>
      <c r="S79" s="6">
        <v>0</v>
      </c>
      <c r="T79" s="6">
        <v>7</v>
      </c>
      <c r="U79" s="6">
        <v>41</v>
      </c>
      <c r="V79" s="6">
        <f>IF(ISERROR(VLOOKUP($S$79,'TAR FIN'!$A$1:$O$88,15,0)),0,VLOOKUP($S$79,'TAR FIN'!$A$1:$O$88,15,0))</f>
        <v>0</v>
      </c>
      <c r="W79" s="6">
        <f>IF(ISERROR(VLOOKUP($T$79,'TAR FIN'!$A$1:$O$88,15,0)),0,VLOOKUP($T$79,'TAR FIN'!$A$1:$O$88,15,0))</f>
        <v>1465.12</v>
      </c>
      <c r="X79" s="6">
        <f>IF(ISERROR(VLOOKUP($U$79,'TAR FIN'!$A$1:$O$88,15,0)),0,VLOOKUP($U$79,'TAR FIN'!$A$1:$O$88,15,0))</f>
        <v>252.22</v>
      </c>
      <c r="Y79" s="6"/>
      <c r="Z79" s="6">
        <f ca="1">('TUSD BE'!$AM$11+'TUSD BF'!$AM$11+'TUSD CVA'!$AM$11)*1</f>
        <v>1652.6258572524951</v>
      </c>
      <c r="AA79" s="6">
        <f>('TE BE'!$AB$5+'TE BF'!$AB$5+'TE CVA'!$AB$5)*1</f>
        <v>251.92449556687748</v>
      </c>
      <c r="AB79" s="6">
        <f>$K$79*$V$79</f>
        <v>0</v>
      </c>
      <c r="AC79" s="6">
        <f>$M$79*$W$79</f>
        <v>5095.6873599999999</v>
      </c>
      <c r="AD79" s="6">
        <f>$O$79*$X$79</f>
        <v>877.22116000000005</v>
      </c>
      <c r="AE79" s="6">
        <f>$K$79*$Y$79</f>
        <v>0</v>
      </c>
      <c r="AF79" s="6">
        <f ca="1">$M$79*$Z$79</f>
        <v>5747.8327315241777</v>
      </c>
      <c r="AG79" s="6">
        <f>$O$79*$AA$79</f>
        <v>876.19339558159993</v>
      </c>
    </row>
    <row r="80" spans="1:33" ht="11.25" customHeight="1" x14ac:dyDescent="0.25">
      <c r="A80" s="4" t="s">
        <v>21</v>
      </c>
      <c r="B80" s="4" t="s">
        <v>35</v>
      </c>
      <c r="C80" s="4" t="s">
        <v>36</v>
      </c>
      <c r="D80" s="4" t="s">
        <v>34</v>
      </c>
      <c r="E80" s="4" t="s">
        <v>25</v>
      </c>
      <c r="F80" s="4" t="s">
        <v>53</v>
      </c>
      <c r="G80" s="4" t="s">
        <v>25</v>
      </c>
      <c r="H80" s="4" t="s">
        <v>38</v>
      </c>
      <c r="I80" s="5">
        <v>44440</v>
      </c>
      <c r="J80" s="6">
        <v>0</v>
      </c>
      <c r="K80" s="6">
        <v>0</v>
      </c>
      <c r="L80" s="6">
        <v>4.87</v>
      </c>
      <c r="M80" s="6">
        <v>4.87</v>
      </c>
      <c r="N80" s="6">
        <v>0</v>
      </c>
      <c r="O80" s="6">
        <v>0</v>
      </c>
      <c r="P80" s="6">
        <v>0</v>
      </c>
      <c r="Q80" s="4" t="s">
        <v>54</v>
      </c>
      <c r="R80" s="4">
        <v>0</v>
      </c>
      <c r="S80" s="6">
        <v>0</v>
      </c>
      <c r="T80" s="6">
        <v>15</v>
      </c>
      <c r="U80" s="6">
        <v>0</v>
      </c>
      <c r="V80" s="6">
        <f>IF(ISERROR(VLOOKUP($S$80,'TAR FIN'!$A$1:$O$88,15,0)),0,VLOOKUP($S$80,'TAR FIN'!$A$1:$O$88,15,0))</f>
        <v>0</v>
      </c>
      <c r="W80" s="6">
        <f>IF(ISERROR(VLOOKUP($T$80,'TAR FIN'!$A$1:$O$88,15,0)),0,VLOOKUP($T$80,'TAR FIN'!$A$1:$O$88,15,0))</f>
        <v>79.319999999999993</v>
      </c>
      <c r="X80" s="6">
        <f>IF(ISERROR(VLOOKUP($U$80,'TAR FIN'!$A$1:$O$88,15,0)),0,VLOOKUP($U$80,'TAR FIN'!$A$1:$O$88,15,0))</f>
        <v>0</v>
      </c>
      <c r="Y80" s="6"/>
      <c r="Z80" s="6">
        <f ca="1">('TUSD BE'!$AM$12+'TUSD BF'!$AM$12+'TUSD CVA'!$AM$12)*1</f>
        <v>102.71637945274784</v>
      </c>
      <c r="AA80" s="6"/>
      <c r="AB80" s="6">
        <f>$K$80*$V$80</f>
        <v>0</v>
      </c>
      <c r="AC80" s="6">
        <f>$M$80*$W$80</f>
        <v>386.28839999999997</v>
      </c>
      <c r="AD80" s="6">
        <f>$O$80*$X$80</f>
        <v>0</v>
      </c>
      <c r="AE80" s="6">
        <f>$K$80*$Y$80</f>
        <v>0</v>
      </c>
      <c r="AF80" s="6">
        <f ca="1">$M$80*$Z$80</f>
        <v>500.228767934882</v>
      </c>
      <c r="AG80" s="6">
        <f>$O$80*$AA$80</f>
        <v>0</v>
      </c>
    </row>
    <row r="81" spans="1:33" ht="11.25" customHeight="1" x14ac:dyDescent="0.25">
      <c r="A81" s="4" t="s">
        <v>21</v>
      </c>
      <c r="B81" s="4" t="s">
        <v>35</v>
      </c>
      <c r="C81" s="4" t="s">
        <v>36</v>
      </c>
      <c r="D81" s="4" t="s">
        <v>34</v>
      </c>
      <c r="E81" s="4" t="s">
        <v>25</v>
      </c>
      <c r="F81" s="4" t="s">
        <v>53</v>
      </c>
      <c r="G81" s="4" t="s">
        <v>25</v>
      </c>
      <c r="H81" s="4" t="s">
        <v>38</v>
      </c>
      <c r="I81" s="5">
        <v>44470</v>
      </c>
      <c r="J81" s="6">
        <v>0</v>
      </c>
      <c r="K81" s="6">
        <v>0</v>
      </c>
      <c r="L81" s="6">
        <v>7.6310000000000002</v>
      </c>
      <c r="M81" s="6">
        <v>3.8155000000000001</v>
      </c>
      <c r="N81" s="6">
        <v>0</v>
      </c>
      <c r="O81" s="6">
        <v>0</v>
      </c>
      <c r="P81" s="6">
        <v>0</v>
      </c>
      <c r="Q81" s="4" t="s">
        <v>54</v>
      </c>
      <c r="R81" s="4">
        <v>0</v>
      </c>
      <c r="S81" s="6">
        <v>0</v>
      </c>
      <c r="T81" s="6">
        <v>15</v>
      </c>
      <c r="U81" s="6">
        <v>0</v>
      </c>
      <c r="V81" s="6">
        <f>IF(ISERROR(VLOOKUP($S$81,'TAR FIN'!$A$1:$O$88,15,0)),0,VLOOKUP($S$81,'TAR FIN'!$A$1:$O$88,15,0))</f>
        <v>0</v>
      </c>
      <c r="W81" s="6">
        <f>IF(ISERROR(VLOOKUP($T$81,'TAR FIN'!$A$1:$O$88,15,0)),0,VLOOKUP($T$81,'TAR FIN'!$A$1:$O$88,15,0))</f>
        <v>79.319999999999993</v>
      </c>
      <c r="X81" s="6">
        <f>IF(ISERROR(VLOOKUP($U$81,'TAR FIN'!$A$1:$O$88,15,0)),0,VLOOKUP($U$81,'TAR FIN'!$A$1:$O$88,15,0))</f>
        <v>0</v>
      </c>
      <c r="Y81" s="6"/>
      <c r="Z81" s="6">
        <f ca="1">('TUSD BE'!$AM$12+'TUSD BF'!$AM$12+'TUSD CVA'!$AM$12)*1</f>
        <v>102.71637945274784</v>
      </c>
      <c r="AA81" s="6"/>
      <c r="AB81" s="6">
        <f>$K$81*$V$81</f>
        <v>0</v>
      </c>
      <c r="AC81" s="6">
        <f>$M$81*$W$81</f>
        <v>302.64545999999996</v>
      </c>
      <c r="AD81" s="6">
        <f>$O$81*$X$81</f>
        <v>0</v>
      </c>
      <c r="AE81" s="6">
        <f>$K$81*$Y$81</f>
        <v>0</v>
      </c>
      <c r="AF81" s="6">
        <f ca="1">$M$81*$Z$81</f>
        <v>391.91434580195943</v>
      </c>
      <c r="AG81" s="6">
        <f>$O$81*$AA$81</f>
        <v>0</v>
      </c>
    </row>
    <row r="82" spans="1:33" ht="11.25" customHeight="1" x14ac:dyDescent="0.25">
      <c r="A82" s="4" t="s">
        <v>21</v>
      </c>
      <c r="B82" s="4" t="s">
        <v>35</v>
      </c>
      <c r="C82" s="4" t="s">
        <v>36</v>
      </c>
      <c r="D82" s="4" t="s">
        <v>34</v>
      </c>
      <c r="E82" s="4" t="s">
        <v>25</v>
      </c>
      <c r="F82" s="4" t="s">
        <v>53</v>
      </c>
      <c r="G82" s="4" t="s">
        <v>25</v>
      </c>
      <c r="H82" s="4" t="s">
        <v>38</v>
      </c>
      <c r="I82" s="5">
        <v>44501</v>
      </c>
      <c r="J82" s="6">
        <v>0</v>
      </c>
      <c r="K82" s="6">
        <v>0</v>
      </c>
      <c r="L82" s="6">
        <v>10.301</v>
      </c>
      <c r="M82" s="6">
        <v>10.301</v>
      </c>
      <c r="N82" s="6">
        <v>0</v>
      </c>
      <c r="O82" s="6">
        <v>0</v>
      </c>
      <c r="P82" s="6">
        <v>0</v>
      </c>
      <c r="Q82" s="4" t="s">
        <v>54</v>
      </c>
      <c r="R82" s="4">
        <v>0</v>
      </c>
      <c r="S82" s="6">
        <v>0</v>
      </c>
      <c r="T82" s="6">
        <v>15</v>
      </c>
      <c r="U82" s="6">
        <v>0</v>
      </c>
      <c r="V82" s="6">
        <f>IF(ISERROR(VLOOKUP($S$82,'TAR FIN'!$A$1:$O$88,15,0)),0,VLOOKUP($S$82,'TAR FIN'!$A$1:$O$88,15,0))</f>
        <v>0</v>
      </c>
      <c r="W82" s="6">
        <f>IF(ISERROR(VLOOKUP($T$82,'TAR FIN'!$A$1:$O$88,15,0)),0,VLOOKUP($T$82,'TAR FIN'!$A$1:$O$88,15,0))</f>
        <v>79.319999999999993</v>
      </c>
      <c r="X82" s="6">
        <f>IF(ISERROR(VLOOKUP($U$82,'TAR FIN'!$A$1:$O$88,15,0)),0,VLOOKUP($U$82,'TAR FIN'!$A$1:$O$88,15,0))</f>
        <v>0</v>
      </c>
      <c r="Y82" s="6"/>
      <c r="Z82" s="6">
        <f ca="1">('TUSD BE'!$AM$12+'TUSD BF'!$AM$12+'TUSD CVA'!$AM$12)*1</f>
        <v>102.71637945274784</v>
      </c>
      <c r="AA82" s="6"/>
      <c r="AB82" s="6">
        <f>$K$82*$V$82</f>
        <v>0</v>
      </c>
      <c r="AC82" s="6">
        <f>$M$82*$W$82</f>
        <v>817.07531999999992</v>
      </c>
      <c r="AD82" s="6">
        <f>$O$82*$X$82</f>
        <v>0</v>
      </c>
      <c r="AE82" s="6">
        <f>$K$82*$Y$82</f>
        <v>0</v>
      </c>
      <c r="AF82" s="6">
        <f ca="1">$M$82*$Z$82</f>
        <v>1058.0814247427556</v>
      </c>
      <c r="AG82" s="6">
        <f>$O$82*$AA$82</f>
        <v>0</v>
      </c>
    </row>
    <row r="83" spans="1:33" ht="11.25" customHeight="1" x14ac:dyDescent="0.25">
      <c r="A83" s="4" t="s">
        <v>21</v>
      </c>
      <c r="B83" s="4" t="s">
        <v>35</v>
      </c>
      <c r="C83" s="4" t="s">
        <v>36</v>
      </c>
      <c r="D83" s="4" t="s">
        <v>34</v>
      </c>
      <c r="E83" s="4" t="s">
        <v>25</v>
      </c>
      <c r="F83" s="4" t="s">
        <v>53</v>
      </c>
      <c r="G83" s="4" t="s">
        <v>25</v>
      </c>
      <c r="H83" s="4" t="s">
        <v>38</v>
      </c>
      <c r="I83" s="5">
        <v>44531</v>
      </c>
      <c r="J83" s="6">
        <v>0</v>
      </c>
      <c r="K83" s="6">
        <v>0</v>
      </c>
      <c r="L83" s="6">
        <v>19.350999999999999</v>
      </c>
      <c r="M83" s="6">
        <v>19.350999999999999</v>
      </c>
      <c r="N83" s="6">
        <v>0</v>
      </c>
      <c r="O83" s="6">
        <v>0</v>
      </c>
      <c r="P83" s="6">
        <v>0</v>
      </c>
      <c r="Q83" s="4" t="s">
        <v>54</v>
      </c>
      <c r="R83" s="4">
        <v>0</v>
      </c>
      <c r="S83" s="6">
        <v>0</v>
      </c>
      <c r="T83" s="6">
        <v>15</v>
      </c>
      <c r="U83" s="6">
        <v>0</v>
      </c>
      <c r="V83" s="6">
        <f>IF(ISERROR(VLOOKUP($S$83,'TAR FIN'!$A$1:$O$88,15,0)),0,VLOOKUP($S$83,'TAR FIN'!$A$1:$O$88,15,0))</f>
        <v>0</v>
      </c>
      <c r="W83" s="6">
        <f>IF(ISERROR(VLOOKUP($T$83,'TAR FIN'!$A$1:$O$88,15,0)),0,VLOOKUP($T$83,'TAR FIN'!$A$1:$O$88,15,0))</f>
        <v>79.319999999999993</v>
      </c>
      <c r="X83" s="6">
        <f>IF(ISERROR(VLOOKUP($U$83,'TAR FIN'!$A$1:$O$88,15,0)),0,VLOOKUP($U$83,'TAR FIN'!$A$1:$O$88,15,0))</f>
        <v>0</v>
      </c>
      <c r="Y83" s="6"/>
      <c r="Z83" s="6">
        <f ca="1">('TUSD BE'!$AM$12+'TUSD BF'!$AM$12+'TUSD CVA'!$AM$12)*1</f>
        <v>102.71637945274784</v>
      </c>
      <c r="AA83" s="6"/>
      <c r="AB83" s="6">
        <f>$K$83*$V$83</f>
        <v>0</v>
      </c>
      <c r="AC83" s="6">
        <f>$M$83*$W$83</f>
        <v>1534.9213199999997</v>
      </c>
      <c r="AD83" s="6">
        <f>$O$83*$X$83</f>
        <v>0</v>
      </c>
      <c r="AE83" s="6">
        <f>$K$83*$Y$83</f>
        <v>0</v>
      </c>
      <c r="AF83" s="6">
        <f ca="1">$M$83*$Z$83</f>
        <v>1987.6646587901234</v>
      </c>
      <c r="AG83" s="6">
        <f>$O$83*$AA$83</f>
        <v>0</v>
      </c>
    </row>
    <row r="84" spans="1:33" ht="11.25" customHeight="1" x14ac:dyDescent="0.25">
      <c r="A84" s="4" t="s">
        <v>21</v>
      </c>
      <c r="B84" s="4" t="s">
        <v>35</v>
      </c>
      <c r="C84" s="4" t="s">
        <v>36</v>
      </c>
      <c r="D84" s="4" t="s">
        <v>34</v>
      </c>
      <c r="E84" s="4" t="s">
        <v>25</v>
      </c>
      <c r="F84" s="4" t="s">
        <v>53</v>
      </c>
      <c r="G84" s="4" t="s">
        <v>25</v>
      </c>
      <c r="H84" s="4" t="s">
        <v>38</v>
      </c>
      <c r="I84" s="5">
        <v>44562</v>
      </c>
      <c r="J84" s="6">
        <v>0</v>
      </c>
      <c r="K84" s="6">
        <v>0</v>
      </c>
      <c r="L84" s="6">
        <v>9.2880000000000003</v>
      </c>
      <c r="M84" s="6">
        <v>9.2880000000000003</v>
      </c>
      <c r="N84" s="6">
        <v>0</v>
      </c>
      <c r="O84" s="6">
        <v>0</v>
      </c>
      <c r="P84" s="6">
        <v>0</v>
      </c>
      <c r="Q84" s="4" t="s">
        <v>54</v>
      </c>
      <c r="R84" s="4">
        <v>0</v>
      </c>
      <c r="S84" s="6">
        <v>0</v>
      </c>
      <c r="T84" s="6">
        <v>15</v>
      </c>
      <c r="U84" s="6">
        <v>0</v>
      </c>
      <c r="V84" s="6">
        <f>IF(ISERROR(VLOOKUP($S$84,'TAR FIN'!$A$1:$O$88,15,0)),0,VLOOKUP($S$84,'TAR FIN'!$A$1:$O$88,15,0))</f>
        <v>0</v>
      </c>
      <c r="W84" s="6">
        <f>IF(ISERROR(VLOOKUP($T$84,'TAR FIN'!$A$1:$O$88,15,0)),0,VLOOKUP($T$84,'TAR FIN'!$A$1:$O$88,15,0))</f>
        <v>79.319999999999993</v>
      </c>
      <c r="X84" s="6">
        <f>IF(ISERROR(VLOOKUP($U$84,'TAR FIN'!$A$1:$O$88,15,0)),0,VLOOKUP($U$84,'TAR FIN'!$A$1:$O$88,15,0))</f>
        <v>0</v>
      </c>
      <c r="Y84" s="6"/>
      <c r="Z84" s="6">
        <f ca="1">('TUSD BE'!$AM$12+'TUSD BF'!$AM$12+'TUSD CVA'!$AM$12)*1</f>
        <v>102.71637945274784</v>
      </c>
      <c r="AA84" s="6"/>
      <c r="AB84" s="6">
        <f>$K$84*$V$84</f>
        <v>0</v>
      </c>
      <c r="AC84" s="6">
        <f>$M$84*$W$84</f>
        <v>736.72415999999998</v>
      </c>
      <c r="AD84" s="6">
        <f>$O$84*$X$84</f>
        <v>0</v>
      </c>
      <c r="AE84" s="6">
        <f>$K$84*$Y$84</f>
        <v>0</v>
      </c>
      <c r="AF84" s="6">
        <f ca="1">$M$84*$Z$84</f>
        <v>954.02973235712204</v>
      </c>
      <c r="AG84" s="6">
        <f>$O$84*$AA$84</f>
        <v>0</v>
      </c>
    </row>
    <row r="85" spans="1:33" ht="11.25" customHeight="1" x14ac:dyDescent="0.25">
      <c r="A85" s="4" t="s">
        <v>21</v>
      </c>
      <c r="B85" s="4" t="s">
        <v>35</v>
      </c>
      <c r="C85" s="4" t="s">
        <v>36</v>
      </c>
      <c r="D85" s="4" t="s">
        <v>34</v>
      </c>
      <c r="E85" s="4" t="s">
        <v>25</v>
      </c>
      <c r="F85" s="4" t="s">
        <v>53</v>
      </c>
      <c r="G85" s="4" t="s">
        <v>25</v>
      </c>
      <c r="H85" s="4" t="s">
        <v>38</v>
      </c>
      <c r="I85" s="5">
        <v>44593</v>
      </c>
      <c r="J85" s="6">
        <v>0</v>
      </c>
      <c r="K85" s="6">
        <v>0</v>
      </c>
      <c r="L85" s="6">
        <v>6.9539999999999997</v>
      </c>
      <c r="M85" s="6">
        <v>6.9539999999999997</v>
      </c>
      <c r="N85" s="6">
        <v>0</v>
      </c>
      <c r="O85" s="6">
        <v>0</v>
      </c>
      <c r="P85" s="6">
        <v>0</v>
      </c>
      <c r="Q85" s="4" t="s">
        <v>54</v>
      </c>
      <c r="R85" s="4">
        <v>0</v>
      </c>
      <c r="S85" s="6">
        <v>0</v>
      </c>
      <c r="T85" s="6">
        <v>15</v>
      </c>
      <c r="U85" s="6">
        <v>0</v>
      </c>
      <c r="V85" s="6">
        <f>IF(ISERROR(VLOOKUP($S$85,'TAR FIN'!$A$1:$O$88,15,0)),0,VLOOKUP($S$85,'TAR FIN'!$A$1:$O$88,15,0))</f>
        <v>0</v>
      </c>
      <c r="W85" s="6">
        <f>IF(ISERROR(VLOOKUP($T$85,'TAR FIN'!$A$1:$O$88,15,0)),0,VLOOKUP($T$85,'TAR FIN'!$A$1:$O$88,15,0))</f>
        <v>79.319999999999993</v>
      </c>
      <c r="X85" s="6">
        <f>IF(ISERROR(VLOOKUP($U$85,'TAR FIN'!$A$1:$O$88,15,0)),0,VLOOKUP($U$85,'TAR FIN'!$A$1:$O$88,15,0))</f>
        <v>0</v>
      </c>
      <c r="Y85" s="6"/>
      <c r="Z85" s="6">
        <f ca="1">('TUSD BE'!$AM$12+'TUSD BF'!$AM$12+'TUSD CVA'!$AM$12)*1</f>
        <v>102.71637945274784</v>
      </c>
      <c r="AA85" s="6"/>
      <c r="AB85" s="6">
        <f>$K$85*$V$85</f>
        <v>0</v>
      </c>
      <c r="AC85" s="6">
        <f>$M$85*$W$85</f>
        <v>551.59127999999998</v>
      </c>
      <c r="AD85" s="6">
        <f>$O$85*$X$85</f>
        <v>0</v>
      </c>
      <c r="AE85" s="6">
        <f>$K$85*$Y$85</f>
        <v>0</v>
      </c>
      <c r="AF85" s="6">
        <f ca="1">$M$85*$Z$85</f>
        <v>714.28970271440846</v>
      </c>
      <c r="AG85" s="6">
        <f>$O$85*$AA$85</f>
        <v>0</v>
      </c>
    </row>
    <row r="86" spans="1:33" ht="11.25" customHeight="1" x14ac:dyDescent="0.25">
      <c r="A86" s="4" t="s">
        <v>21</v>
      </c>
      <c r="B86" s="4" t="s">
        <v>35</v>
      </c>
      <c r="C86" s="4" t="s">
        <v>36</v>
      </c>
      <c r="D86" s="4" t="s">
        <v>34</v>
      </c>
      <c r="E86" s="4" t="s">
        <v>25</v>
      </c>
      <c r="F86" s="4" t="s">
        <v>53</v>
      </c>
      <c r="G86" s="4" t="s">
        <v>25</v>
      </c>
      <c r="H86" s="4" t="s">
        <v>38</v>
      </c>
      <c r="I86" s="5">
        <v>44621</v>
      </c>
      <c r="J86" s="6">
        <v>0</v>
      </c>
      <c r="K86" s="6">
        <v>0</v>
      </c>
      <c r="L86" s="6">
        <v>10.055</v>
      </c>
      <c r="M86" s="6">
        <v>10.055</v>
      </c>
      <c r="N86" s="6">
        <v>0</v>
      </c>
      <c r="O86" s="6">
        <v>0</v>
      </c>
      <c r="P86" s="6">
        <v>0</v>
      </c>
      <c r="Q86" s="4" t="s">
        <v>54</v>
      </c>
      <c r="R86" s="4">
        <v>0</v>
      </c>
      <c r="S86" s="6">
        <v>0</v>
      </c>
      <c r="T86" s="6">
        <v>15</v>
      </c>
      <c r="U86" s="6">
        <v>0</v>
      </c>
      <c r="V86" s="6">
        <f>IF(ISERROR(VLOOKUP($S$86,'TAR FIN'!$A$1:$O$88,15,0)),0,VLOOKUP($S$86,'TAR FIN'!$A$1:$O$88,15,0))</f>
        <v>0</v>
      </c>
      <c r="W86" s="6">
        <f>IF(ISERROR(VLOOKUP($T$86,'TAR FIN'!$A$1:$O$88,15,0)),0,VLOOKUP($T$86,'TAR FIN'!$A$1:$O$88,15,0))</f>
        <v>79.319999999999993</v>
      </c>
      <c r="X86" s="6">
        <f>IF(ISERROR(VLOOKUP($U$86,'TAR FIN'!$A$1:$O$88,15,0)),0,VLOOKUP($U$86,'TAR FIN'!$A$1:$O$88,15,0))</f>
        <v>0</v>
      </c>
      <c r="Y86" s="6"/>
      <c r="Z86" s="6">
        <f ca="1">('TUSD BE'!$AM$12+'TUSD BF'!$AM$12+'TUSD CVA'!$AM$12)*1</f>
        <v>102.71637945274784</v>
      </c>
      <c r="AA86" s="6"/>
      <c r="AB86" s="6">
        <f>$K$86*$V$86</f>
        <v>0</v>
      </c>
      <c r="AC86" s="6">
        <f>$M$86*$W$86</f>
        <v>797.56259999999986</v>
      </c>
      <c r="AD86" s="6">
        <f>$O$86*$X$86</f>
        <v>0</v>
      </c>
      <c r="AE86" s="6">
        <f>$K$86*$Y$86</f>
        <v>0</v>
      </c>
      <c r="AF86" s="6">
        <f ca="1">$M$86*$Z$86</f>
        <v>1032.8131953973796</v>
      </c>
      <c r="AG86" s="6">
        <f>$O$86*$AA$86</f>
        <v>0</v>
      </c>
    </row>
    <row r="87" spans="1:33" ht="11.25" customHeight="1" x14ac:dyDescent="0.25">
      <c r="A87" s="4" t="s">
        <v>21</v>
      </c>
      <c r="B87" s="4" t="s">
        <v>35</v>
      </c>
      <c r="C87" s="4" t="s">
        <v>36</v>
      </c>
      <c r="D87" s="4" t="s">
        <v>34</v>
      </c>
      <c r="E87" s="4" t="s">
        <v>25</v>
      </c>
      <c r="F87" s="4" t="s">
        <v>53</v>
      </c>
      <c r="G87" s="4" t="s">
        <v>25</v>
      </c>
      <c r="H87" s="4" t="s">
        <v>38</v>
      </c>
      <c r="I87" s="5">
        <v>44652</v>
      </c>
      <c r="J87" s="6">
        <v>0</v>
      </c>
      <c r="K87" s="6">
        <v>0</v>
      </c>
      <c r="L87" s="6">
        <v>38.299999999999997</v>
      </c>
      <c r="M87" s="6">
        <v>38.299999999999997</v>
      </c>
      <c r="N87" s="6">
        <v>0</v>
      </c>
      <c r="O87" s="6">
        <v>0</v>
      </c>
      <c r="P87" s="6">
        <v>0</v>
      </c>
      <c r="Q87" s="4" t="s">
        <v>54</v>
      </c>
      <c r="R87" s="4">
        <v>0</v>
      </c>
      <c r="S87" s="6">
        <v>0</v>
      </c>
      <c r="T87" s="6">
        <v>15</v>
      </c>
      <c r="U87" s="6">
        <v>0</v>
      </c>
      <c r="V87" s="6">
        <f>IF(ISERROR(VLOOKUP($S$87,'TAR FIN'!$A$1:$O$88,15,0)),0,VLOOKUP($S$87,'TAR FIN'!$A$1:$O$88,15,0))</f>
        <v>0</v>
      </c>
      <c r="W87" s="6">
        <f>IF(ISERROR(VLOOKUP($T$87,'TAR FIN'!$A$1:$O$88,15,0)),0,VLOOKUP($T$87,'TAR FIN'!$A$1:$O$88,15,0))</f>
        <v>79.319999999999993</v>
      </c>
      <c r="X87" s="6">
        <f>IF(ISERROR(VLOOKUP($U$87,'TAR FIN'!$A$1:$O$88,15,0)),0,VLOOKUP($U$87,'TAR FIN'!$A$1:$O$88,15,0))</f>
        <v>0</v>
      </c>
      <c r="Y87" s="6"/>
      <c r="Z87" s="6">
        <f ca="1">('TUSD BE'!$AM$12+'TUSD BF'!$AM$12+'TUSD CVA'!$AM$12)*1</f>
        <v>102.71637945274784</v>
      </c>
      <c r="AA87" s="6"/>
      <c r="AB87" s="6">
        <f>$K$87*$V$87</f>
        <v>0</v>
      </c>
      <c r="AC87" s="6">
        <f>$M$87*$W$87</f>
        <v>3037.9559999999997</v>
      </c>
      <c r="AD87" s="6">
        <f>$O$87*$X$87</f>
        <v>0</v>
      </c>
      <c r="AE87" s="6">
        <f>$K$87*$Y$87</f>
        <v>0</v>
      </c>
      <c r="AF87" s="6">
        <f ca="1">$M$87*$Z$87</f>
        <v>3934.0373330402422</v>
      </c>
      <c r="AG87" s="6">
        <f>$O$87*$AA$87</f>
        <v>0</v>
      </c>
    </row>
    <row r="88" spans="1:33" ht="11.25" customHeight="1" x14ac:dyDescent="0.25">
      <c r="A88" s="4" t="s">
        <v>21</v>
      </c>
      <c r="B88" s="4" t="s">
        <v>35</v>
      </c>
      <c r="C88" s="4" t="s">
        <v>36</v>
      </c>
      <c r="D88" s="4" t="s">
        <v>34</v>
      </c>
      <c r="E88" s="4" t="s">
        <v>25</v>
      </c>
      <c r="F88" s="4" t="s">
        <v>53</v>
      </c>
      <c r="G88" s="4" t="s">
        <v>25</v>
      </c>
      <c r="H88" s="4" t="s">
        <v>38</v>
      </c>
      <c r="I88" s="5">
        <v>44682</v>
      </c>
      <c r="J88" s="6">
        <v>0</v>
      </c>
      <c r="K88" s="6">
        <v>0</v>
      </c>
      <c r="L88" s="6">
        <v>115.378</v>
      </c>
      <c r="M88" s="6">
        <v>115.378</v>
      </c>
      <c r="N88" s="6">
        <v>0</v>
      </c>
      <c r="O88" s="6">
        <v>0</v>
      </c>
      <c r="P88" s="6">
        <v>0</v>
      </c>
      <c r="Q88" s="4" t="s">
        <v>54</v>
      </c>
      <c r="R88" s="4">
        <v>0</v>
      </c>
      <c r="S88" s="6">
        <v>0</v>
      </c>
      <c r="T88" s="6">
        <v>15</v>
      </c>
      <c r="U88" s="6">
        <v>0</v>
      </c>
      <c r="V88" s="6">
        <f>IF(ISERROR(VLOOKUP($S$88,'TAR FIN'!$A$1:$O$88,15,0)),0,VLOOKUP($S$88,'TAR FIN'!$A$1:$O$88,15,0))</f>
        <v>0</v>
      </c>
      <c r="W88" s="6">
        <f>IF(ISERROR(VLOOKUP($T$88,'TAR FIN'!$A$1:$O$88,15,0)),0,VLOOKUP($T$88,'TAR FIN'!$A$1:$O$88,15,0))</f>
        <v>79.319999999999993</v>
      </c>
      <c r="X88" s="6">
        <f>IF(ISERROR(VLOOKUP($U$88,'TAR FIN'!$A$1:$O$88,15,0)),0,VLOOKUP($U$88,'TAR FIN'!$A$1:$O$88,15,0))</f>
        <v>0</v>
      </c>
      <c r="Y88" s="6"/>
      <c r="Z88" s="6">
        <f ca="1">('TUSD BE'!$AM$12+'TUSD BF'!$AM$12+'TUSD CVA'!$AM$12)*1</f>
        <v>102.71637945274784</v>
      </c>
      <c r="AA88" s="6"/>
      <c r="AB88" s="6">
        <f>$K$88*$V$88</f>
        <v>0</v>
      </c>
      <c r="AC88" s="6">
        <f>$M$88*$W$88</f>
        <v>9151.7829599999986</v>
      </c>
      <c r="AD88" s="6">
        <f>$O$88*$X$88</f>
        <v>0</v>
      </c>
      <c r="AE88" s="6">
        <f>$K$88*$Y$88</f>
        <v>0</v>
      </c>
      <c r="AF88" s="6">
        <f ca="1">$M$88*$Z$88</f>
        <v>11851.21042849914</v>
      </c>
      <c r="AG88" s="6">
        <f>$O$88*$AA$88</f>
        <v>0</v>
      </c>
    </row>
    <row r="89" spans="1:33" ht="11.25" customHeight="1" x14ac:dyDescent="0.25">
      <c r="A89" s="4" t="s">
        <v>21</v>
      </c>
      <c r="B89" s="4" t="s">
        <v>35</v>
      </c>
      <c r="C89" s="4" t="s">
        <v>36</v>
      </c>
      <c r="D89" s="4" t="s">
        <v>34</v>
      </c>
      <c r="E89" s="4" t="s">
        <v>25</v>
      </c>
      <c r="F89" s="4" t="s">
        <v>53</v>
      </c>
      <c r="G89" s="4" t="s">
        <v>25</v>
      </c>
      <c r="H89" s="4" t="s">
        <v>38</v>
      </c>
      <c r="I89" s="5">
        <v>44713</v>
      </c>
      <c r="J89" s="6">
        <v>0</v>
      </c>
      <c r="K89" s="6">
        <v>0</v>
      </c>
      <c r="L89" s="6">
        <v>43.594999999999999</v>
      </c>
      <c r="M89" s="6">
        <v>43.594999999999999</v>
      </c>
      <c r="N89" s="6">
        <v>0</v>
      </c>
      <c r="O89" s="6">
        <v>0</v>
      </c>
      <c r="P89" s="6">
        <v>0</v>
      </c>
      <c r="Q89" s="4" t="s">
        <v>54</v>
      </c>
      <c r="R89" s="4">
        <v>0</v>
      </c>
      <c r="S89" s="6">
        <v>0</v>
      </c>
      <c r="T89" s="6">
        <v>15</v>
      </c>
      <c r="U89" s="6">
        <v>0</v>
      </c>
      <c r="V89" s="6">
        <f>IF(ISERROR(VLOOKUP($S$89,'TAR FIN'!$A$1:$O$88,15,0)),0,VLOOKUP($S$89,'TAR FIN'!$A$1:$O$88,15,0))</f>
        <v>0</v>
      </c>
      <c r="W89" s="6">
        <f>IF(ISERROR(VLOOKUP($T$89,'TAR FIN'!$A$1:$O$88,15,0)),0,VLOOKUP($T$89,'TAR FIN'!$A$1:$O$88,15,0))</f>
        <v>79.319999999999993</v>
      </c>
      <c r="X89" s="6">
        <f>IF(ISERROR(VLOOKUP($U$89,'TAR FIN'!$A$1:$O$88,15,0)),0,VLOOKUP($U$89,'TAR FIN'!$A$1:$O$88,15,0))</f>
        <v>0</v>
      </c>
      <c r="Y89" s="6"/>
      <c r="Z89" s="6">
        <f ca="1">('TUSD BE'!$AM$12+'TUSD BF'!$AM$12+'TUSD CVA'!$AM$12)*1</f>
        <v>102.71637945274784</v>
      </c>
      <c r="AA89" s="6"/>
      <c r="AB89" s="6">
        <f>$K$89*$V$89</f>
        <v>0</v>
      </c>
      <c r="AC89" s="6">
        <f>$M$89*$W$89</f>
        <v>3457.9553999999998</v>
      </c>
      <c r="AD89" s="6">
        <f>$O$89*$X$89</f>
        <v>0</v>
      </c>
      <c r="AE89" s="6">
        <f>$K$89*$Y$89</f>
        <v>0</v>
      </c>
      <c r="AF89" s="6">
        <f ca="1">$M$89*$Z$89</f>
        <v>4477.9205622425425</v>
      </c>
      <c r="AG89" s="6">
        <f>$O$89*$AA$89</f>
        <v>0</v>
      </c>
    </row>
    <row r="90" spans="1:33" ht="11.25" customHeight="1" x14ac:dyDescent="0.25">
      <c r="A90" s="4" t="s">
        <v>21</v>
      </c>
      <c r="B90" s="4" t="s">
        <v>35</v>
      </c>
      <c r="C90" s="4" t="s">
        <v>36</v>
      </c>
      <c r="D90" s="4" t="s">
        <v>34</v>
      </c>
      <c r="E90" s="4" t="s">
        <v>25</v>
      </c>
      <c r="F90" s="4" t="s">
        <v>53</v>
      </c>
      <c r="G90" s="4" t="s">
        <v>25</v>
      </c>
      <c r="H90" s="4" t="s">
        <v>25</v>
      </c>
      <c r="I90" s="5">
        <v>44378</v>
      </c>
      <c r="J90" s="6">
        <v>1200</v>
      </c>
      <c r="K90" s="6">
        <v>600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4" t="s">
        <v>54</v>
      </c>
      <c r="R90" s="4">
        <v>0</v>
      </c>
      <c r="S90" s="6">
        <v>11</v>
      </c>
      <c r="T90" s="6">
        <v>0</v>
      </c>
      <c r="U90" s="6">
        <v>0</v>
      </c>
      <c r="V90" s="6">
        <f>IF(ISERROR(VLOOKUP($S$90,'TAR FIN'!$A$1:$O$88,15,0)),0,VLOOKUP($S$90,'TAR FIN'!$A$1:$O$88,15,0))</f>
        <v>45.42</v>
      </c>
      <c r="W90" s="6">
        <f>IF(ISERROR(VLOOKUP($T$90,'TAR FIN'!$A$1:$O$88,15,0)),0,VLOOKUP($T$90,'TAR FIN'!$A$1:$O$88,15,0))</f>
        <v>0</v>
      </c>
      <c r="X90" s="6">
        <f>IF(ISERROR(VLOOKUP($U$90,'TAR FIN'!$A$1:$O$88,15,0)),0,VLOOKUP($U$90,'TAR FIN'!$A$1:$O$88,15,0))</f>
        <v>0</v>
      </c>
      <c r="Y90" s="6">
        <f ca="1">('TUSD BE'!$AM$10+'TUSD BF'!$AM$10+'TUSD CVA'!$AM$10)*1</f>
        <v>51.541515279759096</v>
      </c>
      <c r="Z90" s="6"/>
      <c r="AA90" s="6"/>
      <c r="AB90" s="6">
        <f>$K$90*$V$90</f>
        <v>27252</v>
      </c>
      <c r="AC90" s="6">
        <f>$M$90*$W$90</f>
        <v>0</v>
      </c>
      <c r="AD90" s="6">
        <f>$O$90*$X$90</f>
        <v>0</v>
      </c>
      <c r="AE90" s="6">
        <f ca="1">$K$90*$Y$90</f>
        <v>30924.909167855458</v>
      </c>
      <c r="AF90" s="6">
        <f>$M$90*$Z$90</f>
        <v>0</v>
      </c>
      <c r="AG90" s="6">
        <f>$O$90*$AA$90</f>
        <v>0</v>
      </c>
    </row>
    <row r="91" spans="1:33" ht="11.25" customHeight="1" x14ac:dyDescent="0.25">
      <c r="A91" s="4" t="s">
        <v>21</v>
      </c>
      <c r="B91" s="4" t="s">
        <v>35</v>
      </c>
      <c r="C91" s="4" t="s">
        <v>36</v>
      </c>
      <c r="D91" s="4" t="s">
        <v>34</v>
      </c>
      <c r="E91" s="4" t="s">
        <v>25</v>
      </c>
      <c r="F91" s="4" t="s">
        <v>53</v>
      </c>
      <c r="G91" s="4" t="s">
        <v>25</v>
      </c>
      <c r="H91" s="4" t="s">
        <v>25</v>
      </c>
      <c r="I91" s="5">
        <v>44409</v>
      </c>
      <c r="J91" s="6">
        <v>600</v>
      </c>
      <c r="K91" s="6">
        <v>600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4" t="s">
        <v>54</v>
      </c>
      <c r="R91" s="4">
        <v>0</v>
      </c>
      <c r="S91" s="6">
        <v>11</v>
      </c>
      <c r="T91" s="6">
        <v>0</v>
      </c>
      <c r="U91" s="6">
        <v>0</v>
      </c>
      <c r="V91" s="6">
        <f>IF(ISERROR(VLOOKUP($S$91,'TAR FIN'!$A$1:$O$88,15,0)),0,VLOOKUP($S$91,'TAR FIN'!$A$1:$O$88,15,0))</f>
        <v>45.42</v>
      </c>
      <c r="W91" s="6">
        <f>IF(ISERROR(VLOOKUP($T$91,'TAR FIN'!$A$1:$O$88,15,0)),0,VLOOKUP($T$91,'TAR FIN'!$A$1:$O$88,15,0))</f>
        <v>0</v>
      </c>
      <c r="X91" s="6">
        <f>IF(ISERROR(VLOOKUP($U$91,'TAR FIN'!$A$1:$O$88,15,0)),0,VLOOKUP($U$91,'TAR FIN'!$A$1:$O$88,15,0))</f>
        <v>0</v>
      </c>
      <c r="Y91" s="6">
        <f ca="1">('TUSD BE'!$AM$10+'TUSD BF'!$AM$10+'TUSD CVA'!$AM$10)*1</f>
        <v>51.541515279759096</v>
      </c>
      <c r="Z91" s="6"/>
      <c r="AA91" s="6"/>
      <c r="AB91" s="6">
        <f>$K$91*$V$91</f>
        <v>27252</v>
      </c>
      <c r="AC91" s="6">
        <f>$M$91*$W$91</f>
        <v>0</v>
      </c>
      <c r="AD91" s="6">
        <f>$O$91*$X$91</f>
        <v>0</v>
      </c>
      <c r="AE91" s="6">
        <f ca="1">$K$91*$Y$91</f>
        <v>30924.909167855458</v>
      </c>
      <c r="AF91" s="6">
        <f>$M$91*$Z$91</f>
        <v>0</v>
      </c>
      <c r="AG91" s="6">
        <f>$O$91*$AA$91</f>
        <v>0</v>
      </c>
    </row>
    <row r="92" spans="1:33" ht="11.25" customHeight="1" x14ac:dyDescent="0.25">
      <c r="A92" s="4" t="s">
        <v>21</v>
      </c>
      <c r="B92" s="4" t="s">
        <v>35</v>
      </c>
      <c r="C92" s="4" t="s">
        <v>36</v>
      </c>
      <c r="D92" s="4" t="s">
        <v>34</v>
      </c>
      <c r="E92" s="4" t="s">
        <v>25</v>
      </c>
      <c r="F92" s="4" t="s">
        <v>53</v>
      </c>
      <c r="G92" s="4" t="s">
        <v>25</v>
      </c>
      <c r="H92" s="4" t="s">
        <v>25</v>
      </c>
      <c r="I92" s="5">
        <v>44440</v>
      </c>
      <c r="J92" s="6">
        <v>600</v>
      </c>
      <c r="K92" s="6">
        <v>600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4" t="s">
        <v>54</v>
      </c>
      <c r="R92" s="4">
        <v>0</v>
      </c>
      <c r="S92" s="6">
        <v>11</v>
      </c>
      <c r="T92" s="6">
        <v>0</v>
      </c>
      <c r="U92" s="6">
        <v>0</v>
      </c>
      <c r="V92" s="6">
        <f>IF(ISERROR(VLOOKUP($S$92,'TAR FIN'!$A$1:$O$88,15,0)),0,VLOOKUP($S$92,'TAR FIN'!$A$1:$O$88,15,0))</f>
        <v>45.42</v>
      </c>
      <c r="W92" s="6">
        <f>IF(ISERROR(VLOOKUP($T$92,'TAR FIN'!$A$1:$O$88,15,0)),0,VLOOKUP($T$92,'TAR FIN'!$A$1:$O$88,15,0))</f>
        <v>0</v>
      </c>
      <c r="X92" s="6">
        <f>IF(ISERROR(VLOOKUP($U$92,'TAR FIN'!$A$1:$O$88,15,0)),0,VLOOKUP($U$92,'TAR FIN'!$A$1:$O$88,15,0))</f>
        <v>0</v>
      </c>
      <c r="Y92" s="6">
        <f ca="1">('TUSD BE'!$AM$10+'TUSD BF'!$AM$10+'TUSD CVA'!$AM$10)*1</f>
        <v>51.541515279759096</v>
      </c>
      <c r="Z92" s="6"/>
      <c r="AA92" s="6"/>
      <c r="AB92" s="6">
        <f>$K$92*$V$92</f>
        <v>27252</v>
      </c>
      <c r="AC92" s="6">
        <f>$M$92*$W$92</f>
        <v>0</v>
      </c>
      <c r="AD92" s="6">
        <f>$O$92*$X$92</f>
        <v>0</v>
      </c>
      <c r="AE92" s="6">
        <f ca="1">$K$92*$Y$92</f>
        <v>30924.909167855458</v>
      </c>
      <c r="AF92" s="6">
        <f>$M$92*$Z$92</f>
        <v>0</v>
      </c>
      <c r="AG92" s="6">
        <f>$O$92*$AA$92</f>
        <v>0</v>
      </c>
    </row>
    <row r="93" spans="1:33" ht="11.25" customHeight="1" x14ac:dyDescent="0.25">
      <c r="A93" s="4" t="s">
        <v>21</v>
      </c>
      <c r="B93" s="4" t="s">
        <v>35</v>
      </c>
      <c r="C93" s="4" t="s">
        <v>36</v>
      </c>
      <c r="D93" s="4" t="s">
        <v>34</v>
      </c>
      <c r="E93" s="4" t="s">
        <v>25</v>
      </c>
      <c r="F93" s="4" t="s">
        <v>53</v>
      </c>
      <c r="G93" s="4" t="s">
        <v>25</v>
      </c>
      <c r="H93" s="4" t="s">
        <v>25</v>
      </c>
      <c r="I93" s="5">
        <v>44470</v>
      </c>
      <c r="J93" s="6">
        <v>600</v>
      </c>
      <c r="K93" s="6">
        <v>317.64</v>
      </c>
      <c r="L93" s="6">
        <v>0</v>
      </c>
      <c r="M93" s="6">
        <v>0</v>
      </c>
      <c r="N93" s="6">
        <v>0</v>
      </c>
      <c r="O93" s="6">
        <v>0</v>
      </c>
      <c r="P93" s="6">
        <v>1</v>
      </c>
      <c r="Q93" s="4" t="s">
        <v>54</v>
      </c>
      <c r="R93" s="4">
        <v>0</v>
      </c>
      <c r="S93" s="6">
        <v>11</v>
      </c>
      <c r="T93" s="6">
        <v>0</v>
      </c>
      <c r="U93" s="6">
        <v>0</v>
      </c>
      <c r="V93" s="6">
        <f>IF(ISERROR(VLOOKUP($S$93,'TAR FIN'!$A$1:$O$88,15,0)),0,VLOOKUP($S$93,'TAR FIN'!$A$1:$O$88,15,0))</f>
        <v>45.42</v>
      </c>
      <c r="W93" s="6">
        <f>IF(ISERROR(VLOOKUP($T$93,'TAR FIN'!$A$1:$O$88,15,0)),0,VLOOKUP($T$93,'TAR FIN'!$A$1:$O$88,15,0))</f>
        <v>0</v>
      </c>
      <c r="X93" s="6">
        <f>IF(ISERROR(VLOOKUP($U$93,'TAR FIN'!$A$1:$O$88,15,0)),0,VLOOKUP($U$93,'TAR FIN'!$A$1:$O$88,15,0))</f>
        <v>0</v>
      </c>
      <c r="Y93" s="6">
        <f ca="1">('TUSD BE'!$AM$10+'TUSD BF'!$AM$10+'TUSD CVA'!$AM$10)*1</f>
        <v>51.541515279759096</v>
      </c>
      <c r="Z93" s="6"/>
      <c r="AA93" s="6"/>
      <c r="AB93" s="6">
        <f>$K$93*$V$93</f>
        <v>14427.2088</v>
      </c>
      <c r="AC93" s="6">
        <f>$M$93*$W$93</f>
        <v>0</v>
      </c>
      <c r="AD93" s="6">
        <f>$O$93*$X$93</f>
        <v>0</v>
      </c>
      <c r="AE93" s="6">
        <f ca="1">$K$93*$Y$93</f>
        <v>16371.646913462679</v>
      </c>
      <c r="AF93" s="6">
        <f>$M$93*$Z$93</f>
        <v>0</v>
      </c>
      <c r="AG93" s="6">
        <f>$O$93*$AA$93</f>
        <v>0</v>
      </c>
    </row>
    <row r="94" spans="1:33" ht="11.25" customHeight="1" x14ac:dyDescent="0.25">
      <c r="A94" s="4" t="s">
        <v>21</v>
      </c>
      <c r="B94" s="4" t="s">
        <v>35</v>
      </c>
      <c r="C94" s="4" t="s">
        <v>36</v>
      </c>
      <c r="D94" s="4" t="s">
        <v>34</v>
      </c>
      <c r="E94" s="4" t="s">
        <v>25</v>
      </c>
      <c r="F94" s="4" t="s">
        <v>53</v>
      </c>
      <c r="G94" s="4" t="s">
        <v>25</v>
      </c>
      <c r="H94" s="4" t="s">
        <v>25</v>
      </c>
      <c r="I94" s="5">
        <v>44501</v>
      </c>
      <c r="J94" s="6">
        <v>600</v>
      </c>
      <c r="K94" s="6">
        <v>209.04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4" t="s">
        <v>54</v>
      </c>
      <c r="R94" s="4">
        <v>0</v>
      </c>
      <c r="S94" s="6">
        <v>11</v>
      </c>
      <c r="T94" s="6">
        <v>0</v>
      </c>
      <c r="U94" s="6">
        <v>0</v>
      </c>
      <c r="V94" s="6">
        <f>IF(ISERROR(VLOOKUP($S$94,'TAR FIN'!$A$1:$O$88,15,0)),0,VLOOKUP($S$94,'TAR FIN'!$A$1:$O$88,15,0))</f>
        <v>45.42</v>
      </c>
      <c r="W94" s="6">
        <f>IF(ISERROR(VLOOKUP($T$94,'TAR FIN'!$A$1:$O$88,15,0)),0,VLOOKUP($T$94,'TAR FIN'!$A$1:$O$88,15,0))</f>
        <v>0</v>
      </c>
      <c r="X94" s="6">
        <f>IF(ISERROR(VLOOKUP($U$94,'TAR FIN'!$A$1:$O$88,15,0)),0,VLOOKUP($U$94,'TAR FIN'!$A$1:$O$88,15,0))</f>
        <v>0</v>
      </c>
      <c r="Y94" s="6">
        <f ca="1">('TUSD BE'!$AM$10+'TUSD BF'!$AM$10+'TUSD CVA'!$AM$10)*1</f>
        <v>51.541515279759096</v>
      </c>
      <c r="Z94" s="6"/>
      <c r="AA94" s="6"/>
      <c r="AB94" s="6">
        <f>$K$94*$V$94</f>
        <v>9494.5967999999993</v>
      </c>
      <c r="AC94" s="6">
        <f>$M$94*$W$94</f>
        <v>0</v>
      </c>
      <c r="AD94" s="6">
        <f>$O$94*$X$94</f>
        <v>0</v>
      </c>
      <c r="AE94" s="6">
        <f ca="1">$K$94*$Y$94</f>
        <v>10774.238354080841</v>
      </c>
      <c r="AF94" s="6">
        <f>$M$94*$Z$94</f>
        <v>0</v>
      </c>
      <c r="AG94" s="6">
        <f>$O$94*$AA$94</f>
        <v>0</v>
      </c>
    </row>
    <row r="95" spans="1:33" ht="11.25" customHeight="1" x14ac:dyDescent="0.25">
      <c r="A95" s="4" t="s">
        <v>21</v>
      </c>
      <c r="B95" s="4" t="s">
        <v>35</v>
      </c>
      <c r="C95" s="4" t="s">
        <v>36</v>
      </c>
      <c r="D95" s="4" t="s">
        <v>34</v>
      </c>
      <c r="E95" s="4" t="s">
        <v>25</v>
      </c>
      <c r="F95" s="4" t="s">
        <v>53</v>
      </c>
      <c r="G95" s="4" t="s">
        <v>25</v>
      </c>
      <c r="H95" s="4" t="s">
        <v>25</v>
      </c>
      <c r="I95" s="5">
        <v>44531</v>
      </c>
      <c r="J95" s="6">
        <v>600</v>
      </c>
      <c r="K95" s="6">
        <v>322.5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4" t="s">
        <v>54</v>
      </c>
      <c r="R95" s="4">
        <v>0</v>
      </c>
      <c r="S95" s="6">
        <v>11</v>
      </c>
      <c r="T95" s="6">
        <v>0</v>
      </c>
      <c r="U95" s="6">
        <v>0</v>
      </c>
      <c r="V95" s="6">
        <f>IF(ISERROR(VLOOKUP($S$95,'TAR FIN'!$A$1:$O$88,15,0)),0,VLOOKUP($S$95,'TAR FIN'!$A$1:$O$88,15,0))</f>
        <v>45.42</v>
      </c>
      <c r="W95" s="6">
        <f>IF(ISERROR(VLOOKUP($T$95,'TAR FIN'!$A$1:$O$88,15,0)),0,VLOOKUP($T$95,'TAR FIN'!$A$1:$O$88,15,0))</f>
        <v>0</v>
      </c>
      <c r="X95" s="6">
        <f>IF(ISERROR(VLOOKUP($U$95,'TAR FIN'!$A$1:$O$88,15,0)),0,VLOOKUP($U$95,'TAR FIN'!$A$1:$O$88,15,0))</f>
        <v>0</v>
      </c>
      <c r="Y95" s="6">
        <f ca="1">('TUSD BE'!$AM$10+'TUSD BF'!$AM$10+'TUSD CVA'!$AM$10)*1</f>
        <v>51.541515279759096</v>
      </c>
      <c r="Z95" s="6"/>
      <c r="AA95" s="6"/>
      <c r="AB95" s="6">
        <f>$K$95*$V$95</f>
        <v>14647.95</v>
      </c>
      <c r="AC95" s="6">
        <f>$M$95*$W$95</f>
        <v>0</v>
      </c>
      <c r="AD95" s="6">
        <f>$O$95*$X$95</f>
        <v>0</v>
      </c>
      <c r="AE95" s="6">
        <f ca="1">$K$95*$Y$95</f>
        <v>16622.138677722309</v>
      </c>
      <c r="AF95" s="6">
        <f>$M$95*$Z$95</f>
        <v>0</v>
      </c>
      <c r="AG95" s="6">
        <f>$O$95*$AA$95</f>
        <v>0</v>
      </c>
    </row>
    <row r="96" spans="1:33" ht="11.25" customHeight="1" x14ac:dyDescent="0.25">
      <c r="A96" s="4" t="s">
        <v>21</v>
      </c>
      <c r="B96" s="4" t="s">
        <v>35</v>
      </c>
      <c r="C96" s="4" t="s">
        <v>36</v>
      </c>
      <c r="D96" s="4" t="s">
        <v>34</v>
      </c>
      <c r="E96" s="4" t="s">
        <v>25</v>
      </c>
      <c r="F96" s="4" t="s">
        <v>53</v>
      </c>
      <c r="G96" s="4" t="s">
        <v>25</v>
      </c>
      <c r="H96" s="4" t="s">
        <v>25</v>
      </c>
      <c r="I96" s="5">
        <v>44562</v>
      </c>
      <c r="J96" s="6">
        <v>600</v>
      </c>
      <c r="K96" s="6">
        <v>600</v>
      </c>
      <c r="L96" s="6">
        <v>0</v>
      </c>
      <c r="M96" s="6">
        <v>0</v>
      </c>
      <c r="N96" s="6">
        <v>0</v>
      </c>
      <c r="O96" s="6">
        <v>0</v>
      </c>
      <c r="P96" s="6">
        <v>1</v>
      </c>
      <c r="Q96" s="4" t="s">
        <v>54</v>
      </c>
      <c r="R96" s="4">
        <v>0</v>
      </c>
      <c r="S96" s="6">
        <v>11</v>
      </c>
      <c r="T96" s="6">
        <v>0</v>
      </c>
      <c r="U96" s="6">
        <v>0</v>
      </c>
      <c r="V96" s="6">
        <f>IF(ISERROR(VLOOKUP($S$96,'TAR FIN'!$A$1:$O$88,15,0)),0,VLOOKUP($S$96,'TAR FIN'!$A$1:$O$88,15,0))</f>
        <v>45.42</v>
      </c>
      <c r="W96" s="6">
        <f>IF(ISERROR(VLOOKUP($T$96,'TAR FIN'!$A$1:$O$88,15,0)),0,VLOOKUP($T$96,'TAR FIN'!$A$1:$O$88,15,0))</f>
        <v>0</v>
      </c>
      <c r="X96" s="6">
        <f>IF(ISERROR(VLOOKUP($U$96,'TAR FIN'!$A$1:$O$88,15,0)),0,VLOOKUP($U$96,'TAR FIN'!$A$1:$O$88,15,0))</f>
        <v>0</v>
      </c>
      <c r="Y96" s="6">
        <f ca="1">('TUSD BE'!$AM$10+'TUSD BF'!$AM$10+'TUSD CVA'!$AM$10)*1</f>
        <v>51.541515279759096</v>
      </c>
      <c r="Z96" s="6"/>
      <c r="AA96" s="6"/>
      <c r="AB96" s="6">
        <f>$K$96*$V$96</f>
        <v>27252</v>
      </c>
      <c r="AC96" s="6">
        <f>$M$96*$W$96</f>
        <v>0</v>
      </c>
      <c r="AD96" s="6">
        <f>$O$96*$X$96</f>
        <v>0</v>
      </c>
      <c r="AE96" s="6">
        <f ca="1">$K$96*$Y$96</f>
        <v>30924.909167855458</v>
      </c>
      <c r="AF96" s="6">
        <f>$M$96*$Z$96</f>
        <v>0</v>
      </c>
      <c r="AG96" s="6">
        <f>$O$96*$AA$96</f>
        <v>0</v>
      </c>
    </row>
    <row r="97" spans="1:33" ht="11.25" customHeight="1" x14ac:dyDescent="0.25">
      <c r="A97" s="4" t="s">
        <v>21</v>
      </c>
      <c r="B97" s="4" t="s">
        <v>35</v>
      </c>
      <c r="C97" s="4" t="s">
        <v>36</v>
      </c>
      <c r="D97" s="4" t="s">
        <v>34</v>
      </c>
      <c r="E97" s="4" t="s">
        <v>25</v>
      </c>
      <c r="F97" s="4" t="s">
        <v>53</v>
      </c>
      <c r="G97" s="4" t="s">
        <v>25</v>
      </c>
      <c r="H97" s="4" t="s">
        <v>25</v>
      </c>
      <c r="I97" s="5">
        <v>44593</v>
      </c>
      <c r="J97" s="6">
        <v>600</v>
      </c>
      <c r="K97" s="6">
        <v>219.78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4" t="s">
        <v>54</v>
      </c>
      <c r="R97" s="4">
        <v>0</v>
      </c>
      <c r="S97" s="6">
        <v>11</v>
      </c>
      <c r="T97" s="6">
        <v>0</v>
      </c>
      <c r="U97" s="6">
        <v>0</v>
      </c>
      <c r="V97" s="6">
        <f>IF(ISERROR(VLOOKUP($S$97,'TAR FIN'!$A$1:$O$88,15,0)),0,VLOOKUP($S$97,'TAR FIN'!$A$1:$O$88,15,0))</f>
        <v>45.42</v>
      </c>
      <c r="W97" s="6">
        <f>IF(ISERROR(VLOOKUP($T$97,'TAR FIN'!$A$1:$O$88,15,0)),0,VLOOKUP($T$97,'TAR FIN'!$A$1:$O$88,15,0))</f>
        <v>0</v>
      </c>
      <c r="X97" s="6">
        <f>IF(ISERROR(VLOOKUP($U$97,'TAR FIN'!$A$1:$O$88,15,0)),0,VLOOKUP($U$97,'TAR FIN'!$A$1:$O$88,15,0))</f>
        <v>0</v>
      </c>
      <c r="Y97" s="6">
        <f ca="1">('TUSD BE'!$AM$10+'TUSD BF'!$AM$10+'TUSD CVA'!$AM$10)*1</f>
        <v>51.541515279759096</v>
      </c>
      <c r="Z97" s="6"/>
      <c r="AA97" s="6"/>
      <c r="AB97" s="6">
        <f>$K$97*$V$97</f>
        <v>9982.4076000000005</v>
      </c>
      <c r="AC97" s="6">
        <f>$M$97*$W$97</f>
        <v>0</v>
      </c>
      <c r="AD97" s="6">
        <f>$O$97*$X$97</f>
        <v>0</v>
      </c>
      <c r="AE97" s="6">
        <f ca="1">$K$97*$Y$97</f>
        <v>11327.794228185454</v>
      </c>
      <c r="AF97" s="6">
        <f>$M$97*$Z$97</f>
        <v>0</v>
      </c>
      <c r="AG97" s="6">
        <f>$O$97*$AA$97</f>
        <v>0</v>
      </c>
    </row>
    <row r="98" spans="1:33" ht="11.25" customHeight="1" x14ac:dyDescent="0.25">
      <c r="A98" s="4" t="s">
        <v>21</v>
      </c>
      <c r="B98" s="4" t="s">
        <v>35</v>
      </c>
      <c r="C98" s="4" t="s">
        <v>36</v>
      </c>
      <c r="D98" s="4" t="s">
        <v>34</v>
      </c>
      <c r="E98" s="4" t="s">
        <v>25</v>
      </c>
      <c r="F98" s="4" t="s">
        <v>53</v>
      </c>
      <c r="G98" s="4" t="s">
        <v>25</v>
      </c>
      <c r="H98" s="4" t="s">
        <v>25</v>
      </c>
      <c r="I98" s="5">
        <v>44621</v>
      </c>
      <c r="J98" s="6">
        <v>600</v>
      </c>
      <c r="K98" s="6">
        <v>128.69999999999999</v>
      </c>
      <c r="L98" s="6">
        <v>0</v>
      </c>
      <c r="M98" s="6">
        <v>0</v>
      </c>
      <c r="N98" s="6">
        <v>0</v>
      </c>
      <c r="O98" s="6">
        <v>0</v>
      </c>
      <c r="P98" s="6">
        <v>1</v>
      </c>
      <c r="Q98" s="4" t="s">
        <v>54</v>
      </c>
      <c r="R98" s="4">
        <v>0</v>
      </c>
      <c r="S98" s="6">
        <v>11</v>
      </c>
      <c r="T98" s="6">
        <v>0</v>
      </c>
      <c r="U98" s="6">
        <v>0</v>
      </c>
      <c r="V98" s="6">
        <f>IF(ISERROR(VLOOKUP($S$98,'TAR FIN'!$A$1:$O$88,15,0)),0,VLOOKUP($S$98,'TAR FIN'!$A$1:$O$88,15,0))</f>
        <v>45.42</v>
      </c>
      <c r="W98" s="6">
        <f>IF(ISERROR(VLOOKUP($T$98,'TAR FIN'!$A$1:$O$88,15,0)),0,VLOOKUP($T$98,'TAR FIN'!$A$1:$O$88,15,0))</f>
        <v>0</v>
      </c>
      <c r="X98" s="6">
        <f>IF(ISERROR(VLOOKUP($U$98,'TAR FIN'!$A$1:$O$88,15,0)),0,VLOOKUP($U$98,'TAR FIN'!$A$1:$O$88,15,0))</f>
        <v>0</v>
      </c>
      <c r="Y98" s="6">
        <f ca="1">('TUSD BE'!$AM$10+'TUSD BF'!$AM$10+'TUSD CVA'!$AM$10)*1</f>
        <v>51.541515279759096</v>
      </c>
      <c r="Z98" s="6"/>
      <c r="AA98" s="6"/>
      <c r="AB98" s="6">
        <f>$K$98*$V$98</f>
        <v>5845.5540000000001</v>
      </c>
      <c r="AC98" s="6">
        <f>$M$98*$W$98</f>
        <v>0</v>
      </c>
      <c r="AD98" s="6">
        <f>$O$98*$X$98</f>
        <v>0</v>
      </c>
      <c r="AE98" s="6">
        <f ca="1">$K$98*$Y$98</f>
        <v>6633.3930165049951</v>
      </c>
      <c r="AF98" s="6">
        <f>$M$98*$Z$98</f>
        <v>0</v>
      </c>
      <c r="AG98" s="6">
        <f>$O$98*$AA$98</f>
        <v>0</v>
      </c>
    </row>
    <row r="99" spans="1:33" ht="11.25" customHeight="1" x14ac:dyDescent="0.25">
      <c r="A99" s="4" t="s">
        <v>21</v>
      </c>
      <c r="B99" s="4" t="s">
        <v>35</v>
      </c>
      <c r="C99" s="4" t="s">
        <v>36</v>
      </c>
      <c r="D99" s="4" t="s">
        <v>34</v>
      </c>
      <c r="E99" s="4" t="s">
        <v>25</v>
      </c>
      <c r="F99" s="4" t="s">
        <v>53</v>
      </c>
      <c r="G99" s="4" t="s">
        <v>25</v>
      </c>
      <c r="H99" s="4" t="s">
        <v>25</v>
      </c>
      <c r="I99" s="5">
        <v>44652</v>
      </c>
      <c r="J99" s="6">
        <v>600</v>
      </c>
      <c r="K99" s="6">
        <v>146.16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4" t="s">
        <v>54</v>
      </c>
      <c r="R99" s="4">
        <v>0</v>
      </c>
      <c r="S99" s="6">
        <v>11</v>
      </c>
      <c r="T99" s="6">
        <v>0</v>
      </c>
      <c r="U99" s="6">
        <v>0</v>
      </c>
      <c r="V99" s="6">
        <f>IF(ISERROR(VLOOKUP($S$99,'TAR FIN'!$A$1:$O$88,15,0)),0,VLOOKUP($S$99,'TAR FIN'!$A$1:$O$88,15,0))</f>
        <v>45.42</v>
      </c>
      <c r="W99" s="6">
        <f>IF(ISERROR(VLOOKUP($T$99,'TAR FIN'!$A$1:$O$88,15,0)),0,VLOOKUP($T$99,'TAR FIN'!$A$1:$O$88,15,0))</f>
        <v>0</v>
      </c>
      <c r="X99" s="6">
        <f>IF(ISERROR(VLOOKUP($U$99,'TAR FIN'!$A$1:$O$88,15,0)),0,VLOOKUP($U$99,'TAR FIN'!$A$1:$O$88,15,0))</f>
        <v>0</v>
      </c>
      <c r="Y99" s="6">
        <f ca="1">('TUSD BE'!$AM$10+'TUSD BF'!$AM$10+'TUSD CVA'!$AM$10)*1</f>
        <v>51.541515279759096</v>
      </c>
      <c r="Z99" s="6"/>
      <c r="AA99" s="6"/>
      <c r="AB99" s="6">
        <f>$K$99*$V$99</f>
        <v>6638.5871999999999</v>
      </c>
      <c r="AC99" s="6">
        <f>$M$99*$W$99</f>
        <v>0</v>
      </c>
      <c r="AD99" s="6">
        <f>$O$99*$X$99</f>
        <v>0</v>
      </c>
      <c r="AE99" s="6">
        <f ca="1">$K$99*$Y$99</f>
        <v>7533.3078732895892</v>
      </c>
      <c r="AF99" s="6">
        <f>$M$99*$Z$99</f>
        <v>0</v>
      </c>
      <c r="AG99" s="6">
        <f>$O$99*$AA$99</f>
        <v>0</v>
      </c>
    </row>
    <row r="100" spans="1:33" ht="11.25" customHeight="1" x14ac:dyDescent="0.25">
      <c r="A100" s="4" t="s">
        <v>21</v>
      </c>
      <c r="B100" s="4" t="s">
        <v>35</v>
      </c>
      <c r="C100" s="4" t="s">
        <v>36</v>
      </c>
      <c r="D100" s="4" t="s">
        <v>34</v>
      </c>
      <c r="E100" s="4" t="s">
        <v>25</v>
      </c>
      <c r="F100" s="4" t="s">
        <v>53</v>
      </c>
      <c r="G100" s="4" t="s">
        <v>25</v>
      </c>
      <c r="H100" s="4" t="s">
        <v>25</v>
      </c>
      <c r="I100" s="5">
        <v>44682</v>
      </c>
      <c r="J100" s="6">
        <v>600</v>
      </c>
      <c r="K100" s="6">
        <v>25.38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4" t="s">
        <v>54</v>
      </c>
      <c r="R100" s="4">
        <v>0</v>
      </c>
      <c r="S100" s="6">
        <v>11</v>
      </c>
      <c r="T100" s="6">
        <v>0</v>
      </c>
      <c r="U100" s="6">
        <v>0</v>
      </c>
      <c r="V100" s="6">
        <f>IF(ISERROR(VLOOKUP($S$100,'TAR FIN'!$A$1:$O$88,15,0)),0,VLOOKUP($S$100,'TAR FIN'!$A$1:$O$88,15,0))</f>
        <v>45.42</v>
      </c>
      <c r="W100" s="6">
        <f>IF(ISERROR(VLOOKUP($T$100,'TAR FIN'!$A$1:$O$88,15,0)),0,VLOOKUP($T$100,'TAR FIN'!$A$1:$O$88,15,0))</f>
        <v>0</v>
      </c>
      <c r="X100" s="6">
        <f>IF(ISERROR(VLOOKUP($U$100,'TAR FIN'!$A$1:$O$88,15,0)),0,VLOOKUP($U$100,'TAR FIN'!$A$1:$O$88,15,0))</f>
        <v>0</v>
      </c>
      <c r="Y100" s="6">
        <f ca="1">('TUSD BE'!$AM$10+'TUSD BF'!$AM$10+'TUSD CVA'!$AM$10)*1</f>
        <v>51.541515279759096</v>
      </c>
      <c r="Z100" s="6"/>
      <c r="AA100" s="6"/>
      <c r="AB100" s="6">
        <f>$K$100*$V$100</f>
        <v>1152.7596000000001</v>
      </c>
      <c r="AC100" s="6">
        <f>$M$100*$W$100</f>
        <v>0</v>
      </c>
      <c r="AD100" s="6">
        <f>$O$100*$X$100</f>
        <v>0</v>
      </c>
      <c r="AE100" s="6">
        <f ca="1">$K$100*$Y$100</f>
        <v>1308.1236578002859</v>
      </c>
      <c r="AF100" s="6">
        <f>$M$100*$Z$100</f>
        <v>0</v>
      </c>
      <c r="AG100" s="6">
        <f>$O$100*$AA$100</f>
        <v>0</v>
      </c>
    </row>
    <row r="101" spans="1:33" ht="11.25" customHeight="1" x14ac:dyDescent="0.25">
      <c r="A101" s="4" t="s">
        <v>21</v>
      </c>
      <c r="B101" s="4" t="s">
        <v>35</v>
      </c>
      <c r="C101" s="4" t="s">
        <v>36</v>
      </c>
      <c r="D101" s="4" t="s">
        <v>34</v>
      </c>
      <c r="E101" s="4" t="s">
        <v>25</v>
      </c>
      <c r="F101" s="4" t="s">
        <v>53</v>
      </c>
      <c r="G101" s="4" t="s">
        <v>25</v>
      </c>
      <c r="H101" s="4" t="s">
        <v>25</v>
      </c>
      <c r="I101" s="5">
        <v>44713</v>
      </c>
      <c r="J101" s="6">
        <v>600</v>
      </c>
      <c r="K101" s="6">
        <v>206.7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4" t="s">
        <v>54</v>
      </c>
      <c r="R101" s="4">
        <v>0</v>
      </c>
      <c r="S101" s="6">
        <v>11</v>
      </c>
      <c r="T101" s="6">
        <v>0</v>
      </c>
      <c r="U101" s="6">
        <v>0</v>
      </c>
      <c r="V101" s="6">
        <f>IF(ISERROR(VLOOKUP($S$101,'TAR FIN'!$A$1:$O$88,15,0)),0,VLOOKUP($S$101,'TAR FIN'!$A$1:$O$88,15,0))</f>
        <v>45.42</v>
      </c>
      <c r="W101" s="6">
        <f>IF(ISERROR(VLOOKUP($T$101,'TAR FIN'!$A$1:$O$88,15,0)),0,VLOOKUP($T$101,'TAR FIN'!$A$1:$O$88,15,0))</f>
        <v>0</v>
      </c>
      <c r="X101" s="6">
        <f>IF(ISERROR(VLOOKUP($U$101,'TAR FIN'!$A$1:$O$88,15,0)),0,VLOOKUP($U$101,'TAR FIN'!$A$1:$O$88,15,0))</f>
        <v>0</v>
      </c>
      <c r="Y101" s="6">
        <f ca="1">('TUSD BE'!$AM$10+'TUSD BF'!$AM$10+'TUSD CVA'!$AM$10)*1</f>
        <v>51.541515279759096</v>
      </c>
      <c r="Z101" s="6"/>
      <c r="AA101" s="6"/>
      <c r="AB101" s="6">
        <f>$K$101*$V$101</f>
        <v>9388.3140000000003</v>
      </c>
      <c r="AC101" s="6">
        <f>$M$101*$W$101</f>
        <v>0</v>
      </c>
      <c r="AD101" s="6">
        <f>$O$101*$X$101</f>
        <v>0</v>
      </c>
      <c r="AE101" s="6">
        <f ca="1">$K$101*$Y$101</f>
        <v>10653.631208326206</v>
      </c>
      <c r="AF101" s="6">
        <f>$M$101*$Z$101</f>
        <v>0</v>
      </c>
      <c r="AG101" s="6">
        <f>$O$101*$AA$101</f>
        <v>0</v>
      </c>
    </row>
    <row r="102" spans="1:33" ht="11.25" customHeight="1" x14ac:dyDescent="0.25">
      <c r="A102" s="4" t="s">
        <v>21</v>
      </c>
      <c r="B102" s="4" t="s">
        <v>35</v>
      </c>
      <c r="C102" s="4" t="s">
        <v>36</v>
      </c>
      <c r="D102" s="4" t="s">
        <v>34</v>
      </c>
      <c r="E102" s="4" t="s">
        <v>25</v>
      </c>
      <c r="F102" s="4" t="s">
        <v>53</v>
      </c>
      <c r="G102" s="4" t="s">
        <v>25</v>
      </c>
      <c r="H102" s="4" t="s">
        <v>37</v>
      </c>
      <c r="I102" s="5">
        <v>44440</v>
      </c>
      <c r="J102" s="6">
        <v>0</v>
      </c>
      <c r="K102" s="6">
        <v>0</v>
      </c>
      <c r="L102" s="6">
        <v>0.6</v>
      </c>
      <c r="M102" s="6">
        <v>0.6</v>
      </c>
      <c r="N102" s="6">
        <v>0</v>
      </c>
      <c r="O102" s="6">
        <v>0</v>
      </c>
      <c r="P102" s="6">
        <v>0</v>
      </c>
      <c r="Q102" s="4" t="s">
        <v>54</v>
      </c>
      <c r="R102" s="4">
        <v>0</v>
      </c>
      <c r="S102" s="6">
        <v>0</v>
      </c>
      <c r="T102" s="6">
        <v>7</v>
      </c>
      <c r="U102" s="6">
        <v>0</v>
      </c>
      <c r="V102" s="6">
        <f>IF(ISERROR(VLOOKUP($S$102,'TAR FIN'!$A$1:$O$88,15,0)),0,VLOOKUP($S$102,'TAR FIN'!$A$1:$O$88,15,0))</f>
        <v>0</v>
      </c>
      <c r="W102" s="6">
        <f>IF(ISERROR(VLOOKUP($T$102,'TAR FIN'!$A$1:$O$88,15,0)),0,VLOOKUP($T$102,'TAR FIN'!$A$1:$O$88,15,0))</f>
        <v>1465.12</v>
      </c>
      <c r="X102" s="6">
        <f>IF(ISERROR(VLOOKUP($U$102,'TAR FIN'!$A$1:$O$88,15,0)),0,VLOOKUP($U$102,'TAR FIN'!$A$1:$O$88,15,0))</f>
        <v>0</v>
      </c>
      <c r="Y102" s="6"/>
      <c r="Z102" s="6">
        <f ca="1">('TUSD BE'!$AM$11+'TUSD BF'!$AM$11+'TUSD CVA'!$AM$11)*1</f>
        <v>1652.6258572524951</v>
      </c>
      <c r="AA102" s="6"/>
      <c r="AB102" s="6">
        <f>$K$102*$V$102</f>
        <v>0</v>
      </c>
      <c r="AC102" s="6">
        <f>$M$102*$W$102</f>
        <v>879.07199999999989</v>
      </c>
      <c r="AD102" s="6">
        <f>$O$102*$X$102</f>
        <v>0</v>
      </c>
      <c r="AE102" s="6">
        <f>$K$102*$Y$102</f>
        <v>0</v>
      </c>
      <c r="AF102" s="6">
        <f ca="1">$M$102*$Z$102</f>
        <v>991.57551435149696</v>
      </c>
      <c r="AG102" s="6">
        <f>$O$102*$AA$102</f>
        <v>0</v>
      </c>
    </row>
    <row r="103" spans="1:33" ht="11.25" customHeight="1" x14ac:dyDescent="0.25">
      <c r="A103" s="4" t="s">
        <v>21</v>
      </c>
      <c r="B103" s="4" t="s">
        <v>35</v>
      </c>
      <c r="C103" s="4" t="s">
        <v>36</v>
      </c>
      <c r="D103" s="4" t="s">
        <v>34</v>
      </c>
      <c r="E103" s="4" t="s">
        <v>25</v>
      </c>
      <c r="F103" s="4" t="s">
        <v>53</v>
      </c>
      <c r="G103" s="4" t="s">
        <v>25</v>
      </c>
      <c r="H103" s="4" t="s">
        <v>37</v>
      </c>
      <c r="I103" s="5">
        <v>44470</v>
      </c>
      <c r="J103" s="6">
        <v>0</v>
      </c>
      <c r="K103" s="6">
        <v>0</v>
      </c>
      <c r="L103" s="6">
        <v>0.54300000000000004</v>
      </c>
      <c r="M103" s="6">
        <v>0.27150000000000002</v>
      </c>
      <c r="N103" s="6">
        <v>0</v>
      </c>
      <c r="O103" s="6">
        <v>0</v>
      </c>
      <c r="P103" s="6">
        <v>0</v>
      </c>
      <c r="Q103" s="4" t="s">
        <v>54</v>
      </c>
      <c r="R103" s="4">
        <v>0</v>
      </c>
      <c r="S103" s="6">
        <v>0</v>
      </c>
      <c r="T103" s="6">
        <v>7</v>
      </c>
      <c r="U103" s="6">
        <v>0</v>
      </c>
      <c r="V103" s="6">
        <f>IF(ISERROR(VLOOKUP($S$103,'TAR FIN'!$A$1:$O$88,15,0)),0,VLOOKUP($S$103,'TAR FIN'!$A$1:$O$88,15,0))</f>
        <v>0</v>
      </c>
      <c r="W103" s="6">
        <f>IF(ISERROR(VLOOKUP($T$103,'TAR FIN'!$A$1:$O$88,15,0)),0,VLOOKUP($T$103,'TAR FIN'!$A$1:$O$88,15,0))</f>
        <v>1465.12</v>
      </c>
      <c r="X103" s="6">
        <f>IF(ISERROR(VLOOKUP($U$103,'TAR FIN'!$A$1:$O$88,15,0)),0,VLOOKUP($U$103,'TAR FIN'!$A$1:$O$88,15,0))</f>
        <v>0</v>
      </c>
      <c r="Y103" s="6"/>
      <c r="Z103" s="6">
        <f ca="1">('TUSD BE'!$AM$11+'TUSD BF'!$AM$11+'TUSD CVA'!$AM$11)*1</f>
        <v>1652.6258572524951</v>
      </c>
      <c r="AA103" s="6"/>
      <c r="AB103" s="6">
        <f>$K$103*$V$103</f>
        <v>0</v>
      </c>
      <c r="AC103" s="6">
        <f>$M$103*$W$103</f>
        <v>397.78008</v>
      </c>
      <c r="AD103" s="6">
        <f>$O$103*$X$103</f>
        <v>0</v>
      </c>
      <c r="AE103" s="6">
        <f>$K$103*$Y$103</f>
        <v>0</v>
      </c>
      <c r="AF103" s="6">
        <f ca="1">$M$103*$Z$103</f>
        <v>448.68792024405246</v>
      </c>
      <c r="AG103" s="6">
        <f>$O$103*$AA$103</f>
        <v>0</v>
      </c>
    </row>
    <row r="104" spans="1:33" ht="11.25" customHeight="1" x14ac:dyDescent="0.25">
      <c r="A104" s="4" t="s">
        <v>21</v>
      </c>
      <c r="B104" s="4" t="s">
        <v>35</v>
      </c>
      <c r="C104" s="4" t="s">
        <v>36</v>
      </c>
      <c r="D104" s="4" t="s">
        <v>34</v>
      </c>
      <c r="E104" s="4" t="s">
        <v>25</v>
      </c>
      <c r="F104" s="4" t="s">
        <v>53</v>
      </c>
      <c r="G104" s="4" t="s">
        <v>25</v>
      </c>
      <c r="H104" s="4" t="s">
        <v>37</v>
      </c>
      <c r="I104" s="5">
        <v>44501</v>
      </c>
      <c r="J104" s="6">
        <v>0</v>
      </c>
      <c r="K104" s="6">
        <v>0</v>
      </c>
      <c r="L104" s="6">
        <v>0.63800000000000001</v>
      </c>
      <c r="M104" s="6">
        <v>0.63800000000000001</v>
      </c>
      <c r="N104" s="6">
        <v>0</v>
      </c>
      <c r="O104" s="6">
        <v>0</v>
      </c>
      <c r="P104" s="6">
        <v>0</v>
      </c>
      <c r="Q104" s="4" t="s">
        <v>54</v>
      </c>
      <c r="R104" s="4">
        <v>0</v>
      </c>
      <c r="S104" s="6">
        <v>0</v>
      </c>
      <c r="T104" s="6">
        <v>7</v>
      </c>
      <c r="U104" s="6">
        <v>0</v>
      </c>
      <c r="V104" s="6">
        <f>IF(ISERROR(VLOOKUP($S$104,'TAR FIN'!$A$1:$O$88,15,0)),0,VLOOKUP($S$104,'TAR FIN'!$A$1:$O$88,15,0))</f>
        <v>0</v>
      </c>
      <c r="W104" s="6">
        <f>IF(ISERROR(VLOOKUP($T$104,'TAR FIN'!$A$1:$O$88,15,0)),0,VLOOKUP($T$104,'TAR FIN'!$A$1:$O$88,15,0))</f>
        <v>1465.12</v>
      </c>
      <c r="X104" s="6">
        <f>IF(ISERROR(VLOOKUP($U$104,'TAR FIN'!$A$1:$O$88,15,0)),0,VLOOKUP($U$104,'TAR FIN'!$A$1:$O$88,15,0))</f>
        <v>0</v>
      </c>
      <c r="Y104" s="6"/>
      <c r="Z104" s="6">
        <f ca="1">('TUSD BE'!$AM$11+'TUSD BF'!$AM$11+'TUSD CVA'!$AM$11)*1</f>
        <v>1652.6258572524951</v>
      </c>
      <c r="AA104" s="6"/>
      <c r="AB104" s="6">
        <f>$K$104*$V$104</f>
        <v>0</v>
      </c>
      <c r="AC104" s="6">
        <f>$M$104*$W$104</f>
        <v>934.74655999999993</v>
      </c>
      <c r="AD104" s="6">
        <f>$O$104*$X$104</f>
        <v>0</v>
      </c>
      <c r="AE104" s="6">
        <f>$K$104*$Y$104</f>
        <v>0</v>
      </c>
      <c r="AF104" s="6">
        <f ca="1">$M$104*$Z$104</f>
        <v>1054.3752969270918</v>
      </c>
      <c r="AG104" s="6">
        <f>$O$104*$AA$104</f>
        <v>0</v>
      </c>
    </row>
    <row r="105" spans="1:33" ht="11.25" customHeight="1" x14ac:dyDescent="0.25">
      <c r="A105" s="4" t="s">
        <v>21</v>
      </c>
      <c r="B105" s="4" t="s">
        <v>35</v>
      </c>
      <c r="C105" s="4" t="s">
        <v>36</v>
      </c>
      <c r="D105" s="4" t="s">
        <v>34</v>
      </c>
      <c r="E105" s="4" t="s">
        <v>25</v>
      </c>
      <c r="F105" s="4" t="s">
        <v>53</v>
      </c>
      <c r="G105" s="4" t="s">
        <v>25</v>
      </c>
      <c r="H105" s="4" t="s">
        <v>37</v>
      </c>
      <c r="I105" s="5">
        <v>44531</v>
      </c>
      <c r="J105" s="6">
        <v>0</v>
      </c>
      <c r="K105" s="6">
        <v>0</v>
      </c>
      <c r="L105" s="6">
        <v>0.81</v>
      </c>
      <c r="M105" s="6">
        <v>0.81</v>
      </c>
      <c r="N105" s="6">
        <v>0</v>
      </c>
      <c r="O105" s="6">
        <v>0</v>
      </c>
      <c r="P105" s="6">
        <v>0</v>
      </c>
      <c r="Q105" s="4" t="s">
        <v>54</v>
      </c>
      <c r="R105" s="4">
        <v>0</v>
      </c>
      <c r="S105" s="6">
        <v>0</v>
      </c>
      <c r="T105" s="6">
        <v>7</v>
      </c>
      <c r="U105" s="6">
        <v>0</v>
      </c>
      <c r="V105" s="6">
        <f>IF(ISERROR(VLOOKUP($S$105,'TAR FIN'!$A$1:$O$88,15,0)),0,VLOOKUP($S$105,'TAR FIN'!$A$1:$O$88,15,0))</f>
        <v>0</v>
      </c>
      <c r="W105" s="6">
        <f>IF(ISERROR(VLOOKUP($T$105,'TAR FIN'!$A$1:$O$88,15,0)),0,VLOOKUP($T$105,'TAR FIN'!$A$1:$O$88,15,0))</f>
        <v>1465.12</v>
      </c>
      <c r="X105" s="6">
        <f>IF(ISERROR(VLOOKUP($U$105,'TAR FIN'!$A$1:$O$88,15,0)),0,VLOOKUP($U$105,'TAR FIN'!$A$1:$O$88,15,0))</f>
        <v>0</v>
      </c>
      <c r="Y105" s="6"/>
      <c r="Z105" s="6">
        <f ca="1">('TUSD BE'!$AM$11+'TUSD BF'!$AM$11+'TUSD CVA'!$AM$11)*1</f>
        <v>1652.6258572524951</v>
      </c>
      <c r="AA105" s="6"/>
      <c r="AB105" s="6">
        <f>$K$105*$V$105</f>
        <v>0</v>
      </c>
      <c r="AC105" s="6">
        <f>$M$105*$W$105</f>
        <v>1186.7472</v>
      </c>
      <c r="AD105" s="6">
        <f>$O$105*$X$105</f>
        <v>0</v>
      </c>
      <c r="AE105" s="6">
        <f>$K$105*$Y$105</f>
        <v>0</v>
      </c>
      <c r="AF105" s="6">
        <f ca="1">$M$105*$Z$105</f>
        <v>1338.6269443745211</v>
      </c>
      <c r="AG105" s="6">
        <f>$O$105*$AA$105</f>
        <v>0</v>
      </c>
    </row>
    <row r="106" spans="1:33" ht="11.25" customHeight="1" x14ac:dyDescent="0.25">
      <c r="A106" s="4" t="s">
        <v>21</v>
      </c>
      <c r="B106" s="4" t="s">
        <v>35</v>
      </c>
      <c r="C106" s="4" t="s">
        <v>36</v>
      </c>
      <c r="D106" s="4" t="s">
        <v>34</v>
      </c>
      <c r="E106" s="4" t="s">
        <v>25</v>
      </c>
      <c r="F106" s="4" t="s">
        <v>53</v>
      </c>
      <c r="G106" s="4" t="s">
        <v>25</v>
      </c>
      <c r="H106" s="4" t="s">
        <v>37</v>
      </c>
      <c r="I106" s="5">
        <v>44562</v>
      </c>
      <c r="J106" s="6">
        <v>0</v>
      </c>
      <c r="K106" s="6">
        <v>0</v>
      </c>
      <c r="L106" s="6">
        <v>0.77</v>
      </c>
      <c r="M106" s="6">
        <v>0.77</v>
      </c>
      <c r="N106" s="6">
        <v>0</v>
      </c>
      <c r="O106" s="6">
        <v>0</v>
      </c>
      <c r="P106" s="6">
        <v>0</v>
      </c>
      <c r="Q106" s="4" t="s">
        <v>54</v>
      </c>
      <c r="R106" s="4">
        <v>0</v>
      </c>
      <c r="S106" s="6">
        <v>0</v>
      </c>
      <c r="T106" s="6">
        <v>7</v>
      </c>
      <c r="U106" s="6">
        <v>0</v>
      </c>
      <c r="V106" s="6">
        <f>IF(ISERROR(VLOOKUP($S$106,'TAR FIN'!$A$1:$O$88,15,0)),0,VLOOKUP($S$106,'TAR FIN'!$A$1:$O$88,15,0))</f>
        <v>0</v>
      </c>
      <c r="W106" s="6">
        <f>IF(ISERROR(VLOOKUP($T$106,'TAR FIN'!$A$1:$O$88,15,0)),0,VLOOKUP($T$106,'TAR FIN'!$A$1:$O$88,15,0))</f>
        <v>1465.12</v>
      </c>
      <c r="X106" s="6">
        <f>IF(ISERROR(VLOOKUP($U$106,'TAR FIN'!$A$1:$O$88,15,0)),0,VLOOKUP($U$106,'TAR FIN'!$A$1:$O$88,15,0))</f>
        <v>0</v>
      </c>
      <c r="Y106" s="6"/>
      <c r="Z106" s="6">
        <f ca="1">('TUSD BE'!$AM$11+'TUSD BF'!$AM$11+'TUSD CVA'!$AM$11)*1</f>
        <v>1652.6258572524951</v>
      </c>
      <c r="AA106" s="6"/>
      <c r="AB106" s="6">
        <f>$K$106*$V$106</f>
        <v>0</v>
      </c>
      <c r="AC106" s="6">
        <f>$M$106*$W$106</f>
        <v>1128.1424</v>
      </c>
      <c r="AD106" s="6">
        <f>$O$106*$X$106</f>
        <v>0</v>
      </c>
      <c r="AE106" s="6">
        <f>$K$106*$Y$106</f>
        <v>0</v>
      </c>
      <c r="AF106" s="6">
        <f ca="1">$M$106*$Z$106</f>
        <v>1272.5219100844213</v>
      </c>
      <c r="AG106" s="6">
        <f>$O$106*$AA$106</f>
        <v>0</v>
      </c>
    </row>
    <row r="107" spans="1:33" ht="11.25" customHeight="1" x14ac:dyDescent="0.25">
      <c r="A107" s="4" t="s">
        <v>21</v>
      </c>
      <c r="B107" s="4" t="s">
        <v>35</v>
      </c>
      <c r="C107" s="4" t="s">
        <v>36</v>
      </c>
      <c r="D107" s="4" t="s">
        <v>34</v>
      </c>
      <c r="E107" s="4" t="s">
        <v>25</v>
      </c>
      <c r="F107" s="4" t="s">
        <v>53</v>
      </c>
      <c r="G107" s="4" t="s">
        <v>25</v>
      </c>
      <c r="H107" s="4" t="s">
        <v>37</v>
      </c>
      <c r="I107" s="5">
        <v>44593</v>
      </c>
      <c r="J107" s="6">
        <v>0</v>
      </c>
      <c r="K107" s="6">
        <v>0</v>
      </c>
      <c r="L107" s="6">
        <v>0.77700000000000002</v>
      </c>
      <c r="M107" s="6">
        <v>0.77700000000000002</v>
      </c>
      <c r="N107" s="6">
        <v>0</v>
      </c>
      <c r="O107" s="6">
        <v>0</v>
      </c>
      <c r="P107" s="6">
        <v>0</v>
      </c>
      <c r="Q107" s="4" t="s">
        <v>54</v>
      </c>
      <c r="R107" s="4">
        <v>0</v>
      </c>
      <c r="S107" s="6">
        <v>0</v>
      </c>
      <c r="T107" s="6">
        <v>7</v>
      </c>
      <c r="U107" s="6">
        <v>0</v>
      </c>
      <c r="V107" s="6">
        <f>IF(ISERROR(VLOOKUP($S$107,'TAR FIN'!$A$1:$O$88,15,0)),0,VLOOKUP($S$107,'TAR FIN'!$A$1:$O$88,15,0))</f>
        <v>0</v>
      </c>
      <c r="W107" s="6">
        <f>IF(ISERROR(VLOOKUP($T$107,'TAR FIN'!$A$1:$O$88,15,0)),0,VLOOKUP($T$107,'TAR FIN'!$A$1:$O$88,15,0))</f>
        <v>1465.12</v>
      </c>
      <c r="X107" s="6">
        <f>IF(ISERROR(VLOOKUP($U$107,'TAR FIN'!$A$1:$O$88,15,0)),0,VLOOKUP($U$107,'TAR FIN'!$A$1:$O$88,15,0))</f>
        <v>0</v>
      </c>
      <c r="Y107" s="6"/>
      <c r="Z107" s="6">
        <f ca="1">('TUSD BE'!$AM$11+'TUSD BF'!$AM$11+'TUSD CVA'!$AM$11)*1</f>
        <v>1652.6258572524951</v>
      </c>
      <c r="AA107" s="6"/>
      <c r="AB107" s="6">
        <f>$K$107*$V$107</f>
        <v>0</v>
      </c>
      <c r="AC107" s="6">
        <f>$M$107*$W$107</f>
        <v>1138.39824</v>
      </c>
      <c r="AD107" s="6">
        <f>$O$107*$X$107</f>
        <v>0</v>
      </c>
      <c r="AE107" s="6">
        <f>$K$107*$Y$107</f>
        <v>0</v>
      </c>
      <c r="AF107" s="6">
        <f ca="1">$M$107*$Z$107</f>
        <v>1284.0902910851887</v>
      </c>
      <c r="AG107" s="6">
        <f>$O$107*$AA$107</f>
        <v>0</v>
      </c>
    </row>
    <row r="108" spans="1:33" ht="11.25" customHeight="1" x14ac:dyDescent="0.25">
      <c r="A108" s="4" t="s">
        <v>21</v>
      </c>
      <c r="B108" s="4" t="s">
        <v>35</v>
      </c>
      <c r="C108" s="4" t="s">
        <v>36</v>
      </c>
      <c r="D108" s="4" t="s">
        <v>34</v>
      </c>
      <c r="E108" s="4" t="s">
        <v>25</v>
      </c>
      <c r="F108" s="4" t="s">
        <v>53</v>
      </c>
      <c r="G108" s="4" t="s">
        <v>25</v>
      </c>
      <c r="H108" s="4" t="s">
        <v>37</v>
      </c>
      <c r="I108" s="5">
        <v>44621</v>
      </c>
      <c r="J108" s="6">
        <v>0</v>
      </c>
      <c r="K108" s="6">
        <v>0</v>
      </c>
      <c r="L108" s="6">
        <v>1.5289999999999999</v>
      </c>
      <c r="M108" s="6">
        <v>1.5289999999999999</v>
      </c>
      <c r="N108" s="6">
        <v>0</v>
      </c>
      <c r="O108" s="6">
        <v>0</v>
      </c>
      <c r="P108" s="6">
        <v>0</v>
      </c>
      <c r="Q108" s="4" t="s">
        <v>54</v>
      </c>
      <c r="R108" s="4">
        <v>0</v>
      </c>
      <c r="S108" s="6">
        <v>0</v>
      </c>
      <c r="T108" s="6">
        <v>7</v>
      </c>
      <c r="U108" s="6">
        <v>0</v>
      </c>
      <c r="V108" s="6">
        <f>IF(ISERROR(VLOOKUP($S$108,'TAR FIN'!$A$1:$O$88,15,0)),0,VLOOKUP($S$108,'TAR FIN'!$A$1:$O$88,15,0))</f>
        <v>0</v>
      </c>
      <c r="W108" s="6">
        <f>IF(ISERROR(VLOOKUP($T$108,'TAR FIN'!$A$1:$O$88,15,0)),0,VLOOKUP($T$108,'TAR FIN'!$A$1:$O$88,15,0))</f>
        <v>1465.12</v>
      </c>
      <c r="X108" s="6">
        <f>IF(ISERROR(VLOOKUP($U$108,'TAR FIN'!$A$1:$O$88,15,0)),0,VLOOKUP($U$108,'TAR FIN'!$A$1:$O$88,15,0))</f>
        <v>0</v>
      </c>
      <c r="Y108" s="6"/>
      <c r="Z108" s="6">
        <f ca="1">('TUSD BE'!$AM$11+'TUSD BF'!$AM$11+'TUSD CVA'!$AM$11)*1</f>
        <v>1652.6258572524951</v>
      </c>
      <c r="AA108" s="6"/>
      <c r="AB108" s="6">
        <f>$K$108*$V$108</f>
        <v>0</v>
      </c>
      <c r="AC108" s="6">
        <f>$M$108*$W$108</f>
        <v>2240.1684799999998</v>
      </c>
      <c r="AD108" s="6">
        <f>$O$108*$X$108</f>
        <v>0</v>
      </c>
      <c r="AE108" s="6">
        <f>$K$108*$Y$108</f>
        <v>0</v>
      </c>
      <c r="AF108" s="6">
        <f ca="1">$M$108*$Z$108</f>
        <v>2526.864935739065</v>
      </c>
      <c r="AG108" s="6">
        <f>$O$108*$AA$108</f>
        <v>0</v>
      </c>
    </row>
    <row r="109" spans="1:33" ht="11.25" customHeight="1" x14ac:dyDescent="0.25">
      <c r="A109" s="4" t="s">
        <v>21</v>
      </c>
      <c r="B109" s="4" t="s">
        <v>35</v>
      </c>
      <c r="C109" s="4" t="s">
        <v>36</v>
      </c>
      <c r="D109" s="4" t="s">
        <v>34</v>
      </c>
      <c r="E109" s="4" t="s">
        <v>25</v>
      </c>
      <c r="F109" s="4" t="s">
        <v>53</v>
      </c>
      <c r="G109" s="4" t="s">
        <v>25</v>
      </c>
      <c r="H109" s="4" t="s">
        <v>37</v>
      </c>
      <c r="I109" s="5">
        <v>44652</v>
      </c>
      <c r="J109" s="6">
        <v>0</v>
      </c>
      <c r="K109" s="6">
        <v>0</v>
      </c>
      <c r="L109" s="6">
        <v>4.9880000000000004</v>
      </c>
      <c r="M109" s="6">
        <v>4.9880000000000004</v>
      </c>
      <c r="N109" s="6">
        <v>0</v>
      </c>
      <c r="O109" s="6">
        <v>0</v>
      </c>
      <c r="P109" s="6">
        <v>0</v>
      </c>
      <c r="Q109" s="4" t="s">
        <v>54</v>
      </c>
      <c r="R109" s="4">
        <v>0</v>
      </c>
      <c r="S109" s="6">
        <v>0</v>
      </c>
      <c r="T109" s="6">
        <v>7</v>
      </c>
      <c r="U109" s="6">
        <v>0</v>
      </c>
      <c r="V109" s="6">
        <f>IF(ISERROR(VLOOKUP($S$109,'TAR FIN'!$A$1:$O$88,15,0)),0,VLOOKUP($S$109,'TAR FIN'!$A$1:$O$88,15,0))</f>
        <v>0</v>
      </c>
      <c r="W109" s="6">
        <f>IF(ISERROR(VLOOKUP($T$109,'TAR FIN'!$A$1:$O$88,15,0)),0,VLOOKUP($T$109,'TAR FIN'!$A$1:$O$88,15,0))</f>
        <v>1465.12</v>
      </c>
      <c r="X109" s="6">
        <f>IF(ISERROR(VLOOKUP($U$109,'TAR FIN'!$A$1:$O$88,15,0)),0,VLOOKUP($U$109,'TAR FIN'!$A$1:$O$88,15,0))</f>
        <v>0</v>
      </c>
      <c r="Y109" s="6"/>
      <c r="Z109" s="6">
        <f ca="1">('TUSD BE'!$AM$11+'TUSD BF'!$AM$11+'TUSD CVA'!$AM$11)*1</f>
        <v>1652.6258572524951</v>
      </c>
      <c r="AA109" s="6"/>
      <c r="AB109" s="6">
        <f>$K$109*$V$109</f>
        <v>0</v>
      </c>
      <c r="AC109" s="6">
        <f>$M$109*$W$109</f>
        <v>7308.0185600000004</v>
      </c>
      <c r="AD109" s="6">
        <f>$O$109*$X$109</f>
        <v>0</v>
      </c>
      <c r="AE109" s="6">
        <f>$K$109*$Y$109</f>
        <v>0</v>
      </c>
      <c r="AF109" s="6">
        <f ca="1">$M$109*$Z$109</f>
        <v>8243.2977759754467</v>
      </c>
      <c r="AG109" s="6">
        <f>$O$109*$AA$109</f>
        <v>0</v>
      </c>
    </row>
    <row r="110" spans="1:33" ht="11.25" customHeight="1" x14ac:dyDescent="0.25">
      <c r="A110" s="4" t="s">
        <v>21</v>
      </c>
      <c r="B110" s="4" t="s">
        <v>35</v>
      </c>
      <c r="C110" s="4" t="s">
        <v>36</v>
      </c>
      <c r="D110" s="4" t="s">
        <v>34</v>
      </c>
      <c r="E110" s="4" t="s">
        <v>25</v>
      </c>
      <c r="F110" s="4" t="s">
        <v>53</v>
      </c>
      <c r="G110" s="4" t="s">
        <v>25</v>
      </c>
      <c r="H110" s="4" t="s">
        <v>37</v>
      </c>
      <c r="I110" s="5">
        <v>44682</v>
      </c>
      <c r="J110" s="6">
        <v>0</v>
      </c>
      <c r="K110" s="6">
        <v>0</v>
      </c>
      <c r="L110" s="6">
        <v>17.71</v>
      </c>
      <c r="M110" s="6">
        <v>17.71</v>
      </c>
      <c r="N110" s="6">
        <v>0</v>
      </c>
      <c r="O110" s="6">
        <v>0</v>
      </c>
      <c r="P110" s="6">
        <v>0</v>
      </c>
      <c r="Q110" s="4" t="s">
        <v>54</v>
      </c>
      <c r="R110" s="4">
        <v>0</v>
      </c>
      <c r="S110" s="6">
        <v>0</v>
      </c>
      <c r="T110" s="6">
        <v>7</v>
      </c>
      <c r="U110" s="6">
        <v>0</v>
      </c>
      <c r="V110" s="6">
        <f>IF(ISERROR(VLOOKUP($S$110,'TAR FIN'!$A$1:$O$88,15,0)),0,VLOOKUP($S$110,'TAR FIN'!$A$1:$O$88,15,0))</f>
        <v>0</v>
      </c>
      <c r="W110" s="6">
        <f>IF(ISERROR(VLOOKUP($T$110,'TAR FIN'!$A$1:$O$88,15,0)),0,VLOOKUP($T$110,'TAR FIN'!$A$1:$O$88,15,0))</f>
        <v>1465.12</v>
      </c>
      <c r="X110" s="6">
        <f>IF(ISERROR(VLOOKUP($U$110,'TAR FIN'!$A$1:$O$88,15,0)),0,VLOOKUP($U$110,'TAR FIN'!$A$1:$O$88,15,0))</f>
        <v>0</v>
      </c>
      <c r="Y110" s="6"/>
      <c r="Z110" s="6">
        <f ca="1">('TUSD BE'!$AM$11+'TUSD BF'!$AM$11+'TUSD CVA'!$AM$11)*1</f>
        <v>1652.6258572524951</v>
      </c>
      <c r="AA110" s="6"/>
      <c r="AB110" s="6">
        <f>$K$110*$V$110</f>
        <v>0</v>
      </c>
      <c r="AC110" s="6">
        <f>$M$110*$W$110</f>
        <v>25947.2752</v>
      </c>
      <c r="AD110" s="6">
        <f>$O$110*$X$110</f>
        <v>0</v>
      </c>
      <c r="AE110" s="6">
        <f>$K$110*$Y$110</f>
        <v>0</v>
      </c>
      <c r="AF110" s="6">
        <f ca="1">$M$110*$Z$110</f>
        <v>29268.00393194169</v>
      </c>
      <c r="AG110" s="6">
        <f>$O$110*$AA$110</f>
        <v>0</v>
      </c>
    </row>
    <row r="111" spans="1:33" ht="11.25" customHeight="1" x14ac:dyDescent="0.25">
      <c r="A111" s="4" t="s">
        <v>21</v>
      </c>
      <c r="B111" s="4" t="s">
        <v>35</v>
      </c>
      <c r="C111" s="4" t="s">
        <v>36</v>
      </c>
      <c r="D111" s="4" t="s">
        <v>34</v>
      </c>
      <c r="E111" s="4" t="s">
        <v>25</v>
      </c>
      <c r="F111" s="4" t="s">
        <v>53</v>
      </c>
      <c r="G111" s="4" t="s">
        <v>25</v>
      </c>
      <c r="H111" s="4" t="s">
        <v>37</v>
      </c>
      <c r="I111" s="5">
        <v>44713</v>
      </c>
      <c r="J111" s="6">
        <v>0</v>
      </c>
      <c r="K111" s="6">
        <v>0</v>
      </c>
      <c r="L111" s="6">
        <v>2.4889999999999999</v>
      </c>
      <c r="M111" s="6">
        <v>2.4889999999999999</v>
      </c>
      <c r="N111" s="6">
        <v>0</v>
      </c>
      <c r="O111" s="6">
        <v>0</v>
      </c>
      <c r="P111" s="6">
        <v>0</v>
      </c>
      <c r="Q111" s="4" t="s">
        <v>54</v>
      </c>
      <c r="R111" s="4">
        <v>0</v>
      </c>
      <c r="S111" s="6">
        <v>0</v>
      </c>
      <c r="T111" s="6">
        <v>7</v>
      </c>
      <c r="U111" s="6">
        <v>0</v>
      </c>
      <c r="V111" s="6">
        <f>IF(ISERROR(VLOOKUP($S$111,'TAR FIN'!$A$1:$O$88,15,0)),0,VLOOKUP($S$111,'TAR FIN'!$A$1:$O$88,15,0))</f>
        <v>0</v>
      </c>
      <c r="W111" s="6">
        <f>IF(ISERROR(VLOOKUP($T$111,'TAR FIN'!$A$1:$O$88,15,0)),0,VLOOKUP($T$111,'TAR FIN'!$A$1:$O$88,15,0))</f>
        <v>1465.12</v>
      </c>
      <c r="X111" s="6">
        <f>IF(ISERROR(VLOOKUP($U$111,'TAR FIN'!$A$1:$O$88,15,0)),0,VLOOKUP($U$111,'TAR FIN'!$A$1:$O$88,15,0))</f>
        <v>0</v>
      </c>
      <c r="Y111" s="6"/>
      <c r="Z111" s="6">
        <f ca="1">('TUSD BE'!$AM$11+'TUSD BF'!$AM$11+'TUSD CVA'!$AM$11)*1</f>
        <v>1652.6258572524951</v>
      </c>
      <c r="AA111" s="6"/>
      <c r="AB111" s="6">
        <f>$K$111*$V$111</f>
        <v>0</v>
      </c>
      <c r="AC111" s="6">
        <f>$M$111*$W$111</f>
        <v>3646.6836799999996</v>
      </c>
      <c r="AD111" s="6">
        <f>$O$111*$X$111</f>
        <v>0</v>
      </c>
      <c r="AE111" s="6">
        <f>$K$111*$Y$111</f>
        <v>0</v>
      </c>
      <c r="AF111" s="6">
        <f ca="1">$M$111*$Z$111</f>
        <v>4113.38575870146</v>
      </c>
      <c r="AG111" s="6">
        <f>$O$111*$AA$111</f>
        <v>0</v>
      </c>
    </row>
    <row r="112" spans="1:33" ht="11.25" customHeight="1" x14ac:dyDescent="0.25">
      <c r="A112" s="4" t="s">
        <v>21</v>
      </c>
      <c r="B112" s="4" t="s">
        <v>35</v>
      </c>
      <c r="C112" s="4" t="s">
        <v>36</v>
      </c>
      <c r="D112" s="4" t="s">
        <v>34</v>
      </c>
      <c r="E112" s="4" t="s">
        <v>25</v>
      </c>
      <c r="F112" s="4" t="s">
        <v>25</v>
      </c>
      <c r="G112" s="4" t="s">
        <v>25</v>
      </c>
      <c r="H112" s="4" t="s">
        <v>38</v>
      </c>
      <c r="I112" s="5">
        <v>44378</v>
      </c>
      <c r="J112" s="6">
        <v>0</v>
      </c>
      <c r="K112" s="6">
        <v>0</v>
      </c>
      <c r="L112" s="6">
        <v>307.83600000000001</v>
      </c>
      <c r="M112" s="6">
        <v>307.83600000000001</v>
      </c>
      <c r="N112" s="6">
        <v>307.83600000000001</v>
      </c>
      <c r="O112" s="6">
        <v>307.83600000000001</v>
      </c>
      <c r="P112" s="6">
        <v>0</v>
      </c>
      <c r="Q112" s="4" t="s">
        <v>26</v>
      </c>
      <c r="R112" s="4">
        <v>0</v>
      </c>
      <c r="S112" s="6">
        <v>0</v>
      </c>
      <c r="T112" s="6">
        <v>15</v>
      </c>
      <c r="U112" s="6">
        <v>28</v>
      </c>
      <c r="V112" s="6">
        <f>IF(ISERROR(VLOOKUP($S$112,'TAR FIN'!$A$1:$O$88,15,0)),0,VLOOKUP($S$112,'TAR FIN'!$A$1:$O$88,15,0))</f>
        <v>0</v>
      </c>
      <c r="W112" s="6">
        <f>IF(ISERROR(VLOOKUP($T$112,'TAR FIN'!$A$1:$O$88,15,0)),0,VLOOKUP($T$112,'TAR FIN'!$A$1:$O$88,15,0))</f>
        <v>79.319999999999993</v>
      </c>
      <c r="X112" s="6">
        <f>IF(ISERROR(VLOOKUP($U$112,'TAR FIN'!$A$1:$O$88,15,0)),0,VLOOKUP($U$112,'TAR FIN'!$A$1:$O$88,15,0))</f>
        <v>252.22</v>
      </c>
      <c r="Y112" s="6"/>
      <c r="Z112" s="6">
        <f ca="1">('TUSD BE'!$AM$12+'TUSD BF'!$AM$12+'TUSD CVA'!$AM$12)*1</f>
        <v>102.71637945274784</v>
      </c>
      <c r="AA112" s="6">
        <f>('TE BE'!$AB$6+'TE BF'!$AB$6+'TE CVA'!$AB$6)*1</f>
        <v>251.92449556687748</v>
      </c>
      <c r="AB112" s="6">
        <f>$K$112*$V$112</f>
        <v>0</v>
      </c>
      <c r="AC112" s="6">
        <f>$M$112*$W$112</f>
        <v>24417.551519999997</v>
      </c>
      <c r="AD112" s="6">
        <f>$O$112*$X$112</f>
        <v>77642.39592000001</v>
      </c>
      <c r="AE112" s="6">
        <f>$K$112*$Y$112</f>
        <v>0</v>
      </c>
      <c r="AF112" s="6">
        <f ca="1">$M$112*$Z$112</f>
        <v>31619.799385216087</v>
      </c>
      <c r="AG112" s="6">
        <f>$O$112*$AA$112</f>
        <v>77551.429017325296</v>
      </c>
    </row>
    <row r="113" spans="1:33" ht="11.25" customHeight="1" x14ac:dyDescent="0.25">
      <c r="A113" s="4" t="s">
        <v>21</v>
      </c>
      <c r="B113" s="4" t="s">
        <v>35</v>
      </c>
      <c r="C113" s="4" t="s">
        <v>36</v>
      </c>
      <c r="D113" s="4" t="s">
        <v>34</v>
      </c>
      <c r="E113" s="4" t="s">
        <v>25</v>
      </c>
      <c r="F113" s="4" t="s">
        <v>25</v>
      </c>
      <c r="G113" s="4" t="s">
        <v>25</v>
      </c>
      <c r="H113" s="4" t="s">
        <v>38</v>
      </c>
      <c r="I113" s="5">
        <v>44409</v>
      </c>
      <c r="J113" s="6">
        <v>0</v>
      </c>
      <c r="K113" s="6">
        <v>0</v>
      </c>
      <c r="L113" s="6">
        <v>428.952</v>
      </c>
      <c r="M113" s="6">
        <v>428.952</v>
      </c>
      <c r="N113" s="6">
        <v>428.952</v>
      </c>
      <c r="O113" s="6">
        <v>428.952</v>
      </c>
      <c r="P113" s="6">
        <v>0</v>
      </c>
      <c r="Q113" s="4" t="s">
        <v>26</v>
      </c>
      <c r="R113" s="4">
        <v>0</v>
      </c>
      <c r="S113" s="6">
        <v>0</v>
      </c>
      <c r="T113" s="6">
        <v>15</v>
      </c>
      <c r="U113" s="6">
        <v>28</v>
      </c>
      <c r="V113" s="6">
        <f>IF(ISERROR(VLOOKUP($S$113,'TAR FIN'!$A$1:$O$88,15,0)),0,VLOOKUP($S$113,'TAR FIN'!$A$1:$O$88,15,0))</f>
        <v>0</v>
      </c>
      <c r="W113" s="6">
        <f>IF(ISERROR(VLOOKUP($T$113,'TAR FIN'!$A$1:$O$88,15,0)),0,VLOOKUP($T$113,'TAR FIN'!$A$1:$O$88,15,0))</f>
        <v>79.319999999999993</v>
      </c>
      <c r="X113" s="6">
        <f>IF(ISERROR(VLOOKUP($U$113,'TAR FIN'!$A$1:$O$88,15,0)),0,VLOOKUP($U$113,'TAR FIN'!$A$1:$O$88,15,0))</f>
        <v>252.22</v>
      </c>
      <c r="Y113" s="6"/>
      <c r="Z113" s="6">
        <f ca="1">('TUSD BE'!$AM$12+'TUSD BF'!$AM$12+'TUSD CVA'!$AM$12)*1</f>
        <v>102.71637945274784</v>
      </c>
      <c r="AA113" s="6">
        <f>('TE BE'!$AB$6+'TE BF'!$AB$6+'TE CVA'!$AB$6)*1</f>
        <v>251.92449556687748</v>
      </c>
      <c r="AB113" s="6">
        <f>$K$113*$V$113</f>
        <v>0</v>
      </c>
      <c r="AC113" s="6">
        <f>$M$113*$W$113</f>
        <v>34024.47264</v>
      </c>
      <c r="AD113" s="6">
        <f>$O$113*$X$113</f>
        <v>108190.27344</v>
      </c>
      <c r="AE113" s="6">
        <f>$K$113*$Y$113</f>
        <v>0</v>
      </c>
      <c r="AF113" s="6">
        <f ca="1">$M$113*$Z$113</f>
        <v>44060.396399015095</v>
      </c>
      <c r="AG113" s="6">
        <f>$O$113*$AA$113</f>
        <v>108063.51622240322</v>
      </c>
    </row>
    <row r="114" spans="1:33" ht="11.25" customHeight="1" x14ac:dyDescent="0.25">
      <c r="A114" s="4" t="s">
        <v>21</v>
      </c>
      <c r="B114" s="4" t="s">
        <v>35</v>
      </c>
      <c r="C114" s="4" t="s">
        <v>36</v>
      </c>
      <c r="D114" s="4" t="s">
        <v>34</v>
      </c>
      <c r="E114" s="4" t="s">
        <v>25</v>
      </c>
      <c r="F114" s="4" t="s">
        <v>25</v>
      </c>
      <c r="G114" s="4" t="s">
        <v>25</v>
      </c>
      <c r="H114" s="4" t="s">
        <v>38</v>
      </c>
      <c r="I114" s="5">
        <v>44440</v>
      </c>
      <c r="J114" s="6">
        <v>0</v>
      </c>
      <c r="K114" s="6">
        <v>0</v>
      </c>
      <c r="L114" s="6">
        <v>379.90899999999999</v>
      </c>
      <c r="M114" s="6">
        <v>379.90899999999999</v>
      </c>
      <c r="N114" s="6">
        <v>379.90899999999999</v>
      </c>
      <c r="O114" s="6">
        <v>379.90899999999999</v>
      </c>
      <c r="P114" s="6">
        <v>0</v>
      </c>
      <c r="Q114" s="4" t="s">
        <v>26</v>
      </c>
      <c r="R114" s="4">
        <v>0</v>
      </c>
      <c r="S114" s="6">
        <v>0</v>
      </c>
      <c r="T114" s="6">
        <v>15</v>
      </c>
      <c r="U114" s="6">
        <v>28</v>
      </c>
      <c r="V114" s="6">
        <f>IF(ISERROR(VLOOKUP($S$114,'TAR FIN'!$A$1:$O$88,15,0)),0,VLOOKUP($S$114,'TAR FIN'!$A$1:$O$88,15,0))</f>
        <v>0</v>
      </c>
      <c r="W114" s="6">
        <f>IF(ISERROR(VLOOKUP($T$114,'TAR FIN'!$A$1:$O$88,15,0)),0,VLOOKUP($T$114,'TAR FIN'!$A$1:$O$88,15,0))</f>
        <v>79.319999999999993</v>
      </c>
      <c r="X114" s="6">
        <f>IF(ISERROR(VLOOKUP($U$114,'TAR FIN'!$A$1:$O$88,15,0)),0,VLOOKUP($U$114,'TAR FIN'!$A$1:$O$88,15,0))</f>
        <v>252.22</v>
      </c>
      <c r="Y114" s="6"/>
      <c r="Z114" s="6">
        <f ca="1">('TUSD BE'!$AM$12+'TUSD BF'!$AM$12+'TUSD CVA'!$AM$12)*1</f>
        <v>102.71637945274784</v>
      </c>
      <c r="AA114" s="6">
        <f>('TE BE'!$AB$6+'TE BF'!$AB$6+'TE CVA'!$AB$6)*1</f>
        <v>251.92449556687748</v>
      </c>
      <c r="AB114" s="6">
        <f>$K$114*$V$114</f>
        <v>0</v>
      </c>
      <c r="AC114" s="6">
        <f>$M$114*$W$114</f>
        <v>30134.381879999997</v>
      </c>
      <c r="AD114" s="6">
        <f>$O$114*$X$114</f>
        <v>95820.647979999994</v>
      </c>
      <c r="AE114" s="6">
        <f>$K$114*$Y$114</f>
        <v>0</v>
      </c>
      <c r="AF114" s="6">
        <f ca="1">$M$114*$Z$114</f>
        <v>39022.877001513982</v>
      </c>
      <c r="AG114" s="6">
        <f>$O$114*$AA$114</f>
        <v>95708.38318631686</v>
      </c>
    </row>
    <row r="115" spans="1:33" ht="11.25" customHeight="1" x14ac:dyDescent="0.25">
      <c r="A115" s="4" t="s">
        <v>21</v>
      </c>
      <c r="B115" s="4" t="s">
        <v>35</v>
      </c>
      <c r="C115" s="4" t="s">
        <v>36</v>
      </c>
      <c r="D115" s="4" t="s">
        <v>34</v>
      </c>
      <c r="E115" s="4" t="s">
        <v>25</v>
      </c>
      <c r="F115" s="4" t="s">
        <v>25</v>
      </c>
      <c r="G115" s="4" t="s">
        <v>25</v>
      </c>
      <c r="H115" s="4" t="s">
        <v>38</v>
      </c>
      <c r="I115" s="5">
        <v>44470</v>
      </c>
      <c r="J115" s="6">
        <v>0</v>
      </c>
      <c r="K115" s="6">
        <v>0</v>
      </c>
      <c r="L115" s="6">
        <v>412.01</v>
      </c>
      <c r="M115" s="6">
        <v>412.01</v>
      </c>
      <c r="N115" s="6">
        <v>412.01</v>
      </c>
      <c r="O115" s="6">
        <v>412.01</v>
      </c>
      <c r="P115" s="6">
        <v>0</v>
      </c>
      <c r="Q115" s="4" t="s">
        <v>26</v>
      </c>
      <c r="R115" s="4">
        <v>0</v>
      </c>
      <c r="S115" s="6">
        <v>0</v>
      </c>
      <c r="T115" s="6">
        <v>15</v>
      </c>
      <c r="U115" s="6">
        <v>28</v>
      </c>
      <c r="V115" s="6">
        <f>IF(ISERROR(VLOOKUP($S$115,'TAR FIN'!$A$1:$O$88,15,0)),0,VLOOKUP($S$115,'TAR FIN'!$A$1:$O$88,15,0))</f>
        <v>0</v>
      </c>
      <c r="W115" s="6">
        <f>IF(ISERROR(VLOOKUP($T$115,'TAR FIN'!$A$1:$O$88,15,0)),0,VLOOKUP($T$115,'TAR FIN'!$A$1:$O$88,15,0))</f>
        <v>79.319999999999993</v>
      </c>
      <c r="X115" s="6">
        <f>IF(ISERROR(VLOOKUP($U$115,'TAR FIN'!$A$1:$O$88,15,0)),0,VLOOKUP($U$115,'TAR FIN'!$A$1:$O$88,15,0))</f>
        <v>252.22</v>
      </c>
      <c r="Y115" s="6"/>
      <c r="Z115" s="6">
        <f ca="1">('TUSD BE'!$AM$12+'TUSD BF'!$AM$12+'TUSD CVA'!$AM$12)*1</f>
        <v>102.71637945274784</v>
      </c>
      <c r="AA115" s="6">
        <f>('TE BE'!$AB$6+'TE BF'!$AB$6+'TE CVA'!$AB$6)*1</f>
        <v>251.92449556687748</v>
      </c>
      <c r="AB115" s="6">
        <f>$K$115*$V$115</f>
        <v>0</v>
      </c>
      <c r="AC115" s="6">
        <f>$M$115*$W$115</f>
        <v>32680.633199999997</v>
      </c>
      <c r="AD115" s="6">
        <f>$O$115*$X$115</f>
        <v>103917.16219999999</v>
      </c>
      <c r="AE115" s="6">
        <f>$K$115*$Y$115</f>
        <v>0</v>
      </c>
      <c r="AF115" s="6">
        <f ca="1">$M$115*$Z$115</f>
        <v>42320.175498326636</v>
      </c>
      <c r="AG115" s="6">
        <f>$O$115*$AA$115</f>
        <v>103795.41141850919</v>
      </c>
    </row>
    <row r="116" spans="1:33" ht="11.25" customHeight="1" x14ac:dyDescent="0.25">
      <c r="A116" s="4" t="s">
        <v>21</v>
      </c>
      <c r="B116" s="4" t="s">
        <v>35</v>
      </c>
      <c r="C116" s="4" t="s">
        <v>36</v>
      </c>
      <c r="D116" s="4" t="s">
        <v>34</v>
      </c>
      <c r="E116" s="4" t="s">
        <v>25</v>
      </c>
      <c r="F116" s="4" t="s">
        <v>25</v>
      </c>
      <c r="G116" s="4" t="s">
        <v>25</v>
      </c>
      <c r="H116" s="4" t="s">
        <v>38</v>
      </c>
      <c r="I116" s="5">
        <v>44501</v>
      </c>
      <c r="J116" s="6">
        <v>0</v>
      </c>
      <c r="K116" s="6">
        <v>0</v>
      </c>
      <c r="L116" s="6">
        <v>433.82400000000001</v>
      </c>
      <c r="M116" s="6">
        <v>433.82400000000001</v>
      </c>
      <c r="N116" s="6">
        <v>433.82400000000001</v>
      </c>
      <c r="O116" s="6">
        <v>433.82400000000001</v>
      </c>
      <c r="P116" s="6">
        <v>0</v>
      </c>
      <c r="Q116" s="4" t="s">
        <v>26</v>
      </c>
      <c r="R116" s="4">
        <v>0</v>
      </c>
      <c r="S116" s="6">
        <v>0</v>
      </c>
      <c r="T116" s="6">
        <v>15</v>
      </c>
      <c r="U116" s="6">
        <v>28</v>
      </c>
      <c r="V116" s="6">
        <f>IF(ISERROR(VLOOKUP($S$116,'TAR FIN'!$A$1:$O$88,15,0)),0,VLOOKUP($S$116,'TAR FIN'!$A$1:$O$88,15,0))</f>
        <v>0</v>
      </c>
      <c r="W116" s="6">
        <f>IF(ISERROR(VLOOKUP($T$116,'TAR FIN'!$A$1:$O$88,15,0)),0,VLOOKUP($T$116,'TAR FIN'!$A$1:$O$88,15,0))</f>
        <v>79.319999999999993</v>
      </c>
      <c r="X116" s="6">
        <f>IF(ISERROR(VLOOKUP($U$116,'TAR FIN'!$A$1:$O$88,15,0)),0,VLOOKUP($U$116,'TAR FIN'!$A$1:$O$88,15,0))</f>
        <v>252.22</v>
      </c>
      <c r="Y116" s="6"/>
      <c r="Z116" s="6">
        <f ca="1">('TUSD BE'!$AM$12+'TUSD BF'!$AM$12+'TUSD CVA'!$AM$12)*1</f>
        <v>102.71637945274784</v>
      </c>
      <c r="AA116" s="6">
        <f>('TE BE'!$AB$6+'TE BF'!$AB$6+'TE CVA'!$AB$6)*1</f>
        <v>251.92449556687748</v>
      </c>
      <c r="AB116" s="6">
        <f>$K$116*$V$116</f>
        <v>0</v>
      </c>
      <c r="AC116" s="6">
        <f>$M$116*$W$116</f>
        <v>34410.919679999999</v>
      </c>
      <c r="AD116" s="6">
        <f>$O$116*$X$116</f>
        <v>109419.08928</v>
      </c>
      <c r="AE116" s="6">
        <f>$K$116*$Y$116</f>
        <v>0</v>
      </c>
      <c r="AF116" s="6">
        <f ca="1">$M$116*$Z$116</f>
        <v>44560.830599708883</v>
      </c>
      <c r="AG116" s="6">
        <f>$O$116*$AA$116</f>
        <v>109290.89236480505</v>
      </c>
    </row>
    <row r="117" spans="1:33" ht="11.25" customHeight="1" x14ac:dyDescent="0.25">
      <c r="A117" s="4" t="s">
        <v>21</v>
      </c>
      <c r="B117" s="4" t="s">
        <v>35</v>
      </c>
      <c r="C117" s="4" t="s">
        <v>36</v>
      </c>
      <c r="D117" s="4" t="s">
        <v>34</v>
      </c>
      <c r="E117" s="4" t="s">
        <v>25</v>
      </c>
      <c r="F117" s="4" t="s">
        <v>25</v>
      </c>
      <c r="G117" s="4" t="s">
        <v>25</v>
      </c>
      <c r="H117" s="4" t="s">
        <v>38</v>
      </c>
      <c r="I117" s="5">
        <v>44531</v>
      </c>
      <c r="J117" s="6">
        <v>0</v>
      </c>
      <c r="K117" s="6">
        <v>0</v>
      </c>
      <c r="L117" s="6">
        <v>386.30700000000002</v>
      </c>
      <c r="M117" s="6">
        <v>386.30700000000002</v>
      </c>
      <c r="N117" s="6">
        <v>386.30700000000002</v>
      </c>
      <c r="O117" s="6">
        <v>386.30700000000002</v>
      </c>
      <c r="P117" s="6">
        <v>0</v>
      </c>
      <c r="Q117" s="4" t="s">
        <v>26</v>
      </c>
      <c r="R117" s="4">
        <v>0</v>
      </c>
      <c r="S117" s="6">
        <v>0</v>
      </c>
      <c r="T117" s="6">
        <v>15</v>
      </c>
      <c r="U117" s="6">
        <v>28</v>
      </c>
      <c r="V117" s="6">
        <f>IF(ISERROR(VLOOKUP($S$117,'TAR FIN'!$A$1:$O$88,15,0)),0,VLOOKUP($S$117,'TAR FIN'!$A$1:$O$88,15,0))</f>
        <v>0</v>
      </c>
      <c r="W117" s="6">
        <f>IF(ISERROR(VLOOKUP($T$117,'TAR FIN'!$A$1:$O$88,15,0)),0,VLOOKUP($T$117,'TAR FIN'!$A$1:$O$88,15,0))</f>
        <v>79.319999999999993</v>
      </c>
      <c r="X117" s="6">
        <f>IF(ISERROR(VLOOKUP($U$117,'TAR FIN'!$A$1:$O$88,15,0)),0,VLOOKUP($U$117,'TAR FIN'!$A$1:$O$88,15,0))</f>
        <v>252.22</v>
      </c>
      <c r="Y117" s="6"/>
      <c r="Z117" s="6">
        <f ca="1">('TUSD BE'!$AM$12+'TUSD BF'!$AM$12+'TUSD CVA'!$AM$12)*1</f>
        <v>102.71637945274784</v>
      </c>
      <c r="AA117" s="6">
        <f>('TE BE'!$AB$6+'TE BF'!$AB$6+'TE CVA'!$AB$6)*1</f>
        <v>251.92449556687748</v>
      </c>
      <c r="AB117" s="6">
        <f>$K$117*$V$117</f>
        <v>0</v>
      </c>
      <c r="AC117" s="6">
        <f>$M$117*$W$117</f>
        <v>30641.87124</v>
      </c>
      <c r="AD117" s="6">
        <f>$O$117*$X$117</f>
        <v>97434.351540000003</v>
      </c>
      <c r="AE117" s="6">
        <f>$K$117*$Y$117</f>
        <v>0</v>
      </c>
      <c r="AF117" s="6">
        <f ca="1">$M$117*$Z$117</f>
        <v>39680.056397252665</v>
      </c>
      <c r="AG117" s="6">
        <f>$O$117*$AA$117</f>
        <v>97320.196108953751</v>
      </c>
    </row>
    <row r="118" spans="1:33" ht="11.25" customHeight="1" x14ac:dyDescent="0.25">
      <c r="A118" s="4" t="s">
        <v>21</v>
      </c>
      <c r="B118" s="4" t="s">
        <v>35</v>
      </c>
      <c r="C118" s="4" t="s">
        <v>36</v>
      </c>
      <c r="D118" s="4" t="s">
        <v>34</v>
      </c>
      <c r="E118" s="4" t="s">
        <v>25</v>
      </c>
      <c r="F118" s="4" t="s">
        <v>25</v>
      </c>
      <c r="G118" s="4" t="s">
        <v>25</v>
      </c>
      <c r="H118" s="4" t="s">
        <v>38</v>
      </c>
      <c r="I118" s="5">
        <v>44562</v>
      </c>
      <c r="J118" s="6">
        <v>0</v>
      </c>
      <c r="K118" s="6">
        <v>0</v>
      </c>
      <c r="L118" s="6">
        <v>372.16</v>
      </c>
      <c r="M118" s="6">
        <v>372.16</v>
      </c>
      <c r="N118" s="6">
        <v>372.16</v>
      </c>
      <c r="O118" s="6">
        <v>372.16</v>
      </c>
      <c r="P118" s="6">
        <v>0</v>
      </c>
      <c r="Q118" s="4" t="s">
        <v>26</v>
      </c>
      <c r="R118" s="4">
        <v>0</v>
      </c>
      <c r="S118" s="6">
        <v>0</v>
      </c>
      <c r="T118" s="6">
        <v>15</v>
      </c>
      <c r="U118" s="6">
        <v>28</v>
      </c>
      <c r="V118" s="6">
        <f>IF(ISERROR(VLOOKUP($S$118,'TAR FIN'!$A$1:$O$88,15,0)),0,VLOOKUP($S$118,'TAR FIN'!$A$1:$O$88,15,0))</f>
        <v>0</v>
      </c>
      <c r="W118" s="6">
        <f>IF(ISERROR(VLOOKUP($T$118,'TAR FIN'!$A$1:$O$88,15,0)),0,VLOOKUP($T$118,'TAR FIN'!$A$1:$O$88,15,0))</f>
        <v>79.319999999999993</v>
      </c>
      <c r="X118" s="6">
        <f>IF(ISERROR(VLOOKUP($U$118,'TAR FIN'!$A$1:$O$88,15,0)),0,VLOOKUP($U$118,'TAR FIN'!$A$1:$O$88,15,0))</f>
        <v>252.22</v>
      </c>
      <c r="Y118" s="6"/>
      <c r="Z118" s="6">
        <f ca="1">('TUSD BE'!$AM$12+'TUSD BF'!$AM$12+'TUSD CVA'!$AM$12)*1</f>
        <v>102.71637945274784</v>
      </c>
      <c r="AA118" s="6">
        <f>('TE BE'!$AB$6+'TE BF'!$AB$6+'TE CVA'!$AB$6)*1</f>
        <v>251.92449556687748</v>
      </c>
      <c r="AB118" s="6">
        <f>$K$118*$V$118</f>
        <v>0</v>
      </c>
      <c r="AC118" s="6">
        <f>$M$118*$W$118</f>
        <v>29519.731199999998</v>
      </c>
      <c r="AD118" s="6">
        <f>$O$118*$X$118</f>
        <v>93866.195200000002</v>
      </c>
      <c r="AE118" s="6">
        <f>$K$118*$Y$118</f>
        <v>0</v>
      </c>
      <c r="AF118" s="6">
        <f ca="1">$M$118*$Z$118</f>
        <v>38226.927777134639</v>
      </c>
      <c r="AG118" s="6">
        <f>$O$118*$AA$118</f>
        <v>93756.220270169128</v>
      </c>
    </row>
    <row r="119" spans="1:33" ht="11.25" customHeight="1" x14ac:dyDescent="0.25">
      <c r="A119" s="4" t="s">
        <v>21</v>
      </c>
      <c r="B119" s="4" t="s">
        <v>35</v>
      </c>
      <c r="C119" s="4" t="s">
        <v>36</v>
      </c>
      <c r="D119" s="4" t="s">
        <v>34</v>
      </c>
      <c r="E119" s="4" t="s">
        <v>25</v>
      </c>
      <c r="F119" s="4" t="s">
        <v>25</v>
      </c>
      <c r="G119" s="4" t="s">
        <v>25</v>
      </c>
      <c r="H119" s="4" t="s">
        <v>38</v>
      </c>
      <c r="I119" s="5">
        <v>44593</v>
      </c>
      <c r="J119" s="6">
        <v>0</v>
      </c>
      <c r="K119" s="6">
        <v>0</v>
      </c>
      <c r="L119" s="6">
        <v>403.423</v>
      </c>
      <c r="M119" s="6">
        <v>403.423</v>
      </c>
      <c r="N119" s="6">
        <v>403.423</v>
      </c>
      <c r="O119" s="6">
        <v>403.423</v>
      </c>
      <c r="P119" s="6">
        <v>0</v>
      </c>
      <c r="Q119" s="4" t="s">
        <v>26</v>
      </c>
      <c r="R119" s="4">
        <v>0</v>
      </c>
      <c r="S119" s="6">
        <v>0</v>
      </c>
      <c r="T119" s="6">
        <v>15</v>
      </c>
      <c r="U119" s="6">
        <v>28</v>
      </c>
      <c r="V119" s="6">
        <f>IF(ISERROR(VLOOKUP($S$119,'TAR FIN'!$A$1:$O$88,15,0)),0,VLOOKUP($S$119,'TAR FIN'!$A$1:$O$88,15,0))</f>
        <v>0</v>
      </c>
      <c r="W119" s="6">
        <f>IF(ISERROR(VLOOKUP($T$119,'TAR FIN'!$A$1:$O$88,15,0)),0,VLOOKUP($T$119,'TAR FIN'!$A$1:$O$88,15,0))</f>
        <v>79.319999999999993</v>
      </c>
      <c r="X119" s="6">
        <f>IF(ISERROR(VLOOKUP($U$119,'TAR FIN'!$A$1:$O$88,15,0)),0,VLOOKUP($U$119,'TAR FIN'!$A$1:$O$88,15,0))</f>
        <v>252.22</v>
      </c>
      <c r="Y119" s="6"/>
      <c r="Z119" s="6">
        <f ca="1">('TUSD BE'!$AM$12+'TUSD BF'!$AM$12+'TUSD CVA'!$AM$12)*1</f>
        <v>102.71637945274784</v>
      </c>
      <c r="AA119" s="6">
        <f>('TE BE'!$AB$6+'TE BF'!$AB$6+'TE CVA'!$AB$6)*1</f>
        <v>251.92449556687748</v>
      </c>
      <c r="AB119" s="6">
        <f>$K$119*$V$119</f>
        <v>0</v>
      </c>
      <c r="AC119" s="6">
        <f>$M$119*$W$119</f>
        <v>31999.512359999997</v>
      </c>
      <c r="AD119" s="6">
        <f>$O$119*$X$119</f>
        <v>101751.34905999999</v>
      </c>
      <c r="AE119" s="6">
        <f>$K$119*$Y$119</f>
        <v>0</v>
      </c>
      <c r="AF119" s="6">
        <f ca="1">$M$119*$Z$119</f>
        <v>41438.149947965896</v>
      </c>
      <c r="AG119" s="6">
        <f>$O$119*$AA$119</f>
        <v>101632.13577507641</v>
      </c>
    </row>
    <row r="120" spans="1:33" ht="11.25" customHeight="1" x14ac:dyDescent="0.25">
      <c r="A120" s="4" t="s">
        <v>21</v>
      </c>
      <c r="B120" s="4" t="s">
        <v>35</v>
      </c>
      <c r="C120" s="4" t="s">
        <v>36</v>
      </c>
      <c r="D120" s="4" t="s">
        <v>34</v>
      </c>
      <c r="E120" s="4" t="s">
        <v>25</v>
      </c>
      <c r="F120" s="4" t="s">
        <v>25</v>
      </c>
      <c r="G120" s="4" t="s">
        <v>25</v>
      </c>
      <c r="H120" s="4" t="s">
        <v>38</v>
      </c>
      <c r="I120" s="5">
        <v>44621</v>
      </c>
      <c r="J120" s="6">
        <v>0</v>
      </c>
      <c r="K120" s="6">
        <v>0</v>
      </c>
      <c r="L120" s="6">
        <v>542.94899999999996</v>
      </c>
      <c r="M120" s="6">
        <v>542.94899999999996</v>
      </c>
      <c r="N120" s="6">
        <v>542.94899999999996</v>
      </c>
      <c r="O120" s="6">
        <v>542.94899999999996</v>
      </c>
      <c r="P120" s="6">
        <v>0</v>
      </c>
      <c r="Q120" s="4" t="s">
        <v>26</v>
      </c>
      <c r="R120" s="4">
        <v>0</v>
      </c>
      <c r="S120" s="6">
        <v>0</v>
      </c>
      <c r="T120" s="6">
        <v>15</v>
      </c>
      <c r="U120" s="6">
        <v>28</v>
      </c>
      <c r="V120" s="6">
        <f>IF(ISERROR(VLOOKUP($S$120,'TAR FIN'!$A$1:$O$88,15,0)),0,VLOOKUP($S$120,'TAR FIN'!$A$1:$O$88,15,0))</f>
        <v>0</v>
      </c>
      <c r="W120" s="6">
        <f>IF(ISERROR(VLOOKUP($T$120,'TAR FIN'!$A$1:$O$88,15,0)),0,VLOOKUP($T$120,'TAR FIN'!$A$1:$O$88,15,0))</f>
        <v>79.319999999999993</v>
      </c>
      <c r="X120" s="6">
        <f>IF(ISERROR(VLOOKUP($U$120,'TAR FIN'!$A$1:$O$88,15,0)),0,VLOOKUP($U$120,'TAR FIN'!$A$1:$O$88,15,0))</f>
        <v>252.22</v>
      </c>
      <c r="Y120" s="6"/>
      <c r="Z120" s="6">
        <f ca="1">('TUSD BE'!$AM$12+'TUSD BF'!$AM$12+'TUSD CVA'!$AM$12)*1</f>
        <v>102.71637945274784</v>
      </c>
      <c r="AA120" s="6">
        <f>('TE BE'!$AB$6+'TE BF'!$AB$6+'TE CVA'!$AB$6)*1</f>
        <v>251.92449556687748</v>
      </c>
      <c r="AB120" s="6">
        <f>$K$120*$V$120</f>
        <v>0</v>
      </c>
      <c r="AC120" s="6">
        <f>$M$120*$W$120</f>
        <v>43066.71467999999</v>
      </c>
      <c r="AD120" s="6">
        <f>$O$120*$X$120</f>
        <v>136942.59677999999</v>
      </c>
      <c r="AE120" s="6">
        <f>$K$120*$Y$120</f>
        <v>0</v>
      </c>
      <c r="AF120" s="6">
        <f ca="1">$M$120*$Z$120</f>
        <v>55769.755507489986</v>
      </c>
      <c r="AG120" s="6">
        <f>$O$120*$AA$120</f>
        <v>136782.15294354054</v>
      </c>
    </row>
    <row r="121" spans="1:33" ht="11.25" customHeight="1" x14ac:dyDescent="0.25">
      <c r="A121" s="4" t="s">
        <v>21</v>
      </c>
      <c r="B121" s="4" t="s">
        <v>35</v>
      </c>
      <c r="C121" s="4" t="s">
        <v>36</v>
      </c>
      <c r="D121" s="4" t="s">
        <v>34</v>
      </c>
      <c r="E121" s="4" t="s">
        <v>25</v>
      </c>
      <c r="F121" s="4" t="s">
        <v>25</v>
      </c>
      <c r="G121" s="4" t="s">
        <v>25</v>
      </c>
      <c r="H121" s="4" t="s">
        <v>38</v>
      </c>
      <c r="I121" s="5">
        <v>44652</v>
      </c>
      <c r="J121" s="6">
        <v>0</v>
      </c>
      <c r="K121" s="6">
        <v>0</v>
      </c>
      <c r="L121" s="6">
        <v>851.36900000000003</v>
      </c>
      <c r="M121" s="6">
        <v>851.36900000000003</v>
      </c>
      <c r="N121" s="6">
        <v>851.36900000000003</v>
      </c>
      <c r="O121" s="6">
        <v>851.36900000000003</v>
      </c>
      <c r="P121" s="6">
        <v>0</v>
      </c>
      <c r="Q121" s="4" t="s">
        <v>26</v>
      </c>
      <c r="R121" s="4">
        <v>0</v>
      </c>
      <c r="S121" s="6">
        <v>0</v>
      </c>
      <c r="T121" s="6">
        <v>15</v>
      </c>
      <c r="U121" s="6">
        <v>28</v>
      </c>
      <c r="V121" s="6">
        <f>IF(ISERROR(VLOOKUP($S$121,'TAR FIN'!$A$1:$O$88,15,0)),0,VLOOKUP($S$121,'TAR FIN'!$A$1:$O$88,15,0))</f>
        <v>0</v>
      </c>
      <c r="W121" s="6">
        <f>IF(ISERROR(VLOOKUP($T$121,'TAR FIN'!$A$1:$O$88,15,0)),0,VLOOKUP($T$121,'TAR FIN'!$A$1:$O$88,15,0))</f>
        <v>79.319999999999993</v>
      </c>
      <c r="X121" s="6">
        <f>IF(ISERROR(VLOOKUP($U$121,'TAR FIN'!$A$1:$O$88,15,0)),0,VLOOKUP($U$121,'TAR FIN'!$A$1:$O$88,15,0))</f>
        <v>252.22</v>
      </c>
      <c r="Y121" s="6"/>
      <c r="Z121" s="6">
        <f ca="1">('TUSD BE'!$AM$12+'TUSD BF'!$AM$12+'TUSD CVA'!$AM$12)*1</f>
        <v>102.71637945274784</v>
      </c>
      <c r="AA121" s="6">
        <f>('TE BE'!$AB$6+'TE BF'!$AB$6+'TE CVA'!$AB$6)*1</f>
        <v>251.92449556687748</v>
      </c>
      <c r="AB121" s="6">
        <f>$K$121*$V$121</f>
        <v>0</v>
      </c>
      <c r="AC121" s="6">
        <f>$M$121*$W$121</f>
        <v>67530.589079999991</v>
      </c>
      <c r="AD121" s="6">
        <f>$O$121*$X$121</f>
        <v>214732.28917999999</v>
      </c>
      <c r="AE121" s="6">
        <f>$K$121*$Y$121</f>
        <v>0</v>
      </c>
      <c r="AF121" s="6">
        <f ca="1">$M$121*$Z$121</f>
        <v>87449.541258306475</v>
      </c>
      <c r="AG121" s="6">
        <f>$O$121*$AA$121</f>
        <v>214480.70586627693</v>
      </c>
    </row>
    <row r="122" spans="1:33" ht="11.25" customHeight="1" x14ac:dyDescent="0.25">
      <c r="A122" s="4" t="s">
        <v>21</v>
      </c>
      <c r="B122" s="4" t="s">
        <v>35</v>
      </c>
      <c r="C122" s="4" t="s">
        <v>36</v>
      </c>
      <c r="D122" s="4" t="s">
        <v>34</v>
      </c>
      <c r="E122" s="4" t="s">
        <v>25</v>
      </c>
      <c r="F122" s="4" t="s">
        <v>25</v>
      </c>
      <c r="G122" s="4" t="s">
        <v>25</v>
      </c>
      <c r="H122" s="4" t="s">
        <v>38</v>
      </c>
      <c r="I122" s="5">
        <v>44682</v>
      </c>
      <c r="J122" s="6">
        <v>0</v>
      </c>
      <c r="K122" s="6">
        <v>0</v>
      </c>
      <c r="L122" s="6">
        <v>661.17499999999995</v>
      </c>
      <c r="M122" s="6">
        <v>661.17499999999995</v>
      </c>
      <c r="N122" s="6">
        <v>661.17499999999995</v>
      </c>
      <c r="O122" s="6">
        <v>661.17499999999995</v>
      </c>
      <c r="P122" s="6">
        <v>0</v>
      </c>
      <c r="Q122" s="4" t="s">
        <v>26</v>
      </c>
      <c r="R122" s="4">
        <v>0</v>
      </c>
      <c r="S122" s="6">
        <v>0</v>
      </c>
      <c r="T122" s="6">
        <v>15</v>
      </c>
      <c r="U122" s="6">
        <v>28</v>
      </c>
      <c r="V122" s="6">
        <f>IF(ISERROR(VLOOKUP($S$122,'TAR FIN'!$A$1:$O$88,15,0)),0,VLOOKUP($S$122,'TAR FIN'!$A$1:$O$88,15,0))</f>
        <v>0</v>
      </c>
      <c r="W122" s="6">
        <f>IF(ISERROR(VLOOKUP($T$122,'TAR FIN'!$A$1:$O$88,15,0)),0,VLOOKUP($T$122,'TAR FIN'!$A$1:$O$88,15,0))</f>
        <v>79.319999999999993</v>
      </c>
      <c r="X122" s="6">
        <f>IF(ISERROR(VLOOKUP($U$122,'TAR FIN'!$A$1:$O$88,15,0)),0,VLOOKUP($U$122,'TAR FIN'!$A$1:$O$88,15,0))</f>
        <v>252.22</v>
      </c>
      <c r="Y122" s="6"/>
      <c r="Z122" s="6">
        <f ca="1">('TUSD BE'!$AM$12+'TUSD BF'!$AM$12+'TUSD CVA'!$AM$12)*1</f>
        <v>102.71637945274784</v>
      </c>
      <c r="AA122" s="6">
        <f>('TE BE'!$AB$6+'TE BF'!$AB$6+'TE CVA'!$AB$6)*1</f>
        <v>251.92449556687748</v>
      </c>
      <c r="AB122" s="6">
        <f>$K$122*$V$122</f>
        <v>0</v>
      </c>
      <c r="AC122" s="6">
        <f>$M$122*$W$122</f>
        <v>52444.400999999991</v>
      </c>
      <c r="AD122" s="6">
        <f>$O$122*$X$122</f>
        <v>166761.55849999998</v>
      </c>
      <c r="AE122" s="6">
        <f>$K$122*$Y$122</f>
        <v>0</v>
      </c>
      <c r="AF122" s="6">
        <f ca="1">$M$122*$Z$122</f>
        <v>67913.502184670549</v>
      </c>
      <c r="AG122" s="6">
        <f>$O$122*$AA$122</f>
        <v>166566.1783564302</v>
      </c>
    </row>
    <row r="123" spans="1:33" ht="11.25" customHeight="1" x14ac:dyDescent="0.25">
      <c r="A123" s="4" t="s">
        <v>27</v>
      </c>
      <c r="B123" s="4" t="s">
        <v>35</v>
      </c>
      <c r="C123" s="4" t="s">
        <v>36</v>
      </c>
      <c r="D123" s="4" t="s">
        <v>34</v>
      </c>
      <c r="E123" s="4" t="s">
        <v>25</v>
      </c>
      <c r="F123" s="4" t="s">
        <v>25</v>
      </c>
      <c r="G123" s="4" t="s">
        <v>25</v>
      </c>
      <c r="H123" s="4" t="s">
        <v>38</v>
      </c>
      <c r="I123" s="5">
        <v>44682</v>
      </c>
      <c r="J123" s="6">
        <v>0</v>
      </c>
      <c r="K123" s="6">
        <v>0</v>
      </c>
      <c r="L123" s="6">
        <v>-65.236999999999995</v>
      </c>
      <c r="M123" s="6">
        <v>-65.236999999999995</v>
      </c>
      <c r="N123" s="6">
        <v>-65.236999999999995</v>
      </c>
      <c r="O123" s="6">
        <v>-65.236999999999995</v>
      </c>
      <c r="P123" s="6">
        <v>0</v>
      </c>
      <c r="Q123" s="4" t="s">
        <v>26</v>
      </c>
      <c r="R123" s="4">
        <v>0</v>
      </c>
      <c r="S123" s="6">
        <v>0</v>
      </c>
      <c r="T123" s="6">
        <v>15</v>
      </c>
      <c r="U123" s="6">
        <v>28</v>
      </c>
      <c r="V123" s="6">
        <f>IF(ISERROR(VLOOKUP($S$123,'TAR FIN'!$A$1:$O$88,15,0)),0,VLOOKUP($S$123,'TAR FIN'!$A$1:$O$88,15,0))</f>
        <v>0</v>
      </c>
      <c r="W123" s="6">
        <f>IF(ISERROR(VLOOKUP($T$123,'TAR FIN'!$A$1:$O$88,15,0)),0,VLOOKUP($T$123,'TAR FIN'!$A$1:$O$88,15,0))</f>
        <v>79.319999999999993</v>
      </c>
      <c r="X123" s="6">
        <f>IF(ISERROR(VLOOKUP($U$123,'TAR FIN'!$A$1:$O$88,15,0)),0,VLOOKUP($U$123,'TAR FIN'!$A$1:$O$88,15,0))</f>
        <v>252.22</v>
      </c>
      <c r="Y123" s="6"/>
      <c r="Z123" s="6">
        <f ca="1">('TUSD BE'!$AM$12+'TUSD BF'!$AM$12+'TUSD CVA'!$AM$12)*1</f>
        <v>102.71637945274784</v>
      </c>
      <c r="AA123" s="6">
        <f>('TE BE'!$AB$6+'TE BF'!$AB$6+'TE CVA'!$AB$6)*1</f>
        <v>251.92449556687748</v>
      </c>
      <c r="AB123" s="6">
        <f>$K$123*$V$123</f>
        <v>0</v>
      </c>
      <c r="AC123" s="6">
        <f>$M$123*$W$123</f>
        <v>-5174.5988399999987</v>
      </c>
      <c r="AD123" s="6">
        <f>$O$123*$X$123</f>
        <v>-16454.076139999997</v>
      </c>
      <c r="AE123" s="6">
        <f>$K$123*$Y$123</f>
        <v>0</v>
      </c>
      <c r="AF123" s="6">
        <f ca="1">$M$123*$Z$123</f>
        <v>-6700.9084463589106</v>
      </c>
      <c r="AG123" s="6">
        <f>$O$123*$AA$123</f>
        <v>-16434.798317296383</v>
      </c>
    </row>
    <row r="124" spans="1:33" ht="11.25" customHeight="1" x14ac:dyDescent="0.25">
      <c r="A124" s="4" t="s">
        <v>21</v>
      </c>
      <c r="B124" s="4" t="s">
        <v>35</v>
      </c>
      <c r="C124" s="4" t="s">
        <v>36</v>
      </c>
      <c r="D124" s="4" t="s">
        <v>34</v>
      </c>
      <c r="E124" s="4" t="s">
        <v>25</v>
      </c>
      <c r="F124" s="4" t="s">
        <v>25</v>
      </c>
      <c r="G124" s="4" t="s">
        <v>25</v>
      </c>
      <c r="H124" s="4" t="s">
        <v>38</v>
      </c>
      <c r="I124" s="5">
        <v>44713</v>
      </c>
      <c r="J124" s="6">
        <v>0</v>
      </c>
      <c r="K124" s="6">
        <v>0</v>
      </c>
      <c r="L124" s="6">
        <v>340.99799999999999</v>
      </c>
      <c r="M124" s="6">
        <v>340.99799999999999</v>
      </c>
      <c r="N124" s="6">
        <v>340.99799999999999</v>
      </c>
      <c r="O124" s="6">
        <v>340.99799999999999</v>
      </c>
      <c r="P124" s="6">
        <v>0</v>
      </c>
      <c r="Q124" s="4" t="s">
        <v>26</v>
      </c>
      <c r="R124" s="4">
        <v>0</v>
      </c>
      <c r="S124" s="6">
        <v>0</v>
      </c>
      <c r="T124" s="6">
        <v>15</v>
      </c>
      <c r="U124" s="6">
        <v>28</v>
      </c>
      <c r="V124" s="6">
        <f>IF(ISERROR(VLOOKUP($S$124,'TAR FIN'!$A$1:$O$88,15,0)),0,VLOOKUP($S$124,'TAR FIN'!$A$1:$O$88,15,0))</f>
        <v>0</v>
      </c>
      <c r="W124" s="6">
        <f>IF(ISERROR(VLOOKUP($T$124,'TAR FIN'!$A$1:$O$88,15,0)),0,VLOOKUP($T$124,'TAR FIN'!$A$1:$O$88,15,0))</f>
        <v>79.319999999999993</v>
      </c>
      <c r="X124" s="6">
        <f>IF(ISERROR(VLOOKUP($U$124,'TAR FIN'!$A$1:$O$88,15,0)),0,VLOOKUP($U$124,'TAR FIN'!$A$1:$O$88,15,0))</f>
        <v>252.22</v>
      </c>
      <c r="Y124" s="6"/>
      <c r="Z124" s="6">
        <f ca="1">('TUSD BE'!$AM$12+'TUSD BF'!$AM$12+'TUSD CVA'!$AM$12)*1</f>
        <v>102.71637945274784</v>
      </c>
      <c r="AA124" s="6">
        <f>('TE BE'!$AB$6+'TE BF'!$AB$6+'TE CVA'!$AB$6)*1</f>
        <v>251.92449556687748</v>
      </c>
      <c r="AB124" s="6">
        <f>$K$124*$V$124</f>
        <v>0</v>
      </c>
      <c r="AC124" s="6">
        <f>$M$124*$W$124</f>
        <v>27047.961359999998</v>
      </c>
      <c r="AD124" s="6">
        <f>$O$124*$X$124</f>
        <v>86006.51556</v>
      </c>
      <c r="AE124" s="6">
        <f>$K$124*$Y$124</f>
        <v>0</v>
      </c>
      <c r="AF124" s="6">
        <f ca="1">$M$124*$Z$124</f>
        <v>35026.079960628107</v>
      </c>
      <c r="AG124" s="6">
        <f>$O$124*$AA$124</f>
        <v>85905.749139314081</v>
      </c>
    </row>
    <row r="125" spans="1:33" ht="11.25" customHeight="1" x14ac:dyDescent="0.25">
      <c r="A125" s="4" t="s">
        <v>28</v>
      </c>
      <c r="B125" s="4" t="s">
        <v>35</v>
      </c>
      <c r="C125" s="4" t="s">
        <v>36</v>
      </c>
      <c r="D125" s="4" t="s">
        <v>34</v>
      </c>
      <c r="E125" s="4" t="s">
        <v>25</v>
      </c>
      <c r="F125" s="4" t="s">
        <v>25</v>
      </c>
      <c r="G125" s="4" t="s">
        <v>25</v>
      </c>
      <c r="H125" s="4" t="s">
        <v>38</v>
      </c>
      <c r="I125" s="5">
        <v>44713</v>
      </c>
      <c r="J125" s="6">
        <v>0</v>
      </c>
      <c r="K125" s="6">
        <v>0</v>
      </c>
      <c r="L125" s="6">
        <v>7.8609999999999998</v>
      </c>
      <c r="M125" s="6">
        <v>7.8609999999999998</v>
      </c>
      <c r="N125" s="6">
        <v>7.8609999999999998</v>
      </c>
      <c r="O125" s="6">
        <v>7.8609999999999998</v>
      </c>
      <c r="P125" s="6">
        <v>0</v>
      </c>
      <c r="Q125" s="4" t="s">
        <v>26</v>
      </c>
      <c r="R125" s="4">
        <v>0</v>
      </c>
      <c r="S125" s="6">
        <v>0</v>
      </c>
      <c r="T125" s="6">
        <v>15</v>
      </c>
      <c r="U125" s="6">
        <v>28</v>
      </c>
      <c r="V125" s="6">
        <f>IF(ISERROR(VLOOKUP($S$125,'TAR FIN'!$A$1:$O$88,15,0)),0,VLOOKUP($S$125,'TAR FIN'!$A$1:$O$88,15,0))</f>
        <v>0</v>
      </c>
      <c r="W125" s="6">
        <f>IF(ISERROR(VLOOKUP($T$125,'TAR FIN'!$A$1:$O$88,15,0)),0,VLOOKUP($T$125,'TAR FIN'!$A$1:$O$88,15,0))</f>
        <v>79.319999999999993</v>
      </c>
      <c r="X125" s="6">
        <f>IF(ISERROR(VLOOKUP($U$125,'TAR FIN'!$A$1:$O$88,15,0)),0,VLOOKUP($U$125,'TAR FIN'!$A$1:$O$88,15,0))</f>
        <v>252.22</v>
      </c>
      <c r="Y125" s="6"/>
      <c r="Z125" s="6">
        <f ca="1">('TUSD BE'!$AM$12+'TUSD BF'!$AM$12+'TUSD CVA'!$AM$12)*1</f>
        <v>102.71637945274784</v>
      </c>
      <c r="AA125" s="6">
        <f>('TE BE'!$AB$6+'TE BF'!$AB$6+'TE CVA'!$AB$6)*1</f>
        <v>251.92449556687748</v>
      </c>
      <c r="AB125" s="6">
        <f>$K$125*$V$125</f>
        <v>0</v>
      </c>
      <c r="AC125" s="6">
        <f>$M$125*$W$125</f>
        <v>623.53451999999993</v>
      </c>
      <c r="AD125" s="6">
        <f>$O$125*$X$125</f>
        <v>1982.7014199999999</v>
      </c>
      <c r="AE125" s="6">
        <f>$K$125*$Y$125</f>
        <v>0</v>
      </c>
      <c r="AF125" s="6">
        <f ca="1">$M$125*$Z$125</f>
        <v>807.45345887805081</v>
      </c>
      <c r="AG125" s="6">
        <f>$O$125*$AA$125</f>
        <v>1980.3784596512239</v>
      </c>
    </row>
    <row r="126" spans="1:33" ht="11.25" customHeight="1" x14ac:dyDescent="0.25">
      <c r="A126" s="4" t="s">
        <v>21</v>
      </c>
      <c r="B126" s="4" t="s">
        <v>35</v>
      </c>
      <c r="C126" s="4" t="s">
        <v>36</v>
      </c>
      <c r="D126" s="4" t="s">
        <v>34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44378</v>
      </c>
      <c r="J126" s="6">
        <v>1342</v>
      </c>
      <c r="K126" s="6">
        <v>1342</v>
      </c>
      <c r="L126" s="6">
        <v>0</v>
      </c>
      <c r="M126" s="6">
        <v>0</v>
      </c>
      <c r="N126" s="6">
        <v>0</v>
      </c>
      <c r="O126" s="6">
        <v>0</v>
      </c>
      <c r="P126" s="6">
        <v>5</v>
      </c>
      <c r="Q126" s="4" t="s">
        <v>26</v>
      </c>
      <c r="R126" s="4">
        <v>0</v>
      </c>
      <c r="S126" s="6">
        <v>11</v>
      </c>
      <c r="T126" s="6">
        <v>0</v>
      </c>
      <c r="U126" s="6">
        <v>0</v>
      </c>
      <c r="V126" s="6">
        <f>IF(ISERROR(VLOOKUP($S$126,'TAR FIN'!$A$1:$O$88,15,0)),0,VLOOKUP($S$126,'TAR FIN'!$A$1:$O$88,15,0))</f>
        <v>45.42</v>
      </c>
      <c r="W126" s="6">
        <f>IF(ISERROR(VLOOKUP($T$126,'TAR FIN'!$A$1:$O$88,15,0)),0,VLOOKUP($T$126,'TAR FIN'!$A$1:$O$88,15,0))</f>
        <v>0</v>
      </c>
      <c r="X126" s="6">
        <f>IF(ISERROR(VLOOKUP($U$126,'TAR FIN'!$A$1:$O$88,15,0)),0,VLOOKUP($U$126,'TAR FIN'!$A$1:$O$88,15,0))</f>
        <v>0</v>
      </c>
      <c r="Y126" s="6">
        <f ca="1">('TUSD BE'!$AM$10+'TUSD BF'!$AM$10+'TUSD CVA'!$AM$10)*1</f>
        <v>51.541515279759096</v>
      </c>
      <c r="Z126" s="6"/>
      <c r="AA126" s="6"/>
      <c r="AB126" s="6">
        <f>$K$126*$V$126</f>
        <v>60953.64</v>
      </c>
      <c r="AC126" s="6">
        <f>$M$126*$W$126</f>
        <v>0</v>
      </c>
      <c r="AD126" s="6">
        <f>$O$126*$X$126</f>
        <v>0</v>
      </c>
      <c r="AE126" s="6">
        <f ca="1">$K$126*$Y$126</f>
        <v>69168.71350543671</v>
      </c>
      <c r="AF126" s="6">
        <f>$M$126*$Z$126</f>
        <v>0</v>
      </c>
      <c r="AG126" s="6">
        <f>$O$126*$AA$126</f>
        <v>0</v>
      </c>
    </row>
    <row r="127" spans="1:33" ht="11.25" customHeight="1" x14ac:dyDescent="0.25">
      <c r="A127" s="4" t="s">
        <v>21</v>
      </c>
      <c r="B127" s="4" t="s">
        <v>35</v>
      </c>
      <c r="C127" s="4" t="s">
        <v>36</v>
      </c>
      <c r="D127" s="4" t="s">
        <v>34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44409</v>
      </c>
      <c r="J127" s="6">
        <v>2254</v>
      </c>
      <c r="K127" s="6">
        <v>2254</v>
      </c>
      <c r="L127" s="6">
        <v>0</v>
      </c>
      <c r="M127" s="6">
        <v>0</v>
      </c>
      <c r="N127" s="6">
        <v>0</v>
      </c>
      <c r="O127" s="6">
        <v>0</v>
      </c>
      <c r="P127" s="6">
        <v>9</v>
      </c>
      <c r="Q127" s="4" t="s">
        <v>26</v>
      </c>
      <c r="R127" s="4">
        <v>0</v>
      </c>
      <c r="S127" s="6">
        <v>11</v>
      </c>
      <c r="T127" s="6">
        <v>0</v>
      </c>
      <c r="U127" s="6">
        <v>0</v>
      </c>
      <c r="V127" s="6">
        <f>IF(ISERROR(VLOOKUP($S$127,'TAR FIN'!$A$1:$O$88,15,0)),0,VLOOKUP($S$127,'TAR FIN'!$A$1:$O$88,15,0))</f>
        <v>45.42</v>
      </c>
      <c r="W127" s="6">
        <f>IF(ISERROR(VLOOKUP($T$127,'TAR FIN'!$A$1:$O$88,15,0)),0,VLOOKUP($T$127,'TAR FIN'!$A$1:$O$88,15,0))</f>
        <v>0</v>
      </c>
      <c r="X127" s="6">
        <f>IF(ISERROR(VLOOKUP($U$127,'TAR FIN'!$A$1:$O$88,15,0)),0,VLOOKUP($U$127,'TAR FIN'!$A$1:$O$88,15,0))</f>
        <v>0</v>
      </c>
      <c r="Y127" s="6">
        <f ca="1">('TUSD BE'!$AM$10+'TUSD BF'!$AM$10+'TUSD CVA'!$AM$10)*1</f>
        <v>51.541515279759096</v>
      </c>
      <c r="Z127" s="6"/>
      <c r="AA127" s="6"/>
      <c r="AB127" s="6">
        <f>$K$127*$V$127</f>
        <v>102376.68000000001</v>
      </c>
      <c r="AC127" s="6">
        <f>$M$127*$W$127</f>
        <v>0</v>
      </c>
      <c r="AD127" s="6">
        <f>$O$127*$X$127</f>
        <v>0</v>
      </c>
      <c r="AE127" s="6">
        <f ca="1">$K$127*$Y$127</f>
        <v>116174.575440577</v>
      </c>
      <c r="AF127" s="6">
        <f>$M$127*$Z$127</f>
        <v>0</v>
      </c>
      <c r="AG127" s="6">
        <f>$O$127*$AA$127</f>
        <v>0</v>
      </c>
    </row>
    <row r="128" spans="1:33" ht="11.25" customHeight="1" x14ac:dyDescent="0.25">
      <c r="A128" s="4" t="s">
        <v>21</v>
      </c>
      <c r="B128" s="4" t="s">
        <v>35</v>
      </c>
      <c r="C128" s="4" t="s">
        <v>36</v>
      </c>
      <c r="D128" s="4" t="s">
        <v>34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44440</v>
      </c>
      <c r="J128" s="6">
        <v>1713</v>
      </c>
      <c r="K128" s="6">
        <v>1713</v>
      </c>
      <c r="L128" s="6">
        <v>0</v>
      </c>
      <c r="M128" s="6">
        <v>0</v>
      </c>
      <c r="N128" s="6">
        <v>0</v>
      </c>
      <c r="O128" s="6">
        <v>0</v>
      </c>
      <c r="P128" s="6">
        <v>9</v>
      </c>
      <c r="Q128" s="4" t="s">
        <v>26</v>
      </c>
      <c r="R128" s="4">
        <v>0</v>
      </c>
      <c r="S128" s="6">
        <v>11</v>
      </c>
      <c r="T128" s="6">
        <v>0</v>
      </c>
      <c r="U128" s="6">
        <v>0</v>
      </c>
      <c r="V128" s="6">
        <f>IF(ISERROR(VLOOKUP($S$128,'TAR FIN'!$A$1:$O$88,15,0)),0,VLOOKUP($S$128,'TAR FIN'!$A$1:$O$88,15,0))</f>
        <v>45.42</v>
      </c>
      <c r="W128" s="6">
        <f>IF(ISERROR(VLOOKUP($T$128,'TAR FIN'!$A$1:$O$88,15,0)),0,VLOOKUP($T$128,'TAR FIN'!$A$1:$O$88,15,0))</f>
        <v>0</v>
      </c>
      <c r="X128" s="6">
        <f>IF(ISERROR(VLOOKUP($U$128,'TAR FIN'!$A$1:$O$88,15,0)),0,VLOOKUP($U$128,'TAR FIN'!$A$1:$O$88,15,0))</f>
        <v>0</v>
      </c>
      <c r="Y128" s="6">
        <f ca="1">('TUSD BE'!$AM$10+'TUSD BF'!$AM$10+'TUSD CVA'!$AM$10)*1</f>
        <v>51.541515279759096</v>
      </c>
      <c r="Z128" s="6"/>
      <c r="AA128" s="6"/>
      <c r="AB128" s="6">
        <f>$K$128*$V$128</f>
        <v>77804.460000000006</v>
      </c>
      <c r="AC128" s="6">
        <f>$M$128*$W$128</f>
        <v>0</v>
      </c>
      <c r="AD128" s="6">
        <f>$O$128*$X$128</f>
        <v>0</v>
      </c>
      <c r="AE128" s="6">
        <f ca="1">$K$128*$Y$128</f>
        <v>88290.615674227331</v>
      </c>
      <c r="AF128" s="6">
        <f>$M$128*$Z$128</f>
        <v>0</v>
      </c>
      <c r="AG128" s="6">
        <f>$O$128*$AA$128</f>
        <v>0</v>
      </c>
    </row>
    <row r="129" spans="1:33" ht="11.25" customHeight="1" x14ac:dyDescent="0.25">
      <c r="A129" s="4" t="s">
        <v>21</v>
      </c>
      <c r="B129" s="4" t="s">
        <v>35</v>
      </c>
      <c r="C129" s="4" t="s">
        <v>36</v>
      </c>
      <c r="D129" s="4" t="s">
        <v>34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44470</v>
      </c>
      <c r="J129" s="6">
        <v>1914</v>
      </c>
      <c r="K129" s="6">
        <v>1914</v>
      </c>
      <c r="L129" s="6">
        <v>0</v>
      </c>
      <c r="M129" s="6">
        <v>0</v>
      </c>
      <c r="N129" s="6">
        <v>0</v>
      </c>
      <c r="O129" s="6">
        <v>0</v>
      </c>
      <c r="P129" s="6">
        <v>9</v>
      </c>
      <c r="Q129" s="4" t="s">
        <v>26</v>
      </c>
      <c r="R129" s="4">
        <v>0</v>
      </c>
      <c r="S129" s="6">
        <v>11</v>
      </c>
      <c r="T129" s="6">
        <v>0</v>
      </c>
      <c r="U129" s="6">
        <v>0</v>
      </c>
      <c r="V129" s="6">
        <f>IF(ISERROR(VLOOKUP($S$129,'TAR FIN'!$A$1:$O$88,15,0)),0,VLOOKUP($S$129,'TAR FIN'!$A$1:$O$88,15,0))</f>
        <v>45.42</v>
      </c>
      <c r="W129" s="6">
        <f>IF(ISERROR(VLOOKUP($T$129,'TAR FIN'!$A$1:$O$88,15,0)),0,VLOOKUP($T$129,'TAR FIN'!$A$1:$O$88,15,0))</f>
        <v>0</v>
      </c>
      <c r="X129" s="6">
        <f>IF(ISERROR(VLOOKUP($U$129,'TAR FIN'!$A$1:$O$88,15,0)),0,VLOOKUP($U$129,'TAR FIN'!$A$1:$O$88,15,0))</f>
        <v>0</v>
      </c>
      <c r="Y129" s="6">
        <f ca="1">('TUSD BE'!$AM$10+'TUSD BF'!$AM$10+'TUSD CVA'!$AM$10)*1</f>
        <v>51.541515279759096</v>
      </c>
      <c r="Z129" s="6"/>
      <c r="AA129" s="6"/>
      <c r="AB129" s="6">
        <f>$K$129*$V$129</f>
        <v>86933.88</v>
      </c>
      <c r="AC129" s="6">
        <f>$M$129*$W$129</f>
        <v>0</v>
      </c>
      <c r="AD129" s="6">
        <f>$O$129*$X$129</f>
        <v>0</v>
      </c>
      <c r="AE129" s="6">
        <f ca="1">$K$129*$Y$129</f>
        <v>98650.460245458904</v>
      </c>
      <c r="AF129" s="6">
        <f>$M$129*$Z$129</f>
        <v>0</v>
      </c>
      <c r="AG129" s="6">
        <f>$O$129*$AA$129</f>
        <v>0</v>
      </c>
    </row>
    <row r="130" spans="1:33" ht="11.25" customHeight="1" x14ac:dyDescent="0.25">
      <c r="A130" s="4" t="s">
        <v>21</v>
      </c>
      <c r="B130" s="4" t="s">
        <v>35</v>
      </c>
      <c r="C130" s="4" t="s">
        <v>36</v>
      </c>
      <c r="D130" s="4" t="s">
        <v>34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44501</v>
      </c>
      <c r="J130" s="6">
        <v>1974</v>
      </c>
      <c r="K130" s="6">
        <v>1974</v>
      </c>
      <c r="L130" s="6">
        <v>0</v>
      </c>
      <c r="M130" s="6">
        <v>0</v>
      </c>
      <c r="N130" s="6">
        <v>0</v>
      </c>
      <c r="O130" s="6">
        <v>0</v>
      </c>
      <c r="P130" s="6">
        <v>9</v>
      </c>
      <c r="Q130" s="4" t="s">
        <v>26</v>
      </c>
      <c r="R130" s="4">
        <v>0</v>
      </c>
      <c r="S130" s="6">
        <v>11</v>
      </c>
      <c r="T130" s="6">
        <v>0</v>
      </c>
      <c r="U130" s="6">
        <v>0</v>
      </c>
      <c r="V130" s="6">
        <f>IF(ISERROR(VLOOKUP($S$130,'TAR FIN'!$A$1:$O$88,15,0)),0,VLOOKUP($S$130,'TAR FIN'!$A$1:$O$88,15,0))</f>
        <v>45.42</v>
      </c>
      <c r="W130" s="6">
        <f>IF(ISERROR(VLOOKUP($T$130,'TAR FIN'!$A$1:$O$88,15,0)),0,VLOOKUP($T$130,'TAR FIN'!$A$1:$O$88,15,0))</f>
        <v>0</v>
      </c>
      <c r="X130" s="6">
        <f>IF(ISERROR(VLOOKUP($U$130,'TAR FIN'!$A$1:$O$88,15,0)),0,VLOOKUP($U$130,'TAR FIN'!$A$1:$O$88,15,0))</f>
        <v>0</v>
      </c>
      <c r="Y130" s="6">
        <f ca="1">('TUSD BE'!$AM$10+'TUSD BF'!$AM$10+'TUSD CVA'!$AM$10)*1</f>
        <v>51.541515279759096</v>
      </c>
      <c r="Z130" s="6"/>
      <c r="AA130" s="6"/>
      <c r="AB130" s="6">
        <f>$K$130*$V$130</f>
        <v>89659.08</v>
      </c>
      <c r="AC130" s="6">
        <f>$M$130*$W$130</f>
        <v>0</v>
      </c>
      <c r="AD130" s="6">
        <f>$O$130*$X$130</f>
        <v>0</v>
      </c>
      <c r="AE130" s="6">
        <f ca="1">$K$130*$Y$130</f>
        <v>101742.95116224446</v>
      </c>
      <c r="AF130" s="6">
        <f>$M$130*$Z$130</f>
        <v>0</v>
      </c>
      <c r="AG130" s="6">
        <f>$O$130*$AA$130</f>
        <v>0</v>
      </c>
    </row>
    <row r="131" spans="1:33" ht="11.25" customHeight="1" x14ac:dyDescent="0.25">
      <c r="A131" s="4" t="s">
        <v>21</v>
      </c>
      <c r="B131" s="4" t="s">
        <v>35</v>
      </c>
      <c r="C131" s="4" t="s">
        <v>36</v>
      </c>
      <c r="D131" s="4" t="s">
        <v>34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44531</v>
      </c>
      <c r="J131" s="6">
        <v>2082</v>
      </c>
      <c r="K131" s="6">
        <v>2082</v>
      </c>
      <c r="L131" s="6">
        <v>0</v>
      </c>
      <c r="M131" s="6">
        <v>0</v>
      </c>
      <c r="N131" s="6">
        <v>0</v>
      </c>
      <c r="O131" s="6">
        <v>0</v>
      </c>
      <c r="P131" s="6">
        <v>10</v>
      </c>
      <c r="Q131" s="4" t="s">
        <v>26</v>
      </c>
      <c r="R131" s="4">
        <v>0</v>
      </c>
      <c r="S131" s="6">
        <v>11</v>
      </c>
      <c r="T131" s="6">
        <v>0</v>
      </c>
      <c r="U131" s="6">
        <v>0</v>
      </c>
      <c r="V131" s="6">
        <f>IF(ISERROR(VLOOKUP($S$131,'TAR FIN'!$A$1:$O$88,15,0)),0,VLOOKUP($S$131,'TAR FIN'!$A$1:$O$88,15,0))</f>
        <v>45.42</v>
      </c>
      <c r="W131" s="6">
        <f>IF(ISERROR(VLOOKUP($T$131,'TAR FIN'!$A$1:$O$88,15,0)),0,VLOOKUP($T$131,'TAR FIN'!$A$1:$O$88,15,0))</f>
        <v>0</v>
      </c>
      <c r="X131" s="6">
        <f>IF(ISERROR(VLOOKUP($U$131,'TAR FIN'!$A$1:$O$88,15,0)),0,VLOOKUP($U$131,'TAR FIN'!$A$1:$O$88,15,0))</f>
        <v>0</v>
      </c>
      <c r="Y131" s="6">
        <f ca="1">('TUSD BE'!$AM$10+'TUSD BF'!$AM$10+'TUSD CVA'!$AM$10)*1</f>
        <v>51.541515279759096</v>
      </c>
      <c r="Z131" s="6"/>
      <c r="AA131" s="6"/>
      <c r="AB131" s="6">
        <f>$K$131*$V$131</f>
        <v>94564.44</v>
      </c>
      <c r="AC131" s="6">
        <f>$M$131*$W$131</f>
        <v>0</v>
      </c>
      <c r="AD131" s="6">
        <f>$O$131*$X$131</f>
        <v>0</v>
      </c>
      <c r="AE131" s="6">
        <f ca="1">$K$131*$Y$131</f>
        <v>107309.43481245844</v>
      </c>
      <c r="AF131" s="6">
        <f>$M$131*$Z$131</f>
        <v>0</v>
      </c>
      <c r="AG131" s="6">
        <f>$O$131*$AA$131</f>
        <v>0</v>
      </c>
    </row>
    <row r="132" spans="1:33" ht="11.25" customHeight="1" x14ac:dyDescent="0.25">
      <c r="A132" s="4" t="s">
        <v>21</v>
      </c>
      <c r="B132" s="4" t="s">
        <v>35</v>
      </c>
      <c r="C132" s="4" t="s">
        <v>36</v>
      </c>
      <c r="D132" s="4" t="s">
        <v>34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44562</v>
      </c>
      <c r="J132" s="6">
        <v>1848</v>
      </c>
      <c r="K132" s="6">
        <v>1848</v>
      </c>
      <c r="L132" s="6">
        <v>0</v>
      </c>
      <c r="M132" s="6">
        <v>0</v>
      </c>
      <c r="N132" s="6">
        <v>0</v>
      </c>
      <c r="O132" s="6">
        <v>0</v>
      </c>
      <c r="P132" s="6">
        <v>9</v>
      </c>
      <c r="Q132" s="4" t="s">
        <v>26</v>
      </c>
      <c r="R132" s="4">
        <v>0</v>
      </c>
      <c r="S132" s="6">
        <v>11</v>
      </c>
      <c r="T132" s="6">
        <v>0</v>
      </c>
      <c r="U132" s="6">
        <v>0</v>
      </c>
      <c r="V132" s="6">
        <f>IF(ISERROR(VLOOKUP($S$132,'TAR FIN'!$A$1:$O$88,15,0)),0,VLOOKUP($S$132,'TAR FIN'!$A$1:$O$88,15,0))</f>
        <v>45.42</v>
      </c>
      <c r="W132" s="6">
        <f>IF(ISERROR(VLOOKUP($T$132,'TAR FIN'!$A$1:$O$88,15,0)),0,VLOOKUP($T$132,'TAR FIN'!$A$1:$O$88,15,0))</f>
        <v>0</v>
      </c>
      <c r="X132" s="6">
        <f>IF(ISERROR(VLOOKUP($U$132,'TAR FIN'!$A$1:$O$88,15,0)),0,VLOOKUP($U$132,'TAR FIN'!$A$1:$O$88,15,0))</f>
        <v>0</v>
      </c>
      <c r="Y132" s="6">
        <f ca="1">('TUSD BE'!$AM$10+'TUSD BF'!$AM$10+'TUSD CVA'!$AM$10)*1</f>
        <v>51.541515279759096</v>
      </c>
      <c r="Z132" s="6"/>
      <c r="AA132" s="6"/>
      <c r="AB132" s="6">
        <f>$K$132*$V$132</f>
        <v>83936.16</v>
      </c>
      <c r="AC132" s="6">
        <f>$M$132*$W$132</f>
        <v>0</v>
      </c>
      <c r="AD132" s="6">
        <f>$O$132*$X$132</f>
        <v>0</v>
      </c>
      <c r="AE132" s="6">
        <f ca="1">$K$132*$Y$132</f>
        <v>95248.720236994806</v>
      </c>
      <c r="AF132" s="6">
        <f>$M$132*$Z$132</f>
        <v>0</v>
      </c>
      <c r="AG132" s="6">
        <f>$O$132*$AA$132</f>
        <v>0</v>
      </c>
    </row>
    <row r="133" spans="1:33" ht="11.25" customHeight="1" x14ac:dyDescent="0.25">
      <c r="A133" s="4" t="s">
        <v>28</v>
      </c>
      <c r="B133" s="4" t="s">
        <v>35</v>
      </c>
      <c r="C133" s="4" t="s">
        <v>36</v>
      </c>
      <c r="D133" s="4" t="s">
        <v>34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44562</v>
      </c>
      <c r="J133" s="6">
        <v>80</v>
      </c>
      <c r="K133" s="6">
        <v>80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4" t="s">
        <v>26</v>
      </c>
      <c r="R133" s="4">
        <v>0</v>
      </c>
      <c r="S133" s="6">
        <v>11</v>
      </c>
      <c r="T133" s="6">
        <v>0</v>
      </c>
      <c r="U133" s="6">
        <v>0</v>
      </c>
      <c r="V133" s="6">
        <f>IF(ISERROR(VLOOKUP($S$133,'TAR FIN'!$A$1:$O$88,15,0)),0,VLOOKUP($S$133,'TAR FIN'!$A$1:$O$88,15,0))</f>
        <v>45.42</v>
      </c>
      <c r="W133" s="6">
        <f>IF(ISERROR(VLOOKUP($T$133,'TAR FIN'!$A$1:$O$88,15,0)),0,VLOOKUP($T$133,'TAR FIN'!$A$1:$O$88,15,0))</f>
        <v>0</v>
      </c>
      <c r="X133" s="6">
        <f>IF(ISERROR(VLOOKUP($U$133,'TAR FIN'!$A$1:$O$88,15,0)),0,VLOOKUP($U$133,'TAR FIN'!$A$1:$O$88,15,0))</f>
        <v>0</v>
      </c>
      <c r="Y133" s="6">
        <f ca="1">('TUSD BE'!$AM$10+'TUSD BF'!$AM$10+'TUSD CVA'!$AM$10)*1</f>
        <v>51.541515279759096</v>
      </c>
      <c r="Z133" s="6"/>
      <c r="AA133" s="6"/>
      <c r="AB133" s="6">
        <f>$K$133*$V$133</f>
        <v>3633.6000000000004</v>
      </c>
      <c r="AC133" s="6">
        <f>$M$133*$W$133</f>
        <v>0</v>
      </c>
      <c r="AD133" s="6">
        <f>$O$133*$X$133</f>
        <v>0</v>
      </c>
      <c r="AE133" s="6">
        <f ca="1">$K$133*$Y$133</f>
        <v>4123.3212223807277</v>
      </c>
      <c r="AF133" s="6">
        <f>$M$133*$Z$133</f>
        <v>0</v>
      </c>
      <c r="AG133" s="6">
        <f>$O$133*$AA$133</f>
        <v>0</v>
      </c>
    </row>
    <row r="134" spans="1:33" ht="11.25" customHeight="1" x14ac:dyDescent="0.25">
      <c r="A134" s="4" t="s">
        <v>21</v>
      </c>
      <c r="B134" s="4" t="s">
        <v>35</v>
      </c>
      <c r="C134" s="4" t="s">
        <v>36</v>
      </c>
      <c r="D134" s="4" t="s">
        <v>34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44593</v>
      </c>
      <c r="J134" s="6">
        <v>2251</v>
      </c>
      <c r="K134" s="6">
        <v>2251</v>
      </c>
      <c r="L134" s="6">
        <v>0</v>
      </c>
      <c r="M134" s="6">
        <v>0</v>
      </c>
      <c r="N134" s="6">
        <v>0</v>
      </c>
      <c r="O134" s="6">
        <v>0</v>
      </c>
      <c r="P134" s="6">
        <v>9</v>
      </c>
      <c r="Q134" s="4" t="s">
        <v>26</v>
      </c>
      <c r="R134" s="4">
        <v>0</v>
      </c>
      <c r="S134" s="6">
        <v>11</v>
      </c>
      <c r="T134" s="6">
        <v>0</v>
      </c>
      <c r="U134" s="6">
        <v>0</v>
      </c>
      <c r="V134" s="6">
        <f>IF(ISERROR(VLOOKUP($S$134,'TAR FIN'!$A$1:$O$88,15,0)),0,VLOOKUP($S$134,'TAR FIN'!$A$1:$O$88,15,0))</f>
        <v>45.42</v>
      </c>
      <c r="W134" s="6">
        <f>IF(ISERROR(VLOOKUP($T$134,'TAR FIN'!$A$1:$O$88,15,0)),0,VLOOKUP($T$134,'TAR FIN'!$A$1:$O$88,15,0))</f>
        <v>0</v>
      </c>
      <c r="X134" s="6">
        <f>IF(ISERROR(VLOOKUP($U$134,'TAR FIN'!$A$1:$O$88,15,0)),0,VLOOKUP($U$134,'TAR FIN'!$A$1:$O$88,15,0))</f>
        <v>0</v>
      </c>
      <c r="Y134" s="6">
        <f ca="1">('TUSD BE'!$AM$10+'TUSD BF'!$AM$10+'TUSD CVA'!$AM$10)*1</f>
        <v>51.541515279759096</v>
      </c>
      <c r="Z134" s="6"/>
      <c r="AA134" s="6"/>
      <c r="AB134" s="6">
        <f>$K$134*$V$134</f>
        <v>102240.42</v>
      </c>
      <c r="AC134" s="6">
        <f>$M$134*$W$134</f>
        <v>0</v>
      </c>
      <c r="AD134" s="6">
        <f>$O$134*$X$134</f>
        <v>0</v>
      </c>
      <c r="AE134" s="6">
        <f ca="1">$K$134*$Y$134</f>
        <v>116019.95089473773</v>
      </c>
      <c r="AF134" s="6">
        <f>$M$134*$Z$134</f>
        <v>0</v>
      </c>
      <c r="AG134" s="6">
        <f>$O$134*$AA$134</f>
        <v>0</v>
      </c>
    </row>
    <row r="135" spans="1:33" ht="11.25" customHeight="1" x14ac:dyDescent="0.25">
      <c r="A135" s="4" t="s">
        <v>28</v>
      </c>
      <c r="B135" s="4" t="s">
        <v>35</v>
      </c>
      <c r="C135" s="4" t="s">
        <v>36</v>
      </c>
      <c r="D135" s="4" t="s">
        <v>34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44593</v>
      </c>
      <c r="J135" s="6">
        <v>78</v>
      </c>
      <c r="K135" s="6">
        <v>78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4" t="s">
        <v>26</v>
      </c>
      <c r="R135" s="4">
        <v>0</v>
      </c>
      <c r="S135" s="6">
        <v>11</v>
      </c>
      <c r="T135" s="6">
        <v>0</v>
      </c>
      <c r="U135" s="6">
        <v>0</v>
      </c>
      <c r="V135" s="6">
        <f>IF(ISERROR(VLOOKUP($S$135,'TAR FIN'!$A$1:$O$88,15,0)),0,VLOOKUP($S$135,'TAR FIN'!$A$1:$O$88,15,0))</f>
        <v>45.42</v>
      </c>
      <c r="W135" s="6">
        <f>IF(ISERROR(VLOOKUP($T$135,'TAR FIN'!$A$1:$O$88,15,0)),0,VLOOKUP($T$135,'TAR FIN'!$A$1:$O$88,15,0))</f>
        <v>0</v>
      </c>
      <c r="X135" s="6">
        <f>IF(ISERROR(VLOOKUP($U$135,'TAR FIN'!$A$1:$O$88,15,0)),0,VLOOKUP($U$135,'TAR FIN'!$A$1:$O$88,15,0))</f>
        <v>0</v>
      </c>
      <c r="Y135" s="6">
        <f ca="1">('TUSD BE'!$AM$10+'TUSD BF'!$AM$10+'TUSD CVA'!$AM$10)*1</f>
        <v>51.541515279759096</v>
      </c>
      <c r="Z135" s="6"/>
      <c r="AA135" s="6"/>
      <c r="AB135" s="6">
        <f>$K$135*$V$135</f>
        <v>3542.76</v>
      </c>
      <c r="AC135" s="6">
        <f>$M$135*$W$135</f>
        <v>0</v>
      </c>
      <c r="AD135" s="6">
        <f>$O$135*$X$135</f>
        <v>0</v>
      </c>
      <c r="AE135" s="6">
        <f ca="1">$K$135*$Y$135</f>
        <v>4020.2381918212095</v>
      </c>
      <c r="AF135" s="6">
        <f>$M$135*$Z$135</f>
        <v>0</v>
      </c>
      <c r="AG135" s="6">
        <f>$O$135*$AA$135</f>
        <v>0</v>
      </c>
    </row>
    <row r="136" spans="1:33" ht="11.25" customHeight="1" x14ac:dyDescent="0.25">
      <c r="A136" s="4" t="s">
        <v>21</v>
      </c>
      <c r="B136" s="4" t="s">
        <v>35</v>
      </c>
      <c r="C136" s="4" t="s">
        <v>36</v>
      </c>
      <c r="D136" s="4" t="s">
        <v>34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44621</v>
      </c>
      <c r="J136" s="6">
        <v>2865</v>
      </c>
      <c r="K136" s="6">
        <v>2865</v>
      </c>
      <c r="L136" s="6">
        <v>0</v>
      </c>
      <c r="M136" s="6">
        <v>0</v>
      </c>
      <c r="N136" s="6">
        <v>0</v>
      </c>
      <c r="O136" s="6">
        <v>0</v>
      </c>
      <c r="P136" s="6">
        <v>11</v>
      </c>
      <c r="Q136" s="4" t="s">
        <v>26</v>
      </c>
      <c r="R136" s="4">
        <v>0</v>
      </c>
      <c r="S136" s="6">
        <v>11</v>
      </c>
      <c r="T136" s="6">
        <v>0</v>
      </c>
      <c r="U136" s="6">
        <v>0</v>
      </c>
      <c r="V136" s="6">
        <f>IF(ISERROR(VLOOKUP($S$136,'TAR FIN'!$A$1:$O$88,15,0)),0,VLOOKUP($S$136,'TAR FIN'!$A$1:$O$88,15,0))</f>
        <v>45.42</v>
      </c>
      <c r="W136" s="6">
        <f>IF(ISERROR(VLOOKUP($T$136,'TAR FIN'!$A$1:$O$88,15,0)),0,VLOOKUP($T$136,'TAR FIN'!$A$1:$O$88,15,0))</f>
        <v>0</v>
      </c>
      <c r="X136" s="6">
        <f>IF(ISERROR(VLOOKUP($U$136,'TAR FIN'!$A$1:$O$88,15,0)),0,VLOOKUP($U$136,'TAR FIN'!$A$1:$O$88,15,0))</f>
        <v>0</v>
      </c>
      <c r="Y136" s="6">
        <f ca="1">('TUSD BE'!$AM$10+'TUSD BF'!$AM$10+'TUSD CVA'!$AM$10)*1</f>
        <v>51.541515279759096</v>
      </c>
      <c r="Z136" s="6"/>
      <c r="AA136" s="6"/>
      <c r="AB136" s="6">
        <f>$K$136*$V$136</f>
        <v>130128.3</v>
      </c>
      <c r="AC136" s="6">
        <f>$M$136*$W$136</f>
        <v>0</v>
      </c>
      <c r="AD136" s="6">
        <f>$O$136*$X$136</f>
        <v>0</v>
      </c>
      <c r="AE136" s="6">
        <f ca="1">$K$136*$Y$136</f>
        <v>147666.44127650981</v>
      </c>
      <c r="AF136" s="6">
        <f>$M$136*$Z$136</f>
        <v>0</v>
      </c>
      <c r="AG136" s="6">
        <f>$O$136*$AA$136</f>
        <v>0</v>
      </c>
    </row>
    <row r="137" spans="1:33" ht="11.25" customHeight="1" x14ac:dyDescent="0.25">
      <c r="A137" s="4" t="s">
        <v>28</v>
      </c>
      <c r="B137" s="4" t="s">
        <v>35</v>
      </c>
      <c r="C137" s="4" t="s">
        <v>36</v>
      </c>
      <c r="D137" s="4" t="s">
        <v>34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44621</v>
      </c>
      <c r="J137" s="6">
        <v>80</v>
      </c>
      <c r="K137" s="6">
        <v>80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4" t="s">
        <v>26</v>
      </c>
      <c r="R137" s="4">
        <v>0</v>
      </c>
      <c r="S137" s="6">
        <v>11</v>
      </c>
      <c r="T137" s="6">
        <v>0</v>
      </c>
      <c r="U137" s="6">
        <v>0</v>
      </c>
      <c r="V137" s="6">
        <f>IF(ISERROR(VLOOKUP($S$137,'TAR FIN'!$A$1:$O$88,15,0)),0,VLOOKUP($S$137,'TAR FIN'!$A$1:$O$88,15,0))</f>
        <v>45.42</v>
      </c>
      <c r="W137" s="6">
        <f>IF(ISERROR(VLOOKUP($T$137,'TAR FIN'!$A$1:$O$88,15,0)),0,VLOOKUP($T$137,'TAR FIN'!$A$1:$O$88,15,0))</f>
        <v>0</v>
      </c>
      <c r="X137" s="6">
        <f>IF(ISERROR(VLOOKUP($U$137,'TAR FIN'!$A$1:$O$88,15,0)),0,VLOOKUP($U$137,'TAR FIN'!$A$1:$O$88,15,0))</f>
        <v>0</v>
      </c>
      <c r="Y137" s="6">
        <f ca="1">('TUSD BE'!$AM$10+'TUSD BF'!$AM$10+'TUSD CVA'!$AM$10)*1</f>
        <v>51.541515279759096</v>
      </c>
      <c r="Z137" s="6"/>
      <c r="AA137" s="6"/>
      <c r="AB137" s="6">
        <f>$K$137*$V$137</f>
        <v>3633.6000000000004</v>
      </c>
      <c r="AC137" s="6">
        <f>$M$137*$W$137</f>
        <v>0</v>
      </c>
      <c r="AD137" s="6">
        <f>$O$137*$X$137</f>
        <v>0</v>
      </c>
      <c r="AE137" s="6">
        <f ca="1">$K$137*$Y$137</f>
        <v>4123.3212223807277</v>
      </c>
      <c r="AF137" s="6">
        <f>$M$137*$Z$137</f>
        <v>0</v>
      </c>
      <c r="AG137" s="6">
        <f>$O$137*$AA$137</f>
        <v>0</v>
      </c>
    </row>
    <row r="138" spans="1:33" ht="11.25" customHeight="1" x14ac:dyDescent="0.25">
      <c r="A138" s="4" t="s">
        <v>21</v>
      </c>
      <c r="B138" s="4" t="s">
        <v>35</v>
      </c>
      <c r="C138" s="4" t="s">
        <v>36</v>
      </c>
      <c r="D138" s="4" t="s">
        <v>34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44652</v>
      </c>
      <c r="J138" s="6">
        <v>3403</v>
      </c>
      <c r="K138" s="6">
        <v>3403</v>
      </c>
      <c r="L138" s="6">
        <v>0</v>
      </c>
      <c r="M138" s="6">
        <v>0</v>
      </c>
      <c r="N138" s="6">
        <v>0</v>
      </c>
      <c r="O138" s="6">
        <v>0</v>
      </c>
      <c r="P138" s="6">
        <v>12</v>
      </c>
      <c r="Q138" s="4" t="s">
        <v>26</v>
      </c>
      <c r="R138" s="4">
        <v>0</v>
      </c>
      <c r="S138" s="6">
        <v>11</v>
      </c>
      <c r="T138" s="6">
        <v>0</v>
      </c>
      <c r="U138" s="6">
        <v>0</v>
      </c>
      <c r="V138" s="6">
        <f>IF(ISERROR(VLOOKUP($S$138,'TAR FIN'!$A$1:$O$88,15,0)),0,VLOOKUP($S$138,'TAR FIN'!$A$1:$O$88,15,0))</f>
        <v>45.42</v>
      </c>
      <c r="W138" s="6">
        <f>IF(ISERROR(VLOOKUP($T$138,'TAR FIN'!$A$1:$O$88,15,0)),0,VLOOKUP($T$138,'TAR FIN'!$A$1:$O$88,15,0))</f>
        <v>0</v>
      </c>
      <c r="X138" s="6">
        <f>IF(ISERROR(VLOOKUP($U$138,'TAR FIN'!$A$1:$O$88,15,0)),0,VLOOKUP($U$138,'TAR FIN'!$A$1:$O$88,15,0))</f>
        <v>0</v>
      </c>
      <c r="Y138" s="6">
        <f ca="1">('TUSD BE'!$AM$10+'TUSD BF'!$AM$10+'TUSD CVA'!$AM$10)*1</f>
        <v>51.541515279759096</v>
      </c>
      <c r="Z138" s="6"/>
      <c r="AA138" s="6"/>
      <c r="AB138" s="6">
        <f>$K$138*$V$138</f>
        <v>154564.26</v>
      </c>
      <c r="AC138" s="6">
        <f>$M$138*$W$138</f>
        <v>0</v>
      </c>
      <c r="AD138" s="6">
        <f>$O$138*$X$138</f>
        <v>0</v>
      </c>
      <c r="AE138" s="6">
        <f ca="1">$K$138*$Y$138</f>
        <v>175395.77649702021</v>
      </c>
      <c r="AF138" s="6">
        <f>$M$138*$Z$138</f>
        <v>0</v>
      </c>
      <c r="AG138" s="6">
        <f>$O$138*$AA$138</f>
        <v>0</v>
      </c>
    </row>
    <row r="139" spans="1:33" ht="11.25" customHeight="1" x14ac:dyDescent="0.25">
      <c r="A139" s="4" t="s">
        <v>28</v>
      </c>
      <c r="B139" s="4" t="s">
        <v>35</v>
      </c>
      <c r="C139" s="4" t="s">
        <v>36</v>
      </c>
      <c r="D139" s="4" t="s">
        <v>34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44652</v>
      </c>
      <c r="J139" s="6">
        <v>172</v>
      </c>
      <c r="K139" s="6">
        <v>172</v>
      </c>
      <c r="L139" s="6">
        <v>0</v>
      </c>
      <c r="M139" s="6">
        <v>0</v>
      </c>
      <c r="N139" s="6">
        <v>0</v>
      </c>
      <c r="O139" s="6">
        <v>0</v>
      </c>
      <c r="P139" s="6">
        <v>1</v>
      </c>
      <c r="Q139" s="4" t="s">
        <v>26</v>
      </c>
      <c r="R139" s="4">
        <v>0</v>
      </c>
      <c r="S139" s="6">
        <v>11</v>
      </c>
      <c r="T139" s="6">
        <v>0</v>
      </c>
      <c r="U139" s="6">
        <v>0</v>
      </c>
      <c r="V139" s="6">
        <f>IF(ISERROR(VLOOKUP($S$139,'TAR FIN'!$A$1:$O$88,15,0)),0,VLOOKUP($S$139,'TAR FIN'!$A$1:$O$88,15,0))</f>
        <v>45.42</v>
      </c>
      <c r="W139" s="6">
        <f>IF(ISERROR(VLOOKUP($T$139,'TAR FIN'!$A$1:$O$88,15,0)),0,VLOOKUP($T$139,'TAR FIN'!$A$1:$O$88,15,0))</f>
        <v>0</v>
      </c>
      <c r="X139" s="6">
        <f>IF(ISERROR(VLOOKUP($U$139,'TAR FIN'!$A$1:$O$88,15,0)),0,VLOOKUP($U$139,'TAR FIN'!$A$1:$O$88,15,0))</f>
        <v>0</v>
      </c>
      <c r="Y139" s="6">
        <f ca="1">('TUSD BE'!$AM$10+'TUSD BF'!$AM$10+'TUSD CVA'!$AM$10)*1</f>
        <v>51.541515279759096</v>
      </c>
      <c r="Z139" s="6"/>
      <c r="AA139" s="6"/>
      <c r="AB139" s="6">
        <f>$K$139*$V$139</f>
        <v>7812.2400000000007</v>
      </c>
      <c r="AC139" s="6">
        <f>$M$139*$W$139</f>
        <v>0</v>
      </c>
      <c r="AD139" s="6">
        <f>$O$139*$X$139</f>
        <v>0</v>
      </c>
      <c r="AE139" s="6">
        <f ca="1">$K$139*$Y$139</f>
        <v>8865.1406281185646</v>
      </c>
      <c r="AF139" s="6">
        <f>$M$139*$Z$139</f>
        <v>0</v>
      </c>
      <c r="AG139" s="6">
        <f>$O$139*$AA$139</f>
        <v>0</v>
      </c>
    </row>
    <row r="140" spans="1:33" ht="11.25" customHeight="1" x14ac:dyDescent="0.25">
      <c r="A140" s="4" t="s">
        <v>21</v>
      </c>
      <c r="B140" s="4" t="s">
        <v>35</v>
      </c>
      <c r="C140" s="4" t="s">
        <v>36</v>
      </c>
      <c r="D140" s="4" t="s">
        <v>34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44682</v>
      </c>
      <c r="J140" s="6">
        <v>3351</v>
      </c>
      <c r="K140" s="6">
        <v>3351</v>
      </c>
      <c r="L140" s="6">
        <v>0</v>
      </c>
      <c r="M140" s="6">
        <v>0</v>
      </c>
      <c r="N140" s="6">
        <v>0</v>
      </c>
      <c r="O140" s="6">
        <v>0</v>
      </c>
      <c r="P140" s="6">
        <v>12</v>
      </c>
      <c r="Q140" s="4" t="s">
        <v>26</v>
      </c>
      <c r="R140" s="4">
        <v>0</v>
      </c>
      <c r="S140" s="6">
        <v>11</v>
      </c>
      <c r="T140" s="6">
        <v>0</v>
      </c>
      <c r="U140" s="6">
        <v>0</v>
      </c>
      <c r="V140" s="6">
        <f>IF(ISERROR(VLOOKUP($S$140,'TAR FIN'!$A$1:$O$88,15,0)),0,VLOOKUP($S$140,'TAR FIN'!$A$1:$O$88,15,0))</f>
        <v>45.42</v>
      </c>
      <c r="W140" s="6">
        <f>IF(ISERROR(VLOOKUP($T$140,'TAR FIN'!$A$1:$O$88,15,0)),0,VLOOKUP($T$140,'TAR FIN'!$A$1:$O$88,15,0))</f>
        <v>0</v>
      </c>
      <c r="X140" s="6">
        <f>IF(ISERROR(VLOOKUP($U$140,'TAR FIN'!$A$1:$O$88,15,0)),0,VLOOKUP($U$140,'TAR FIN'!$A$1:$O$88,15,0))</f>
        <v>0</v>
      </c>
      <c r="Y140" s="6">
        <f ca="1">('TUSD BE'!$AM$10+'TUSD BF'!$AM$10+'TUSD CVA'!$AM$10)*1</f>
        <v>51.541515279759096</v>
      </c>
      <c r="Z140" s="6"/>
      <c r="AA140" s="6"/>
      <c r="AB140" s="6">
        <f>$K$140*$V$140</f>
        <v>152202.42000000001</v>
      </c>
      <c r="AC140" s="6">
        <f>$M$140*$W$140</f>
        <v>0</v>
      </c>
      <c r="AD140" s="6">
        <f>$O$140*$X$140</f>
        <v>0</v>
      </c>
      <c r="AE140" s="6">
        <f ca="1">$K$140*$Y$140</f>
        <v>172715.61770247272</v>
      </c>
      <c r="AF140" s="6">
        <f>$M$140*$Z$140</f>
        <v>0</v>
      </c>
      <c r="AG140" s="6">
        <f>$O$140*$AA$140</f>
        <v>0</v>
      </c>
    </row>
    <row r="141" spans="1:33" ht="11.25" customHeight="1" x14ac:dyDescent="0.25">
      <c r="A141" s="4" t="s">
        <v>28</v>
      </c>
      <c r="B141" s="4" t="s">
        <v>35</v>
      </c>
      <c r="C141" s="4" t="s">
        <v>36</v>
      </c>
      <c r="D141" s="4" t="s">
        <v>34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44682</v>
      </c>
      <c r="J141" s="6">
        <v>204</v>
      </c>
      <c r="K141" s="6">
        <v>204</v>
      </c>
      <c r="L141" s="6">
        <v>0</v>
      </c>
      <c r="M141" s="6">
        <v>0</v>
      </c>
      <c r="N141" s="6">
        <v>0</v>
      </c>
      <c r="O141" s="6">
        <v>0</v>
      </c>
      <c r="P141" s="6">
        <v>1</v>
      </c>
      <c r="Q141" s="4" t="s">
        <v>26</v>
      </c>
      <c r="R141" s="4">
        <v>0</v>
      </c>
      <c r="S141" s="6">
        <v>11</v>
      </c>
      <c r="T141" s="6">
        <v>0</v>
      </c>
      <c r="U141" s="6">
        <v>0</v>
      </c>
      <c r="V141" s="6">
        <f>IF(ISERROR(VLOOKUP($S$141,'TAR FIN'!$A$1:$O$88,15,0)),0,VLOOKUP($S$141,'TAR FIN'!$A$1:$O$88,15,0))</f>
        <v>45.42</v>
      </c>
      <c r="W141" s="6">
        <f>IF(ISERROR(VLOOKUP($T$141,'TAR FIN'!$A$1:$O$88,15,0)),0,VLOOKUP($T$141,'TAR FIN'!$A$1:$O$88,15,0))</f>
        <v>0</v>
      </c>
      <c r="X141" s="6">
        <f>IF(ISERROR(VLOOKUP($U$141,'TAR FIN'!$A$1:$O$88,15,0)),0,VLOOKUP($U$141,'TAR FIN'!$A$1:$O$88,15,0))</f>
        <v>0</v>
      </c>
      <c r="Y141" s="6">
        <f ca="1">('TUSD BE'!$AM$10+'TUSD BF'!$AM$10+'TUSD CVA'!$AM$10)*1</f>
        <v>51.541515279759096</v>
      </c>
      <c r="Z141" s="6"/>
      <c r="AA141" s="6"/>
      <c r="AB141" s="6">
        <f>$K$141*$V$141</f>
        <v>9265.68</v>
      </c>
      <c r="AC141" s="6">
        <f>$M$141*$W$141</f>
        <v>0</v>
      </c>
      <c r="AD141" s="6">
        <f>$O$141*$X$141</f>
        <v>0</v>
      </c>
      <c r="AE141" s="6">
        <f ca="1">$K$141*$Y$141</f>
        <v>10514.469117070856</v>
      </c>
      <c r="AF141" s="6">
        <f>$M$141*$Z$141</f>
        <v>0</v>
      </c>
      <c r="AG141" s="6">
        <f>$O$141*$AA$141</f>
        <v>0</v>
      </c>
    </row>
    <row r="142" spans="1:33" ht="11.25" customHeight="1" x14ac:dyDescent="0.25">
      <c r="A142" s="4" t="s">
        <v>21</v>
      </c>
      <c r="B142" s="4" t="s">
        <v>35</v>
      </c>
      <c r="C142" s="4" t="s">
        <v>36</v>
      </c>
      <c r="D142" s="4" t="s">
        <v>34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44713</v>
      </c>
      <c r="J142" s="6">
        <v>2401</v>
      </c>
      <c r="K142" s="6">
        <v>2401</v>
      </c>
      <c r="L142" s="6">
        <v>0</v>
      </c>
      <c r="M142" s="6">
        <v>0</v>
      </c>
      <c r="N142" s="6">
        <v>0</v>
      </c>
      <c r="O142" s="6">
        <v>0</v>
      </c>
      <c r="P142" s="6">
        <v>11</v>
      </c>
      <c r="Q142" s="4" t="s">
        <v>26</v>
      </c>
      <c r="R142" s="4">
        <v>0</v>
      </c>
      <c r="S142" s="6">
        <v>11</v>
      </c>
      <c r="T142" s="6">
        <v>0</v>
      </c>
      <c r="U142" s="6">
        <v>0</v>
      </c>
      <c r="V142" s="6">
        <f>IF(ISERROR(VLOOKUP($S$142,'TAR FIN'!$A$1:$O$88,15,0)),0,VLOOKUP($S$142,'TAR FIN'!$A$1:$O$88,15,0))</f>
        <v>45.42</v>
      </c>
      <c r="W142" s="6">
        <f>IF(ISERROR(VLOOKUP($T$142,'TAR FIN'!$A$1:$O$88,15,0)),0,VLOOKUP($T$142,'TAR FIN'!$A$1:$O$88,15,0))</f>
        <v>0</v>
      </c>
      <c r="X142" s="6">
        <f>IF(ISERROR(VLOOKUP($U$142,'TAR FIN'!$A$1:$O$88,15,0)),0,VLOOKUP($U$142,'TAR FIN'!$A$1:$O$88,15,0))</f>
        <v>0</v>
      </c>
      <c r="Y142" s="6">
        <f ca="1">('TUSD BE'!$AM$10+'TUSD BF'!$AM$10+'TUSD CVA'!$AM$10)*1</f>
        <v>51.541515279759096</v>
      </c>
      <c r="Z142" s="6"/>
      <c r="AA142" s="6"/>
      <c r="AB142" s="6">
        <f>$K$142*$V$142</f>
        <v>109053.42</v>
      </c>
      <c r="AC142" s="6">
        <f>$M$142*$W$142</f>
        <v>0</v>
      </c>
      <c r="AD142" s="6">
        <f>$O$142*$X$142</f>
        <v>0</v>
      </c>
      <c r="AE142" s="6">
        <f ca="1">$K$142*$Y$142</f>
        <v>123751.1781867016</v>
      </c>
      <c r="AF142" s="6">
        <f>$M$142*$Z$142</f>
        <v>0</v>
      </c>
      <c r="AG142" s="6">
        <f>$O$142*$AA$142</f>
        <v>0</v>
      </c>
    </row>
    <row r="143" spans="1:33" ht="11.25" customHeight="1" x14ac:dyDescent="0.25">
      <c r="A143" s="4" t="s">
        <v>28</v>
      </c>
      <c r="B143" s="4" t="s">
        <v>35</v>
      </c>
      <c r="C143" s="4" t="s">
        <v>36</v>
      </c>
      <c r="D143" s="4" t="s">
        <v>34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44713</v>
      </c>
      <c r="J143" s="6">
        <v>199</v>
      </c>
      <c r="K143" s="6">
        <v>199</v>
      </c>
      <c r="L143" s="6">
        <v>0</v>
      </c>
      <c r="M143" s="6">
        <v>0</v>
      </c>
      <c r="N143" s="6">
        <v>0</v>
      </c>
      <c r="O143" s="6">
        <v>0</v>
      </c>
      <c r="P143" s="6">
        <v>1</v>
      </c>
      <c r="Q143" s="4" t="s">
        <v>26</v>
      </c>
      <c r="R143" s="4">
        <v>0</v>
      </c>
      <c r="S143" s="6">
        <v>11</v>
      </c>
      <c r="T143" s="6">
        <v>0</v>
      </c>
      <c r="U143" s="6">
        <v>0</v>
      </c>
      <c r="V143" s="6">
        <f>IF(ISERROR(VLOOKUP($S$143,'TAR FIN'!$A$1:$O$88,15,0)),0,VLOOKUP($S$143,'TAR FIN'!$A$1:$O$88,15,0))</f>
        <v>45.42</v>
      </c>
      <c r="W143" s="6">
        <f>IF(ISERROR(VLOOKUP($T$143,'TAR FIN'!$A$1:$O$88,15,0)),0,VLOOKUP($T$143,'TAR FIN'!$A$1:$O$88,15,0))</f>
        <v>0</v>
      </c>
      <c r="X143" s="6">
        <f>IF(ISERROR(VLOOKUP($U$143,'TAR FIN'!$A$1:$O$88,15,0)),0,VLOOKUP($U$143,'TAR FIN'!$A$1:$O$88,15,0))</f>
        <v>0</v>
      </c>
      <c r="Y143" s="6">
        <f ca="1">('TUSD BE'!$AM$10+'TUSD BF'!$AM$10+'TUSD CVA'!$AM$10)*1</f>
        <v>51.541515279759096</v>
      </c>
      <c r="Z143" s="6"/>
      <c r="AA143" s="6"/>
      <c r="AB143" s="6">
        <f>$K$143*$V$143</f>
        <v>9038.58</v>
      </c>
      <c r="AC143" s="6">
        <f>$M$143*$W$143</f>
        <v>0</v>
      </c>
      <c r="AD143" s="6">
        <f>$O$143*$X$143</f>
        <v>0</v>
      </c>
      <c r="AE143" s="6">
        <f ca="1">$K$143*$Y$143</f>
        <v>10256.76154067206</v>
      </c>
      <c r="AF143" s="6">
        <f>$M$143*$Z$143</f>
        <v>0</v>
      </c>
      <c r="AG143" s="6">
        <f>$O$143*$AA$143</f>
        <v>0</v>
      </c>
    </row>
    <row r="144" spans="1:33" ht="11.25" customHeight="1" x14ac:dyDescent="0.25">
      <c r="A144" s="4" t="s">
        <v>21</v>
      </c>
      <c r="B144" s="4" t="s">
        <v>35</v>
      </c>
      <c r="C144" s="4" t="s">
        <v>36</v>
      </c>
      <c r="D144" s="4" t="s">
        <v>34</v>
      </c>
      <c r="E144" s="4" t="s">
        <v>25</v>
      </c>
      <c r="F144" s="4" t="s">
        <v>25</v>
      </c>
      <c r="G144" s="4" t="s">
        <v>25</v>
      </c>
      <c r="H144" s="4" t="s">
        <v>37</v>
      </c>
      <c r="I144" s="5">
        <v>44378</v>
      </c>
      <c r="J144" s="6">
        <v>0</v>
      </c>
      <c r="K144" s="6">
        <v>0</v>
      </c>
      <c r="L144" s="6">
        <v>19.803999999999998</v>
      </c>
      <c r="M144" s="6">
        <v>19.803999999999998</v>
      </c>
      <c r="N144" s="6">
        <v>19.803999999999998</v>
      </c>
      <c r="O144" s="6">
        <v>19.803999999999998</v>
      </c>
      <c r="P144" s="6">
        <v>0</v>
      </c>
      <c r="Q144" s="4" t="s">
        <v>26</v>
      </c>
      <c r="R144" s="4">
        <v>0</v>
      </c>
      <c r="S144" s="6">
        <v>0</v>
      </c>
      <c r="T144" s="6">
        <v>7</v>
      </c>
      <c r="U144" s="6">
        <v>41</v>
      </c>
      <c r="V144" s="6">
        <f>IF(ISERROR(VLOOKUP($S$144,'TAR FIN'!$A$1:$O$88,15,0)),0,VLOOKUP($S$144,'TAR FIN'!$A$1:$O$88,15,0))</f>
        <v>0</v>
      </c>
      <c r="W144" s="6">
        <f>IF(ISERROR(VLOOKUP($T$144,'TAR FIN'!$A$1:$O$88,15,0)),0,VLOOKUP($T$144,'TAR FIN'!$A$1:$O$88,15,0))</f>
        <v>1465.12</v>
      </c>
      <c r="X144" s="6">
        <f>IF(ISERROR(VLOOKUP($U$144,'TAR FIN'!$A$1:$O$88,15,0)),0,VLOOKUP($U$144,'TAR FIN'!$A$1:$O$88,15,0))</f>
        <v>252.22</v>
      </c>
      <c r="Y144" s="6"/>
      <c r="Z144" s="6">
        <f ca="1">('TUSD BE'!$AM$11+'TUSD BF'!$AM$11+'TUSD CVA'!$AM$11)*1</f>
        <v>1652.6258572524951</v>
      </c>
      <c r="AA144" s="6">
        <f>('TE BE'!$AB$5+'TE BF'!$AB$5+'TE CVA'!$AB$5)*1</f>
        <v>251.92449556687748</v>
      </c>
      <c r="AB144" s="6">
        <f>$K$144*$V$144</f>
        <v>0</v>
      </c>
      <c r="AC144" s="6">
        <f>$M$144*$W$144</f>
        <v>29015.236479999996</v>
      </c>
      <c r="AD144" s="6">
        <f>$O$144*$X$144</f>
        <v>4994.9648799999995</v>
      </c>
      <c r="AE144" s="6">
        <f>$K$144*$Y$144</f>
        <v>0</v>
      </c>
      <c r="AF144" s="6">
        <f ca="1">$M$144*$Z$144</f>
        <v>32728.602477028409</v>
      </c>
      <c r="AG144" s="6">
        <f>$O$144*$AA$144</f>
        <v>4989.1127102064411</v>
      </c>
    </row>
    <row r="145" spans="1:33" ht="11.25" customHeight="1" x14ac:dyDescent="0.25">
      <c r="A145" s="4" t="s">
        <v>21</v>
      </c>
      <c r="B145" s="4" t="s">
        <v>35</v>
      </c>
      <c r="C145" s="4" t="s">
        <v>36</v>
      </c>
      <c r="D145" s="4" t="s">
        <v>34</v>
      </c>
      <c r="E145" s="4" t="s">
        <v>25</v>
      </c>
      <c r="F145" s="4" t="s">
        <v>25</v>
      </c>
      <c r="G145" s="4" t="s">
        <v>25</v>
      </c>
      <c r="H145" s="4" t="s">
        <v>37</v>
      </c>
      <c r="I145" s="5">
        <v>44409</v>
      </c>
      <c r="J145" s="6">
        <v>0</v>
      </c>
      <c r="K145" s="6">
        <v>0</v>
      </c>
      <c r="L145" s="6">
        <v>19.786999999999999</v>
      </c>
      <c r="M145" s="6">
        <v>19.786999999999999</v>
      </c>
      <c r="N145" s="6">
        <v>19.786999999999999</v>
      </c>
      <c r="O145" s="6">
        <v>19.786999999999999</v>
      </c>
      <c r="P145" s="6">
        <v>0</v>
      </c>
      <c r="Q145" s="4" t="s">
        <v>26</v>
      </c>
      <c r="R145" s="4">
        <v>0</v>
      </c>
      <c r="S145" s="6">
        <v>0</v>
      </c>
      <c r="T145" s="6">
        <v>7</v>
      </c>
      <c r="U145" s="6">
        <v>41</v>
      </c>
      <c r="V145" s="6">
        <f>IF(ISERROR(VLOOKUP($S$145,'TAR FIN'!$A$1:$O$88,15,0)),0,VLOOKUP($S$145,'TAR FIN'!$A$1:$O$88,15,0))</f>
        <v>0</v>
      </c>
      <c r="W145" s="6">
        <f>IF(ISERROR(VLOOKUP($T$145,'TAR FIN'!$A$1:$O$88,15,0)),0,VLOOKUP($T$145,'TAR FIN'!$A$1:$O$88,15,0))</f>
        <v>1465.12</v>
      </c>
      <c r="X145" s="6">
        <f>IF(ISERROR(VLOOKUP($U$145,'TAR FIN'!$A$1:$O$88,15,0)),0,VLOOKUP($U$145,'TAR FIN'!$A$1:$O$88,15,0))</f>
        <v>252.22</v>
      </c>
      <c r="Y145" s="6"/>
      <c r="Z145" s="6">
        <f ca="1">('TUSD BE'!$AM$11+'TUSD BF'!$AM$11+'TUSD CVA'!$AM$11)*1</f>
        <v>1652.6258572524951</v>
      </c>
      <c r="AA145" s="6">
        <f>('TE BE'!$AB$5+'TE BF'!$AB$5+'TE CVA'!$AB$5)*1</f>
        <v>251.92449556687748</v>
      </c>
      <c r="AB145" s="6">
        <f>$K$145*$V$145</f>
        <v>0</v>
      </c>
      <c r="AC145" s="6">
        <f>$M$145*$W$145</f>
        <v>28990.329439999998</v>
      </c>
      <c r="AD145" s="6">
        <f>$O$145*$X$145</f>
        <v>4990.6771399999998</v>
      </c>
      <c r="AE145" s="6">
        <f>$K$145*$Y$145</f>
        <v>0</v>
      </c>
      <c r="AF145" s="6">
        <f ca="1">$M$145*$Z$145</f>
        <v>32700.507837455119</v>
      </c>
      <c r="AG145" s="6">
        <f>$O$145*$AA$145</f>
        <v>4984.8299937818047</v>
      </c>
    </row>
    <row r="146" spans="1:33" ht="11.25" customHeight="1" x14ac:dyDescent="0.25">
      <c r="A146" s="4" t="s">
        <v>21</v>
      </c>
      <c r="B146" s="4" t="s">
        <v>35</v>
      </c>
      <c r="C146" s="4" t="s">
        <v>36</v>
      </c>
      <c r="D146" s="4" t="s">
        <v>34</v>
      </c>
      <c r="E146" s="4" t="s">
        <v>25</v>
      </c>
      <c r="F146" s="4" t="s">
        <v>25</v>
      </c>
      <c r="G146" s="4" t="s">
        <v>25</v>
      </c>
      <c r="H146" s="4" t="s">
        <v>37</v>
      </c>
      <c r="I146" s="5">
        <v>44440</v>
      </c>
      <c r="J146" s="6">
        <v>0</v>
      </c>
      <c r="K146" s="6">
        <v>0</v>
      </c>
      <c r="L146" s="6">
        <v>21.138000000000002</v>
      </c>
      <c r="M146" s="6">
        <v>21.138000000000002</v>
      </c>
      <c r="N146" s="6">
        <v>21.138000000000002</v>
      </c>
      <c r="O146" s="6">
        <v>21.138000000000002</v>
      </c>
      <c r="P146" s="6">
        <v>0</v>
      </c>
      <c r="Q146" s="4" t="s">
        <v>26</v>
      </c>
      <c r="R146" s="4">
        <v>0</v>
      </c>
      <c r="S146" s="6">
        <v>0</v>
      </c>
      <c r="T146" s="6">
        <v>7</v>
      </c>
      <c r="U146" s="6">
        <v>41</v>
      </c>
      <c r="V146" s="6">
        <f>IF(ISERROR(VLOOKUP($S$146,'TAR FIN'!$A$1:$O$88,15,0)),0,VLOOKUP($S$146,'TAR FIN'!$A$1:$O$88,15,0))</f>
        <v>0</v>
      </c>
      <c r="W146" s="6">
        <f>IF(ISERROR(VLOOKUP($T$146,'TAR FIN'!$A$1:$O$88,15,0)),0,VLOOKUP($T$146,'TAR FIN'!$A$1:$O$88,15,0))</f>
        <v>1465.12</v>
      </c>
      <c r="X146" s="6">
        <f>IF(ISERROR(VLOOKUP($U$146,'TAR FIN'!$A$1:$O$88,15,0)),0,VLOOKUP($U$146,'TAR FIN'!$A$1:$O$88,15,0))</f>
        <v>252.22</v>
      </c>
      <c r="Y146" s="6"/>
      <c r="Z146" s="6">
        <f ca="1">('TUSD BE'!$AM$11+'TUSD BF'!$AM$11+'TUSD CVA'!$AM$11)*1</f>
        <v>1652.6258572524951</v>
      </c>
      <c r="AA146" s="6">
        <f>('TE BE'!$AB$5+'TE BF'!$AB$5+'TE CVA'!$AB$5)*1</f>
        <v>251.92449556687748</v>
      </c>
      <c r="AB146" s="6">
        <f>$K$146*$V$146</f>
        <v>0</v>
      </c>
      <c r="AC146" s="6">
        <f>$M$146*$W$146</f>
        <v>30969.706559999999</v>
      </c>
      <c r="AD146" s="6">
        <f>$O$146*$X$146</f>
        <v>5331.4263600000004</v>
      </c>
      <c r="AE146" s="6">
        <f>$K$146*$Y$146</f>
        <v>0</v>
      </c>
      <c r="AF146" s="6">
        <f ca="1">$M$146*$Z$146</f>
        <v>34933.205370603246</v>
      </c>
      <c r="AG146" s="6">
        <f>$O$146*$AA$146</f>
        <v>5325.1799872926567</v>
      </c>
    </row>
    <row r="147" spans="1:33" ht="11.25" customHeight="1" x14ac:dyDescent="0.25">
      <c r="A147" s="4" t="s">
        <v>21</v>
      </c>
      <c r="B147" s="4" t="s">
        <v>35</v>
      </c>
      <c r="C147" s="4" t="s">
        <v>36</v>
      </c>
      <c r="D147" s="4" t="s">
        <v>34</v>
      </c>
      <c r="E147" s="4" t="s">
        <v>25</v>
      </c>
      <c r="F147" s="4" t="s">
        <v>25</v>
      </c>
      <c r="G147" s="4" t="s">
        <v>25</v>
      </c>
      <c r="H147" s="4" t="s">
        <v>37</v>
      </c>
      <c r="I147" s="5">
        <v>44470</v>
      </c>
      <c r="J147" s="6">
        <v>0</v>
      </c>
      <c r="K147" s="6">
        <v>0</v>
      </c>
      <c r="L147" s="6">
        <v>20.082999999999998</v>
      </c>
      <c r="M147" s="6">
        <v>20.082999999999998</v>
      </c>
      <c r="N147" s="6">
        <v>20.082999999999998</v>
      </c>
      <c r="O147" s="6">
        <v>20.082999999999998</v>
      </c>
      <c r="P147" s="6">
        <v>0</v>
      </c>
      <c r="Q147" s="4" t="s">
        <v>26</v>
      </c>
      <c r="R147" s="4">
        <v>0</v>
      </c>
      <c r="S147" s="6">
        <v>0</v>
      </c>
      <c r="T147" s="6">
        <v>7</v>
      </c>
      <c r="U147" s="6">
        <v>41</v>
      </c>
      <c r="V147" s="6">
        <f>IF(ISERROR(VLOOKUP($S$147,'TAR FIN'!$A$1:$O$88,15,0)),0,VLOOKUP($S$147,'TAR FIN'!$A$1:$O$88,15,0))</f>
        <v>0</v>
      </c>
      <c r="W147" s="6">
        <f>IF(ISERROR(VLOOKUP($T$147,'TAR FIN'!$A$1:$O$88,15,0)),0,VLOOKUP($T$147,'TAR FIN'!$A$1:$O$88,15,0))</f>
        <v>1465.12</v>
      </c>
      <c r="X147" s="6">
        <f>IF(ISERROR(VLOOKUP($U$147,'TAR FIN'!$A$1:$O$88,15,0)),0,VLOOKUP($U$147,'TAR FIN'!$A$1:$O$88,15,0))</f>
        <v>252.22</v>
      </c>
      <c r="Y147" s="6"/>
      <c r="Z147" s="6">
        <f ca="1">('TUSD BE'!$AM$11+'TUSD BF'!$AM$11+'TUSD CVA'!$AM$11)*1</f>
        <v>1652.6258572524951</v>
      </c>
      <c r="AA147" s="6">
        <f>('TE BE'!$AB$5+'TE BF'!$AB$5+'TE CVA'!$AB$5)*1</f>
        <v>251.92449556687748</v>
      </c>
      <c r="AB147" s="6">
        <f>$K$147*$V$147</f>
        <v>0</v>
      </c>
      <c r="AC147" s="6">
        <f>$M$147*$W$147</f>
        <v>29424.004959999995</v>
      </c>
      <c r="AD147" s="6">
        <f>$O$147*$X$147</f>
        <v>5065.3342599999996</v>
      </c>
      <c r="AE147" s="6">
        <f>$K$147*$Y$147</f>
        <v>0</v>
      </c>
      <c r="AF147" s="6">
        <f ca="1">$M$147*$Z$147</f>
        <v>33189.685091201856</v>
      </c>
      <c r="AG147" s="6">
        <f>$O$147*$AA$147</f>
        <v>5059.3996444696004</v>
      </c>
    </row>
    <row r="148" spans="1:33" ht="11.25" customHeight="1" x14ac:dyDescent="0.25">
      <c r="A148" s="4" t="s">
        <v>21</v>
      </c>
      <c r="B148" s="4" t="s">
        <v>35</v>
      </c>
      <c r="C148" s="4" t="s">
        <v>36</v>
      </c>
      <c r="D148" s="4" t="s">
        <v>34</v>
      </c>
      <c r="E148" s="4" t="s">
        <v>25</v>
      </c>
      <c r="F148" s="4" t="s">
        <v>25</v>
      </c>
      <c r="G148" s="4" t="s">
        <v>25</v>
      </c>
      <c r="H148" s="4" t="s">
        <v>37</v>
      </c>
      <c r="I148" s="5">
        <v>44501</v>
      </c>
      <c r="J148" s="6">
        <v>0</v>
      </c>
      <c r="K148" s="6">
        <v>0</v>
      </c>
      <c r="L148" s="6">
        <v>24.431000000000001</v>
      </c>
      <c r="M148" s="6">
        <v>24.431000000000001</v>
      </c>
      <c r="N148" s="6">
        <v>24.431000000000001</v>
      </c>
      <c r="O148" s="6">
        <v>24.431000000000001</v>
      </c>
      <c r="P148" s="6">
        <v>0</v>
      </c>
      <c r="Q148" s="4" t="s">
        <v>26</v>
      </c>
      <c r="R148" s="4">
        <v>0</v>
      </c>
      <c r="S148" s="6">
        <v>0</v>
      </c>
      <c r="T148" s="6">
        <v>7</v>
      </c>
      <c r="U148" s="6">
        <v>41</v>
      </c>
      <c r="V148" s="6">
        <f>IF(ISERROR(VLOOKUP($S$148,'TAR FIN'!$A$1:$O$88,15,0)),0,VLOOKUP($S$148,'TAR FIN'!$A$1:$O$88,15,0))</f>
        <v>0</v>
      </c>
      <c r="W148" s="6">
        <f>IF(ISERROR(VLOOKUP($T$148,'TAR FIN'!$A$1:$O$88,15,0)),0,VLOOKUP($T$148,'TAR FIN'!$A$1:$O$88,15,0))</f>
        <v>1465.12</v>
      </c>
      <c r="X148" s="6">
        <f>IF(ISERROR(VLOOKUP($U$148,'TAR FIN'!$A$1:$O$88,15,0)),0,VLOOKUP($U$148,'TAR FIN'!$A$1:$O$88,15,0))</f>
        <v>252.22</v>
      </c>
      <c r="Y148" s="6"/>
      <c r="Z148" s="6">
        <f ca="1">('TUSD BE'!$AM$11+'TUSD BF'!$AM$11+'TUSD CVA'!$AM$11)*1</f>
        <v>1652.6258572524951</v>
      </c>
      <c r="AA148" s="6">
        <f>('TE BE'!$AB$5+'TE BF'!$AB$5+'TE CVA'!$AB$5)*1</f>
        <v>251.92449556687748</v>
      </c>
      <c r="AB148" s="6">
        <f>$K$148*$V$148</f>
        <v>0</v>
      </c>
      <c r="AC148" s="6">
        <f>$M$148*$W$148</f>
        <v>35794.346720000001</v>
      </c>
      <c r="AD148" s="6">
        <f>$O$148*$X$148</f>
        <v>6161.9868200000001</v>
      </c>
      <c r="AE148" s="6">
        <f>$K$148*$Y$148</f>
        <v>0</v>
      </c>
      <c r="AF148" s="6">
        <f ca="1">$M$148*$Z$148</f>
        <v>40375.302318535709</v>
      </c>
      <c r="AG148" s="6">
        <f>$O$148*$AA$148</f>
        <v>6154.767351194384</v>
      </c>
    </row>
    <row r="149" spans="1:33" ht="11.25" customHeight="1" x14ac:dyDescent="0.25">
      <c r="A149" s="4" t="s">
        <v>21</v>
      </c>
      <c r="B149" s="4" t="s">
        <v>35</v>
      </c>
      <c r="C149" s="4" t="s">
        <v>36</v>
      </c>
      <c r="D149" s="4" t="s">
        <v>34</v>
      </c>
      <c r="E149" s="4" t="s">
        <v>25</v>
      </c>
      <c r="F149" s="4" t="s">
        <v>25</v>
      </c>
      <c r="G149" s="4" t="s">
        <v>25</v>
      </c>
      <c r="H149" s="4" t="s">
        <v>37</v>
      </c>
      <c r="I149" s="5">
        <v>44531</v>
      </c>
      <c r="J149" s="6">
        <v>0</v>
      </c>
      <c r="K149" s="6">
        <v>0</v>
      </c>
      <c r="L149" s="6">
        <v>22.405000000000001</v>
      </c>
      <c r="M149" s="6">
        <v>22.405000000000001</v>
      </c>
      <c r="N149" s="6">
        <v>22.405000000000001</v>
      </c>
      <c r="O149" s="6">
        <v>22.405000000000001</v>
      </c>
      <c r="P149" s="6">
        <v>0</v>
      </c>
      <c r="Q149" s="4" t="s">
        <v>26</v>
      </c>
      <c r="R149" s="4">
        <v>0</v>
      </c>
      <c r="S149" s="6">
        <v>0</v>
      </c>
      <c r="T149" s="6">
        <v>7</v>
      </c>
      <c r="U149" s="6">
        <v>41</v>
      </c>
      <c r="V149" s="6">
        <f>IF(ISERROR(VLOOKUP($S$149,'TAR FIN'!$A$1:$O$88,15,0)),0,VLOOKUP($S$149,'TAR FIN'!$A$1:$O$88,15,0))</f>
        <v>0</v>
      </c>
      <c r="W149" s="6">
        <f>IF(ISERROR(VLOOKUP($T$149,'TAR FIN'!$A$1:$O$88,15,0)),0,VLOOKUP($T$149,'TAR FIN'!$A$1:$O$88,15,0))</f>
        <v>1465.12</v>
      </c>
      <c r="X149" s="6">
        <f>IF(ISERROR(VLOOKUP($U$149,'TAR FIN'!$A$1:$O$88,15,0)),0,VLOOKUP($U$149,'TAR FIN'!$A$1:$O$88,15,0))</f>
        <v>252.22</v>
      </c>
      <c r="Y149" s="6"/>
      <c r="Z149" s="6">
        <f ca="1">('TUSD BE'!$AM$11+'TUSD BF'!$AM$11+'TUSD CVA'!$AM$11)*1</f>
        <v>1652.6258572524951</v>
      </c>
      <c r="AA149" s="6">
        <f>('TE BE'!$AB$5+'TE BF'!$AB$5+'TE CVA'!$AB$5)*1</f>
        <v>251.92449556687748</v>
      </c>
      <c r="AB149" s="6">
        <f>$K$149*$V$149</f>
        <v>0</v>
      </c>
      <c r="AC149" s="6">
        <f>$M$149*$W$149</f>
        <v>32826.013599999998</v>
      </c>
      <c r="AD149" s="6">
        <f>$O$149*$X$149</f>
        <v>5650.9891000000007</v>
      </c>
      <c r="AE149" s="6">
        <f>$K$149*$Y$149</f>
        <v>0</v>
      </c>
      <c r="AF149" s="6">
        <f ca="1">$M$149*$Z$149</f>
        <v>37027.082331742153</v>
      </c>
      <c r="AG149" s="6">
        <f>$O$149*$AA$149</f>
        <v>5644.3683231758905</v>
      </c>
    </row>
    <row r="150" spans="1:33" ht="11.25" customHeight="1" x14ac:dyDescent="0.25">
      <c r="A150" s="4" t="s">
        <v>21</v>
      </c>
      <c r="B150" s="4" t="s">
        <v>35</v>
      </c>
      <c r="C150" s="4" t="s">
        <v>36</v>
      </c>
      <c r="D150" s="4" t="s">
        <v>34</v>
      </c>
      <c r="E150" s="4" t="s">
        <v>25</v>
      </c>
      <c r="F150" s="4" t="s">
        <v>25</v>
      </c>
      <c r="G150" s="4" t="s">
        <v>25</v>
      </c>
      <c r="H150" s="4" t="s">
        <v>37</v>
      </c>
      <c r="I150" s="5">
        <v>44562</v>
      </c>
      <c r="J150" s="6">
        <v>0</v>
      </c>
      <c r="K150" s="6">
        <v>0</v>
      </c>
      <c r="L150" s="6">
        <v>26.715</v>
      </c>
      <c r="M150" s="6">
        <v>26.715</v>
      </c>
      <c r="N150" s="6">
        <v>26.715</v>
      </c>
      <c r="O150" s="6">
        <v>26.715</v>
      </c>
      <c r="P150" s="6">
        <v>0</v>
      </c>
      <c r="Q150" s="4" t="s">
        <v>26</v>
      </c>
      <c r="R150" s="4">
        <v>0</v>
      </c>
      <c r="S150" s="6">
        <v>0</v>
      </c>
      <c r="T150" s="6">
        <v>7</v>
      </c>
      <c r="U150" s="6">
        <v>41</v>
      </c>
      <c r="V150" s="6">
        <f>IF(ISERROR(VLOOKUP($S$150,'TAR FIN'!$A$1:$O$88,15,0)),0,VLOOKUP($S$150,'TAR FIN'!$A$1:$O$88,15,0))</f>
        <v>0</v>
      </c>
      <c r="W150" s="6">
        <f>IF(ISERROR(VLOOKUP($T$150,'TAR FIN'!$A$1:$O$88,15,0)),0,VLOOKUP($T$150,'TAR FIN'!$A$1:$O$88,15,0))</f>
        <v>1465.12</v>
      </c>
      <c r="X150" s="6">
        <f>IF(ISERROR(VLOOKUP($U$150,'TAR FIN'!$A$1:$O$88,15,0)),0,VLOOKUP($U$150,'TAR FIN'!$A$1:$O$88,15,0))</f>
        <v>252.22</v>
      </c>
      <c r="Y150" s="6"/>
      <c r="Z150" s="6">
        <f ca="1">('TUSD BE'!$AM$11+'TUSD BF'!$AM$11+'TUSD CVA'!$AM$11)*1</f>
        <v>1652.6258572524951</v>
      </c>
      <c r="AA150" s="6">
        <f>('TE BE'!$AB$5+'TE BF'!$AB$5+'TE CVA'!$AB$5)*1</f>
        <v>251.92449556687748</v>
      </c>
      <c r="AB150" s="6">
        <f>$K$150*$V$150</f>
        <v>0</v>
      </c>
      <c r="AC150" s="6">
        <f>$M$150*$W$150</f>
        <v>39140.680799999995</v>
      </c>
      <c r="AD150" s="6">
        <f>$O$150*$X$150</f>
        <v>6738.0572999999995</v>
      </c>
      <c r="AE150" s="6">
        <f>$K$150*$Y$150</f>
        <v>0</v>
      </c>
      <c r="AF150" s="6">
        <f ca="1">$M$150*$Z$150</f>
        <v>44149.899776500402</v>
      </c>
      <c r="AG150" s="6">
        <f>$O$150*$AA$150</f>
        <v>6730.1628990691315</v>
      </c>
    </row>
    <row r="151" spans="1:33" ht="11.25" customHeight="1" x14ac:dyDescent="0.25">
      <c r="A151" s="4" t="s">
        <v>21</v>
      </c>
      <c r="B151" s="4" t="s">
        <v>35</v>
      </c>
      <c r="C151" s="4" t="s">
        <v>36</v>
      </c>
      <c r="D151" s="4" t="s">
        <v>34</v>
      </c>
      <c r="E151" s="4" t="s">
        <v>25</v>
      </c>
      <c r="F151" s="4" t="s">
        <v>25</v>
      </c>
      <c r="G151" s="4" t="s">
        <v>25</v>
      </c>
      <c r="H151" s="4" t="s">
        <v>37</v>
      </c>
      <c r="I151" s="5">
        <v>44593</v>
      </c>
      <c r="J151" s="6">
        <v>0</v>
      </c>
      <c r="K151" s="6">
        <v>0</v>
      </c>
      <c r="L151" s="6">
        <v>25.806000000000001</v>
      </c>
      <c r="M151" s="6">
        <v>25.806000000000001</v>
      </c>
      <c r="N151" s="6">
        <v>25.806000000000001</v>
      </c>
      <c r="O151" s="6">
        <v>25.806000000000001</v>
      </c>
      <c r="P151" s="6">
        <v>0</v>
      </c>
      <c r="Q151" s="4" t="s">
        <v>26</v>
      </c>
      <c r="R151" s="4">
        <v>0</v>
      </c>
      <c r="S151" s="6">
        <v>0</v>
      </c>
      <c r="T151" s="6">
        <v>7</v>
      </c>
      <c r="U151" s="6">
        <v>41</v>
      </c>
      <c r="V151" s="6">
        <f>IF(ISERROR(VLOOKUP($S$151,'TAR FIN'!$A$1:$O$88,15,0)),0,VLOOKUP($S$151,'TAR FIN'!$A$1:$O$88,15,0))</f>
        <v>0</v>
      </c>
      <c r="W151" s="6">
        <f>IF(ISERROR(VLOOKUP($T$151,'TAR FIN'!$A$1:$O$88,15,0)),0,VLOOKUP($T$151,'TAR FIN'!$A$1:$O$88,15,0))</f>
        <v>1465.12</v>
      </c>
      <c r="X151" s="6">
        <f>IF(ISERROR(VLOOKUP($U$151,'TAR FIN'!$A$1:$O$88,15,0)),0,VLOOKUP($U$151,'TAR FIN'!$A$1:$O$88,15,0))</f>
        <v>252.22</v>
      </c>
      <c r="Y151" s="6"/>
      <c r="Z151" s="6">
        <f ca="1">('TUSD BE'!$AM$11+'TUSD BF'!$AM$11+'TUSD CVA'!$AM$11)*1</f>
        <v>1652.6258572524951</v>
      </c>
      <c r="AA151" s="6">
        <f>('TE BE'!$AB$5+'TE BF'!$AB$5+'TE CVA'!$AB$5)*1</f>
        <v>251.92449556687748</v>
      </c>
      <c r="AB151" s="6">
        <f>$K$151*$V$151</f>
        <v>0</v>
      </c>
      <c r="AC151" s="6">
        <f>$M$151*$W$151</f>
        <v>37808.886719999995</v>
      </c>
      <c r="AD151" s="6">
        <f>$O$151*$X$151</f>
        <v>6508.7893199999999</v>
      </c>
      <c r="AE151" s="6">
        <f>$K$151*$Y$151</f>
        <v>0</v>
      </c>
      <c r="AF151" s="6">
        <f ca="1">$M$151*$Z$151</f>
        <v>42647.66287225789</v>
      </c>
      <c r="AG151" s="6">
        <f>$O$151*$AA$151</f>
        <v>6501.1635325988409</v>
      </c>
    </row>
    <row r="152" spans="1:33" ht="11.25" customHeight="1" x14ac:dyDescent="0.25">
      <c r="A152" s="4" t="s">
        <v>21</v>
      </c>
      <c r="B152" s="4" t="s">
        <v>35</v>
      </c>
      <c r="C152" s="4" t="s">
        <v>36</v>
      </c>
      <c r="D152" s="4" t="s">
        <v>34</v>
      </c>
      <c r="E152" s="4" t="s">
        <v>25</v>
      </c>
      <c r="F152" s="4" t="s">
        <v>25</v>
      </c>
      <c r="G152" s="4" t="s">
        <v>25</v>
      </c>
      <c r="H152" s="4" t="s">
        <v>37</v>
      </c>
      <c r="I152" s="5">
        <v>44621</v>
      </c>
      <c r="J152" s="6">
        <v>0</v>
      </c>
      <c r="K152" s="6">
        <v>0</v>
      </c>
      <c r="L152" s="6">
        <v>47.436</v>
      </c>
      <c r="M152" s="6">
        <v>47.436</v>
      </c>
      <c r="N152" s="6">
        <v>47.436</v>
      </c>
      <c r="O152" s="6">
        <v>47.436</v>
      </c>
      <c r="P152" s="6">
        <v>0</v>
      </c>
      <c r="Q152" s="4" t="s">
        <v>26</v>
      </c>
      <c r="R152" s="4">
        <v>0</v>
      </c>
      <c r="S152" s="6">
        <v>0</v>
      </c>
      <c r="T152" s="6">
        <v>7</v>
      </c>
      <c r="U152" s="6">
        <v>41</v>
      </c>
      <c r="V152" s="6">
        <f>IF(ISERROR(VLOOKUP($S$152,'TAR FIN'!$A$1:$O$88,15,0)),0,VLOOKUP($S$152,'TAR FIN'!$A$1:$O$88,15,0))</f>
        <v>0</v>
      </c>
      <c r="W152" s="6">
        <f>IF(ISERROR(VLOOKUP($T$152,'TAR FIN'!$A$1:$O$88,15,0)),0,VLOOKUP($T$152,'TAR FIN'!$A$1:$O$88,15,0))</f>
        <v>1465.12</v>
      </c>
      <c r="X152" s="6">
        <f>IF(ISERROR(VLOOKUP($U$152,'TAR FIN'!$A$1:$O$88,15,0)),0,VLOOKUP($U$152,'TAR FIN'!$A$1:$O$88,15,0))</f>
        <v>252.22</v>
      </c>
      <c r="Y152" s="6"/>
      <c r="Z152" s="6">
        <f ca="1">('TUSD BE'!$AM$11+'TUSD BF'!$AM$11+'TUSD CVA'!$AM$11)*1</f>
        <v>1652.6258572524951</v>
      </c>
      <c r="AA152" s="6">
        <f>('TE BE'!$AB$5+'TE BF'!$AB$5+'TE CVA'!$AB$5)*1</f>
        <v>251.92449556687748</v>
      </c>
      <c r="AB152" s="6">
        <f>$K$152*$V$152</f>
        <v>0</v>
      </c>
      <c r="AC152" s="6">
        <f>$M$152*$W$152</f>
        <v>69499.432319999993</v>
      </c>
      <c r="AD152" s="6">
        <f>$O$152*$X$152</f>
        <v>11964.307919999999</v>
      </c>
      <c r="AE152" s="6">
        <f>$K$152*$Y$152</f>
        <v>0</v>
      </c>
      <c r="AF152" s="6">
        <f ca="1">$M$152*$Z$152</f>
        <v>78393.960164629359</v>
      </c>
      <c r="AG152" s="6">
        <f>$O$152*$AA$152</f>
        <v>11950.2903717104</v>
      </c>
    </row>
    <row r="153" spans="1:33" ht="11.25" customHeight="1" x14ac:dyDescent="0.25">
      <c r="A153" s="4" t="s">
        <v>21</v>
      </c>
      <c r="B153" s="4" t="s">
        <v>35</v>
      </c>
      <c r="C153" s="4" t="s">
        <v>36</v>
      </c>
      <c r="D153" s="4" t="s">
        <v>34</v>
      </c>
      <c r="E153" s="4" t="s">
        <v>25</v>
      </c>
      <c r="F153" s="4" t="s">
        <v>25</v>
      </c>
      <c r="G153" s="4" t="s">
        <v>25</v>
      </c>
      <c r="H153" s="4" t="s">
        <v>37</v>
      </c>
      <c r="I153" s="5">
        <v>44652</v>
      </c>
      <c r="J153" s="6">
        <v>0</v>
      </c>
      <c r="K153" s="6">
        <v>0</v>
      </c>
      <c r="L153" s="6">
        <v>59.216000000000001</v>
      </c>
      <c r="M153" s="6">
        <v>59.216000000000001</v>
      </c>
      <c r="N153" s="6">
        <v>59.216000000000001</v>
      </c>
      <c r="O153" s="6">
        <v>59.216000000000001</v>
      </c>
      <c r="P153" s="6">
        <v>0</v>
      </c>
      <c r="Q153" s="4" t="s">
        <v>26</v>
      </c>
      <c r="R153" s="4">
        <v>0</v>
      </c>
      <c r="S153" s="6">
        <v>0</v>
      </c>
      <c r="T153" s="6">
        <v>7</v>
      </c>
      <c r="U153" s="6">
        <v>41</v>
      </c>
      <c r="V153" s="6">
        <f>IF(ISERROR(VLOOKUP($S$153,'TAR FIN'!$A$1:$O$88,15,0)),0,VLOOKUP($S$153,'TAR FIN'!$A$1:$O$88,15,0))</f>
        <v>0</v>
      </c>
      <c r="W153" s="6">
        <f>IF(ISERROR(VLOOKUP($T$153,'TAR FIN'!$A$1:$O$88,15,0)),0,VLOOKUP($T$153,'TAR FIN'!$A$1:$O$88,15,0))</f>
        <v>1465.12</v>
      </c>
      <c r="X153" s="6">
        <f>IF(ISERROR(VLOOKUP($U$153,'TAR FIN'!$A$1:$O$88,15,0)),0,VLOOKUP($U$153,'TAR FIN'!$A$1:$O$88,15,0))</f>
        <v>252.22</v>
      </c>
      <c r="Y153" s="6"/>
      <c r="Z153" s="6">
        <f ca="1">('TUSD BE'!$AM$11+'TUSD BF'!$AM$11+'TUSD CVA'!$AM$11)*1</f>
        <v>1652.6258572524951</v>
      </c>
      <c r="AA153" s="6">
        <f>('TE BE'!$AB$5+'TE BF'!$AB$5+'TE CVA'!$AB$5)*1</f>
        <v>251.92449556687748</v>
      </c>
      <c r="AB153" s="6">
        <f>$K$153*$V$153</f>
        <v>0</v>
      </c>
      <c r="AC153" s="6">
        <f>$M$153*$W$153</f>
        <v>86758.54591999999</v>
      </c>
      <c r="AD153" s="6">
        <f>$O$153*$X$153</f>
        <v>14935.45952</v>
      </c>
      <c r="AE153" s="6">
        <f>$K$153*$Y$153</f>
        <v>0</v>
      </c>
      <c r="AF153" s="6">
        <f ca="1">$M$153*$Z$153</f>
        <v>97861.892763063748</v>
      </c>
      <c r="AG153" s="6">
        <f>$O$153*$AA$153</f>
        <v>14917.960929488218</v>
      </c>
    </row>
    <row r="154" spans="1:33" ht="11.25" customHeight="1" x14ac:dyDescent="0.25">
      <c r="A154" s="4" t="s">
        <v>21</v>
      </c>
      <c r="B154" s="4" t="s">
        <v>35</v>
      </c>
      <c r="C154" s="4" t="s">
        <v>36</v>
      </c>
      <c r="D154" s="4" t="s">
        <v>34</v>
      </c>
      <c r="E154" s="4" t="s">
        <v>25</v>
      </c>
      <c r="F154" s="4" t="s">
        <v>25</v>
      </c>
      <c r="G154" s="4" t="s">
        <v>25</v>
      </c>
      <c r="H154" s="4" t="s">
        <v>37</v>
      </c>
      <c r="I154" s="5">
        <v>44682</v>
      </c>
      <c r="J154" s="6">
        <v>0</v>
      </c>
      <c r="K154" s="6">
        <v>0</v>
      </c>
      <c r="L154" s="6">
        <v>49.643000000000001</v>
      </c>
      <c r="M154" s="6">
        <v>49.643000000000001</v>
      </c>
      <c r="N154" s="6">
        <v>49.643000000000001</v>
      </c>
      <c r="O154" s="6">
        <v>49.643000000000001</v>
      </c>
      <c r="P154" s="6">
        <v>0</v>
      </c>
      <c r="Q154" s="4" t="s">
        <v>26</v>
      </c>
      <c r="R154" s="4">
        <v>0</v>
      </c>
      <c r="S154" s="6">
        <v>0</v>
      </c>
      <c r="T154" s="6">
        <v>7</v>
      </c>
      <c r="U154" s="6">
        <v>41</v>
      </c>
      <c r="V154" s="6">
        <f>IF(ISERROR(VLOOKUP($S$154,'TAR FIN'!$A$1:$O$88,15,0)),0,VLOOKUP($S$154,'TAR FIN'!$A$1:$O$88,15,0))</f>
        <v>0</v>
      </c>
      <c r="W154" s="6">
        <f>IF(ISERROR(VLOOKUP($T$154,'TAR FIN'!$A$1:$O$88,15,0)),0,VLOOKUP($T$154,'TAR FIN'!$A$1:$O$88,15,0))</f>
        <v>1465.12</v>
      </c>
      <c r="X154" s="6">
        <f>IF(ISERROR(VLOOKUP($U$154,'TAR FIN'!$A$1:$O$88,15,0)),0,VLOOKUP($U$154,'TAR FIN'!$A$1:$O$88,15,0))</f>
        <v>252.22</v>
      </c>
      <c r="Y154" s="6"/>
      <c r="Z154" s="6">
        <f ca="1">('TUSD BE'!$AM$11+'TUSD BF'!$AM$11+'TUSD CVA'!$AM$11)*1</f>
        <v>1652.6258572524951</v>
      </c>
      <c r="AA154" s="6">
        <f>('TE BE'!$AB$5+'TE BF'!$AB$5+'TE CVA'!$AB$5)*1</f>
        <v>251.92449556687748</v>
      </c>
      <c r="AB154" s="6">
        <f>$K$154*$V$154</f>
        <v>0</v>
      </c>
      <c r="AC154" s="6">
        <f>$M$154*$W$154</f>
        <v>72732.952160000001</v>
      </c>
      <c r="AD154" s="6">
        <f>$O$154*$X$154</f>
        <v>12520.95746</v>
      </c>
      <c r="AE154" s="6">
        <f>$K$154*$Y$154</f>
        <v>0</v>
      </c>
      <c r="AF154" s="6">
        <f ca="1">$M$154*$Z$154</f>
        <v>82041.305431585613</v>
      </c>
      <c r="AG154" s="6">
        <f>$O$154*$AA$154</f>
        <v>12506.287733426499</v>
      </c>
    </row>
    <row r="155" spans="1:33" ht="11.25" customHeight="1" x14ac:dyDescent="0.25">
      <c r="A155" s="4" t="s">
        <v>27</v>
      </c>
      <c r="B155" s="4" t="s">
        <v>35</v>
      </c>
      <c r="C155" s="4" t="s">
        <v>36</v>
      </c>
      <c r="D155" s="4" t="s">
        <v>34</v>
      </c>
      <c r="E155" s="4" t="s">
        <v>25</v>
      </c>
      <c r="F155" s="4" t="s">
        <v>25</v>
      </c>
      <c r="G155" s="4" t="s">
        <v>25</v>
      </c>
      <c r="H155" s="4" t="s">
        <v>37</v>
      </c>
      <c r="I155" s="5">
        <v>44682</v>
      </c>
      <c r="J155" s="6">
        <v>0</v>
      </c>
      <c r="K155" s="6">
        <v>0</v>
      </c>
      <c r="L155" s="6">
        <v>-4.9020000000000001</v>
      </c>
      <c r="M155" s="6">
        <v>-4.9020000000000001</v>
      </c>
      <c r="N155" s="6">
        <v>-4.9020000000000001</v>
      </c>
      <c r="O155" s="6">
        <v>-4.9020000000000001</v>
      </c>
      <c r="P155" s="6">
        <v>0</v>
      </c>
      <c r="Q155" s="4" t="s">
        <v>26</v>
      </c>
      <c r="R155" s="4">
        <v>0</v>
      </c>
      <c r="S155" s="6">
        <v>0</v>
      </c>
      <c r="T155" s="6">
        <v>7</v>
      </c>
      <c r="U155" s="6">
        <v>41</v>
      </c>
      <c r="V155" s="6">
        <f>IF(ISERROR(VLOOKUP($S$155,'TAR FIN'!$A$1:$O$88,15,0)),0,VLOOKUP($S$155,'TAR FIN'!$A$1:$O$88,15,0))</f>
        <v>0</v>
      </c>
      <c r="W155" s="6">
        <f>IF(ISERROR(VLOOKUP($T$155,'TAR FIN'!$A$1:$O$88,15,0)),0,VLOOKUP($T$155,'TAR FIN'!$A$1:$O$88,15,0))</f>
        <v>1465.12</v>
      </c>
      <c r="X155" s="6">
        <f>IF(ISERROR(VLOOKUP($U$155,'TAR FIN'!$A$1:$O$88,15,0)),0,VLOOKUP($U$155,'TAR FIN'!$A$1:$O$88,15,0))</f>
        <v>252.22</v>
      </c>
      <c r="Y155" s="6"/>
      <c r="Z155" s="6">
        <f ca="1">('TUSD BE'!$AM$11+'TUSD BF'!$AM$11+'TUSD CVA'!$AM$11)*1</f>
        <v>1652.6258572524951</v>
      </c>
      <c r="AA155" s="6">
        <f>('TE BE'!$AB$5+'TE BF'!$AB$5+'TE CVA'!$AB$5)*1</f>
        <v>251.92449556687748</v>
      </c>
      <c r="AB155" s="6">
        <f>$K$155*$V$155</f>
        <v>0</v>
      </c>
      <c r="AC155" s="6">
        <f>$M$155*$W$155</f>
        <v>-7182.0182399999994</v>
      </c>
      <c r="AD155" s="6">
        <f>$O$155*$X$155</f>
        <v>-1236.3824400000001</v>
      </c>
      <c r="AE155" s="6">
        <f>$K$155*$Y$155</f>
        <v>0</v>
      </c>
      <c r="AF155" s="6">
        <f ca="1">$M$155*$Z$155</f>
        <v>-8101.1719522517305</v>
      </c>
      <c r="AG155" s="6">
        <f>$O$155*$AA$155</f>
        <v>-1234.9338772688334</v>
      </c>
    </row>
    <row r="156" spans="1:33" ht="11.25" customHeight="1" x14ac:dyDescent="0.25">
      <c r="A156" s="4" t="s">
        <v>21</v>
      </c>
      <c r="B156" s="4" t="s">
        <v>35</v>
      </c>
      <c r="C156" s="4" t="s">
        <v>36</v>
      </c>
      <c r="D156" s="4" t="s">
        <v>34</v>
      </c>
      <c r="E156" s="4" t="s">
        <v>25</v>
      </c>
      <c r="F156" s="4" t="s">
        <v>25</v>
      </c>
      <c r="G156" s="4" t="s">
        <v>25</v>
      </c>
      <c r="H156" s="4" t="s">
        <v>37</v>
      </c>
      <c r="I156" s="5">
        <v>44713</v>
      </c>
      <c r="J156" s="6">
        <v>0</v>
      </c>
      <c r="K156" s="6">
        <v>0</v>
      </c>
      <c r="L156" s="6">
        <v>24.045000000000002</v>
      </c>
      <c r="M156" s="6">
        <v>24.045000000000002</v>
      </c>
      <c r="N156" s="6">
        <v>24.045000000000002</v>
      </c>
      <c r="O156" s="6">
        <v>24.045000000000002</v>
      </c>
      <c r="P156" s="6">
        <v>0</v>
      </c>
      <c r="Q156" s="4" t="s">
        <v>26</v>
      </c>
      <c r="R156" s="4">
        <v>0</v>
      </c>
      <c r="S156" s="6">
        <v>0</v>
      </c>
      <c r="T156" s="6">
        <v>7</v>
      </c>
      <c r="U156" s="6">
        <v>41</v>
      </c>
      <c r="V156" s="6">
        <f>IF(ISERROR(VLOOKUP($S$156,'TAR FIN'!$A$1:$O$88,15,0)),0,VLOOKUP($S$156,'TAR FIN'!$A$1:$O$88,15,0))</f>
        <v>0</v>
      </c>
      <c r="W156" s="6">
        <f>IF(ISERROR(VLOOKUP($T$156,'TAR FIN'!$A$1:$O$88,15,0)),0,VLOOKUP($T$156,'TAR FIN'!$A$1:$O$88,15,0))</f>
        <v>1465.12</v>
      </c>
      <c r="X156" s="6">
        <f>IF(ISERROR(VLOOKUP($U$156,'TAR FIN'!$A$1:$O$88,15,0)),0,VLOOKUP($U$156,'TAR FIN'!$A$1:$O$88,15,0))</f>
        <v>252.22</v>
      </c>
      <c r="Y156" s="6"/>
      <c r="Z156" s="6">
        <f ca="1">('TUSD BE'!$AM$11+'TUSD BF'!$AM$11+'TUSD CVA'!$AM$11)*1</f>
        <v>1652.6258572524951</v>
      </c>
      <c r="AA156" s="6">
        <f>('TE BE'!$AB$5+'TE BF'!$AB$5+'TE CVA'!$AB$5)*1</f>
        <v>251.92449556687748</v>
      </c>
      <c r="AB156" s="6">
        <f>$K$156*$V$156</f>
        <v>0</v>
      </c>
      <c r="AC156" s="6">
        <f>$M$156*$W$156</f>
        <v>35228.810400000002</v>
      </c>
      <c r="AD156" s="6">
        <f>$O$156*$X$156</f>
        <v>6064.6299000000008</v>
      </c>
      <c r="AE156" s="6">
        <f>$K$156*$Y$156</f>
        <v>0</v>
      </c>
      <c r="AF156" s="6">
        <f ca="1">$M$156*$Z$156</f>
        <v>39737.388737636247</v>
      </c>
      <c r="AG156" s="6">
        <f>$O$156*$AA$156</f>
        <v>6057.5244959055699</v>
      </c>
    </row>
    <row r="157" spans="1:33" ht="11.25" customHeight="1" x14ac:dyDescent="0.25">
      <c r="A157" s="4" t="s">
        <v>28</v>
      </c>
      <c r="B157" s="4" t="s">
        <v>35</v>
      </c>
      <c r="C157" s="4" t="s">
        <v>36</v>
      </c>
      <c r="D157" s="4" t="s">
        <v>34</v>
      </c>
      <c r="E157" s="4" t="s">
        <v>25</v>
      </c>
      <c r="F157" s="4" t="s">
        <v>25</v>
      </c>
      <c r="G157" s="4" t="s">
        <v>25</v>
      </c>
      <c r="H157" s="4" t="s">
        <v>37</v>
      </c>
      <c r="I157" s="5">
        <v>44713</v>
      </c>
      <c r="J157" s="6">
        <v>0</v>
      </c>
      <c r="K157" s="6">
        <v>0</v>
      </c>
      <c r="L157" s="6">
        <v>1.319</v>
      </c>
      <c r="M157" s="6">
        <v>1.319</v>
      </c>
      <c r="N157" s="6">
        <v>1.319</v>
      </c>
      <c r="O157" s="6">
        <v>1.319</v>
      </c>
      <c r="P157" s="6">
        <v>0</v>
      </c>
      <c r="Q157" s="4" t="s">
        <v>26</v>
      </c>
      <c r="R157" s="4">
        <v>0</v>
      </c>
      <c r="S157" s="6">
        <v>0</v>
      </c>
      <c r="T157" s="6">
        <v>7</v>
      </c>
      <c r="U157" s="6">
        <v>41</v>
      </c>
      <c r="V157" s="6">
        <f>IF(ISERROR(VLOOKUP($S$157,'TAR FIN'!$A$1:$O$88,15,0)),0,VLOOKUP($S$157,'TAR FIN'!$A$1:$O$88,15,0))</f>
        <v>0</v>
      </c>
      <c r="W157" s="6">
        <f>IF(ISERROR(VLOOKUP($T$157,'TAR FIN'!$A$1:$O$88,15,0)),0,VLOOKUP($T$157,'TAR FIN'!$A$1:$O$88,15,0))</f>
        <v>1465.12</v>
      </c>
      <c r="X157" s="6">
        <f>IF(ISERROR(VLOOKUP($U$157,'TAR FIN'!$A$1:$O$88,15,0)),0,VLOOKUP($U$157,'TAR FIN'!$A$1:$O$88,15,0))</f>
        <v>252.22</v>
      </c>
      <c r="Y157" s="6"/>
      <c r="Z157" s="6">
        <f ca="1">('TUSD BE'!$AM$11+'TUSD BF'!$AM$11+'TUSD CVA'!$AM$11)*1</f>
        <v>1652.6258572524951</v>
      </c>
      <c r="AA157" s="6">
        <f>('TE BE'!$AB$5+'TE BF'!$AB$5+'TE CVA'!$AB$5)*1</f>
        <v>251.92449556687748</v>
      </c>
      <c r="AB157" s="6">
        <f>$K$157*$V$157</f>
        <v>0</v>
      </c>
      <c r="AC157" s="6">
        <f>$M$157*$W$157</f>
        <v>1932.4932799999997</v>
      </c>
      <c r="AD157" s="6">
        <f>$O$157*$X$157</f>
        <v>332.67818</v>
      </c>
      <c r="AE157" s="6">
        <f>$K$157*$Y$157</f>
        <v>0</v>
      </c>
      <c r="AF157" s="6">
        <f ca="1">$M$157*$Z$157</f>
        <v>2179.8135057160407</v>
      </c>
      <c r="AG157" s="6">
        <f>$O$157*$AA$157</f>
        <v>332.28840965271138</v>
      </c>
    </row>
    <row r="158" spans="1:33" ht="11.25" customHeight="1" x14ac:dyDescent="0.25">
      <c r="A158" s="4" t="s">
        <v>21</v>
      </c>
      <c r="B158" s="4" t="s">
        <v>35</v>
      </c>
      <c r="C158" s="4" t="s">
        <v>36</v>
      </c>
      <c r="D158" s="4" t="s">
        <v>41</v>
      </c>
      <c r="E158" s="4" t="s">
        <v>49</v>
      </c>
      <c r="F158" s="4" t="s">
        <v>51</v>
      </c>
      <c r="G158" s="4" t="s">
        <v>25</v>
      </c>
      <c r="H158" s="4" t="s">
        <v>38</v>
      </c>
      <c r="I158" s="5">
        <v>44378</v>
      </c>
      <c r="J158" s="6">
        <v>0</v>
      </c>
      <c r="K158" s="6">
        <v>0</v>
      </c>
      <c r="L158" s="6">
        <v>17.12</v>
      </c>
      <c r="M158" s="6">
        <v>5.1360000000000001</v>
      </c>
      <c r="N158" s="6">
        <v>17.12</v>
      </c>
      <c r="O158" s="6">
        <v>5.1360000000000001</v>
      </c>
      <c r="P158" s="6">
        <v>0</v>
      </c>
      <c r="Q158" s="4" t="s">
        <v>26</v>
      </c>
      <c r="R158" s="4">
        <v>0</v>
      </c>
      <c r="S158" s="6">
        <v>0</v>
      </c>
      <c r="T158" s="6">
        <v>15</v>
      </c>
      <c r="U158" s="6">
        <v>28</v>
      </c>
      <c r="V158" s="6">
        <f>IF(ISERROR(VLOOKUP($S$158,'TAR FIN'!$A$1:$O$88,15,0)),0,VLOOKUP($S$158,'TAR FIN'!$A$1:$O$88,15,0))</f>
        <v>0</v>
      </c>
      <c r="W158" s="6">
        <f>IF(ISERROR(VLOOKUP($T$158,'TAR FIN'!$A$1:$O$88,15,0)),0,VLOOKUP($T$158,'TAR FIN'!$A$1:$O$88,15,0))</f>
        <v>79.319999999999993</v>
      </c>
      <c r="X158" s="6">
        <f>IF(ISERROR(VLOOKUP($U$158,'TAR FIN'!$A$1:$O$88,15,0)),0,VLOOKUP($U$158,'TAR FIN'!$A$1:$O$88,15,0))</f>
        <v>252.22</v>
      </c>
      <c r="Y158" s="6"/>
      <c r="Z158" s="6">
        <f ca="1">('TUSD BE'!$AM$12+'TUSD BF'!$AM$12+'TUSD CVA'!$AM$12)*1</f>
        <v>102.71637945274784</v>
      </c>
      <c r="AA158" s="6">
        <f>('TE BE'!$AB$6+'TE BF'!$AB$6+'TE CVA'!$AB$6)*1</f>
        <v>251.92449556687748</v>
      </c>
      <c r="AB158" s="6">
        <f>$K$158*$V$158</f>
        <v>0</v>
      </c>
      <c r="AC158" s="6">
        <f>$M$158*$W$158</f>
        <v>407.38751999999999</v>
      </c>
      <c r="AD158" s="6">
        <f>$O$158*$X$158</f>
        <v>1295.40192</v>
      </c>
      <c r="AE158" s="6">
        <f>$K$158*$Y$158</f>
        <v>0</v>
      </c>
      <c r="AF158" s="6">
        <f ca="1">$M$158*$Z$158</f>
        <v>527.55132486931291</v>
      </c>
      <c r="AG158" s="6">
        <f>$O$158*$AA$158</f>
        <v>1293.8842092314828</v>
      </c>
    </row>
    <row r="159" spans="1:33" ht="11.25" customHeight="1" x14ac:dyDescent="0.25">
      <c r="A159" s="4" t="s">
        <v>21</v>
      </c>
      <c r="B159" s="4" t="s">
        <v>35</v>
      </c>
      <c r="C159" s="4" t="s">
        <v>36</v>
      </c>
      <c r="D159" s="4" t="s">
        <v>41</v>
      </c>
      <c r="E159" s="4" t="s">
        <v>49</v>
      </c>
      <c r="F159" s="4" t="s">
        <v>51</v>
      </c>
      <c r="G159" s="4" t="s">
        <v>25</v>
      </c>
      <c r="H159" s="4" t="s">
        <v>38</v>
      </c>
      <c r="I159" s="5">
        <v>44409</v>
      </c>
      <c r="J159" s="6">
        <v>0</v>
      </c>
      <c r="K159" s="6">
        <v>0</v>
      </c>
      <c r="L159" s="6">
        <v>27.2</v>
      </c>
      <c r="M159" s="6">
        <v>8.16</v>
      </c>
      <c r="N159" s="6">
        <v>27.2</v>
      </c>
      <c r="O159" s="6">
        <v>8.16</v>
      </c>
      <c r="P159" s="6">
        <v>0</v>
      </c>
      <c r="Q159" s="4" t="s">
        <v>26</v>
      </c>
      <c r="R159" s="4">
        <v>0</v>
      </c>
      <c r="S159" s="6">
        <v>0</v>
      </c>
      <c r="T159" s="6">
        <v>15</v>
      </c>
      <c r="U159" s="6">
        <v>28</v>
      </c>
      <c r="V159" s="6">
        <f>IF(ISERROR(VLOOKUP($S$159,'TAR FIN'!$A$1:$O$88,15,0)),0,VLOOKUP($S$159,'TAR FIN'!$A$1:$O$88,15,0))</f>
        <v>0</v>
      </c>
      <c r="W159" s="6">
        <f>IF(ISERROR(VLOOKUP($T$159,'TAR FIN'!$A$1:$O$88,15,0)),0,VLOOKUP($T$159,'TAR FIN'!$A$1:$O$88,15,0))</f>
        <v>79.319999999999993</v>
      </c>
      <c r="X159" s="6">
        <f>IF(ISERROR(VLOOKUP($U$159,'TAR FIN'!$A$1:$O$88,15,0)),0,VLOOKUP($U$159,'TAR FIN'!$A$1:$O$88,15,0))</f>
        <v>252.22</v>
      </c>
      <c r="Y159" s="6"/>
      <c r="Z159" s="6">
        <f ca="1">('TUSD BE'!$AM$12+'TUSD BF'!$AM$12+'TUSD CVA'!$AM$12)*1</f>
        <v>102.71637945274784</v>
      </c>
      <c r="AA159" s="6">
        <f>('TE BE'!$AB$6+'TE BF'!$AB$6+'TE CVA'!$AB$6)*1</f>
        <v>251.92449556687748</v>
      </c>
      <c r="AB159" s="6">
        <f>$K$159*$V$159</f>
        <v>0</v>
      </c>
      <c r="AC159" s="6">
        <f>$M$159*$W$159</f>
        <v>647.25119999999993</v>
      </c>
      <c r="AD159" s="6">
        <f>$O$159*$X$159</f>
        <v>2058.1152000000002</v>
      </c>
      <c r="AE159" s="6">
        <f>$K$159*$Y$159</f>
        <v>0</v>
      </c>
      <c r="AF159" s="6">
        <f ca="1">$M$159*$Z$159</f>
        <v>838.16565633442247</v>
      </c>
      <c r="AG159" s="6">
        <f>$O$159*$AA$159</f>
        <v>2055.7038838257204</v>
      </c>
    </row>
    <row r="160" spans="1:33" ht="11.25" customHeight="1" x14ac:dyDescent="0.25">
      <c r="A160" s="4" t="s">
        <v>21</v>
      </c>
      <c r="B160" s="4" t="s">
        <v>35</v>
      </c>
      <c r="C160" s="4" t="s">
        <v>36</v>
      </c>
      <c r="D160" s="4" t="s">
        <v>41</v>
      </c>
      <c r="E160" s="4" t="s">
        <v>49</v>
      </c>
      <c r="F160" s="4" t="s">
        <v>51</v>
      </c>
      <c r="G160" s="4" t="s">
        <v>25</v>
      </c>
      <c r="H160" s="4" t="s">
        <v>38</v>
      </c>
      <c r="I160" s="5">
        <v>44440</v>
      </c>
      <c r="J160" s="6">
        <v>0</v>
      </c>
      <c r="K160" s="6">
        <v>0</v>
      </c>
      <c r="L160" s="6">
        <v>19.091000000000001</v>
      </c>
      <c r="M160" s="6">
        <v>5.7272999999999996</v>
      </c>
      <c r="N160" s="6">
        <v>19.091000000000001</v>
      </c>
      <c r="O160" s="6">
        <v>5.7272999999999996</v>
      </c>
      <c r="P160" s="6">
        <v>0</v>
      </c>
      <c r="Q160" s="4" t="s">
        <v>26</v>
      </c>
      <c r="R160" s="4">
        <v>0</v>
      </c>
      <c r="S160" s="6">
        <v>0</v>
      </c>
      <c r="T160" s="6">
        <v>15</v>
      </c>
      <c r="U160" s="6">
        <v>28</v>
      </c>
      <c r="V160" s="6">
        <f>IF(ISERROR(VLOOKUP($S$160,'TAR FIN'!$A$1:$O$88,15,0)),0,VLOOKUP($S$160,'TAR FIN'!$A$1:$O$88,15,0))</f>
        <v>0</v>
      </c>
      <c r="W160" s="6">
        <f>IF(ISERROR(VLOOKUP($T$160,'TAR FIN'!$A$1:$O$88,15,0)),0,VLOOKUP($T$160,'TAR FIN'!$A$1:$O$88,15,0))</f>
        <v>79.319999999999993</v>
      </c>
      <c r="X160" s="6">
        <f>IF(ISERROR(VLOOKUP($U$160,'TAR FIN'!$A$1:$O$88,15,0)),0,VLOOKUP($U$160,'TAR FIN'!$A$1:$O$88,15,0))</f>
        <v>252.22</v>
      </c>
      <c r="Y160" s="6"/>
      <c r="Z160" s="6">
        <f ca="1">('TUSD BE'!$AM$12+'TUSD BF'!$AM$12+'TUSD CVA'!$AM$12)*1</f>
        <v>102.71637945274784</v>
      </c>
      <c r="AA160" s="6">
        <f>('TE BE'!$AB$6+'TE BF'!$AB$6+'TE CVA'!$AB$6)*1</f>
        <v>251.92449556687748</v>
      </c>
      <c r="AB160" s="6">
        <f>$K$160*$V$160</f>
        <v>0</v>
      </c>
      <c r="AC160" s="6">
        <f>$M$160*$W$160</f>
        <v>454.28943599999991</v>
      </c>
      <c r="AD160" s="6">
        <f>$O$160*$X$160</f>
        <v>1444.5396059999998</v>
      </c>
      <c r="AE160" s="6">
        <f>$K$160*$Y$160</f>
        <v>0</v>
      </c>
      <c r="AF160" s="6">
        <f ca="1">$M$160*$Z$160</f>
        <v>588.28752003972272</v>
      </c>
      <c r="AG160" s="6">
        <f>$O$160*$AA$160</f>
        <v>1442.8471634601774</v>
      </c>
    </row>
    <row r="161" spans="1:33" ht="11.25" customHeight="1" x14ac:dyDescent="0.25">
      <c r="A161" s="4" t="s">
        <v>21</v>
      </c>
      <c r="B161" s="4" t="s">
        <v>35</v>
      </c>
      <c r="C161" s="4" t="s">
        <v>36</v>
      </c>
      <c r="D161" s="4" t="s">
        <v>41</v>
      </c>
      <c r="E161" s="4" t="s">
        <v>49</v>
      </c>
      <c r="F161" s="4" t="s">
        <v>51</v>
      </c>
      <c r="G161" s="4" t="s">
        <v>25</v>
      </c>
      <c r="H161" s="4" t="s">
        <v>38</v>
      </c>
      <c r="I161" s="5">
        <v>44470</v>
      </c>
      <c r="J161" s="6">
        <v>0</v>
      </c>
      <c r="K161" s="6">
        <v>0</v>
      </c>
      <c r="L161" s="6">
        <v>33.917999999999999</v>
      </c>
      <c r="M161" s="6">
        <v>10.1754</v>
      </c>
      <c r="N161" s="6">
        <v>33.917999999999999</v>
      </c>
      <c r="O161" s="6">
        <v>10.1754</v>
      </c>
      <c r="P161" s="6">
        <v>0</v>
      </c>
      <c r="Q161" s="4" t="s">
        <v>26</v>
      </c>
      <c r="R161" s="4">
        <v>0</v>
      </c>
      <c r="S161" s="6">
        <v>0</v>
      </c>
      <c r="T161" s="6">
        <v>15</v>
      </c>
      <c r="U161" s="6">
        <v>28</v>
      </c>
      <c r="V161" s="6">
        <f>IF(ISERROR(VLOOKUP($S$161,'TAR FIN'!$A$1:$O$88,15,0)),0,VLOOKUP($S$161,'TAR FIN'!$A$1:$O$88,15,0))</f>
        <v>0</v>
      </c>
      <c r="W161" s="6">
        <f>IF(ISERROR(VLOOKUP($T$161,'TAR FIN'!$A$1:$O$88,15,0)),0,VLOOKUP($T$161,'TAR FIN'!$A$1:$O$88,15,0))</f>
        <v>79.319999999999993</v>
      </c>
      <c r="X161" s="6">
        <f>IF(ISERROR(VLOOKUP($U$161,'TAR FIN'!$A$1:$O$88,15,0)),0,VLOOKUP($U$161,'TAR FIN'!$A$1:$O$88,15,0))</f>
        <v>252.22</v>
      </c>
      <c r="Y161" s="6"/>
      <c r="Z161" s="6">
        <f ca="1">('TUSD BE'!$AM$12+'TUSD BF'!$AM$12+'TUSD CVA'!$AM$12)*1</f>
        <v>102.71637945274784</v>
      </c>
      <c r="AA161" s="6">
        <f>('TE BE'!$AB$6+'TE BF'!$AB$6+'TE CVA'!$AB$6)*1</f>
        <v>251.92449556687748</v>
      </c>
      <c r="AB161" s="6">
        <f>$K$161*$V$161</f>
        <v>0</v>
      </c>
      <c r="AC161" s="6">
        <f>$M$161*$W$161</f>
        <v>807.11272799999995</v>
      </c>
      <c r="AD161" s="6">
        <f>$O$161*$X$161</f>
        <v>2566.4393879999998</v>
      </c>
      <c r="AE161" s="6">
        <f>$K$161*$Y$161</f>
        <v>0</v>
      </c>
      <c r="AF161" s="6">
        <f ca="1">$M$161*$Z$161</f>
        <v>1045.1802474834903</v>
      </c>
      <c r="AG161" s="6">
        <f>$O$161*$AA$161</f>
        <v>2563.4325121912052</v>
      </c>
    </row>
    <row r="162" spans="1:33" ht="11.25" customHeight="1" x14ac:dyDescent="0.25">
      <c r="A162" s="4" t="s">
        <v>21</v>
      </c>
      <c r="B162" s="4" t="s">
        <v>35</v>
      </c>
      <c r="C162" s="4" t="s">
        <v>36</v>
      </c>
      <c r="D162" s="4" t="s">
        <v>41</v>
      </c>
      <c r="E162" s="4" t="s">
        <v>49</v>
      </c>
      <c r="F162" s="4" t="s">
        <v>51</v>
      </c>
      <c r="G162" s="4" t="s">
        <v>25</v>
      </c>
      <c r="H162" s="4" t="s">
        <v>38</v>
      </c>
      <c r="I162" s="5">
        <v>44501</v>
      </c>
      <c r="J162" s="6">
        <v>0</v>
      </c>
      <c r="K162" s="6">
        <v>0</v>
      </c>
      <c r="L162" s="6">
        <v>313.84899999999999</v>
      </c>
      <c r="M162" s="6">
        <v>94.154700000000005</v>
      </c>
      <c r="N162" s="6">
        <v>313.84899999999999</v>
      </c>
      <c r="O162" s="6">
        <v>94.154700000000005</v>
      </c>
      <c r="P162" s="6">
        <v>0</v>
      </c>
      <c r="Q162" s="4" t="s">
        <v>26</v>
      </c>
      <c r="R162" s="4">
        <v>0</v>
      </c>
      <c r="S162" s="6">
        <v>0</v>
      </c>
      <c r="T162" s="6">
        <v>15</v>
      </c>
      <c r="U162" s="6">
        <v>28</v>
      </c>
      <c r="V162" s="6">
        <f>IF(ISERROR(VLOOKUP($S$162,'TAR FIN'!$A$1:$O$88,15,0)),0,VLOOKUP($S$162,'TAR FIN'!$A$1:$O$88,15,0))</f>
        <v>0</v>
      </c>
      <c r="W162" s="6">
        <f>IF(ISERROR(VLOOKUP($T$162,'TAR FIN'!$A$1:$O$88,15,0)),0,VLOOKUP($T$162,'TAR FIN'!$A$1:$O$88,15,0))</f>
        <v>79.319999999999993</v>
      </c>
      <c r="X162" s="6">
        <f>IF(ISERROR(VLOOKUP($U$162,'TAR FIN'!$A$1:$O$88,15,0)),0,VLOOKUP($U$162,'TAR FIN'!$A$1:$O$88,15,0))</f>
        <v>252.22</v>
      </c>
      <c r="Y162" s="6"/>
      <c r="Z162" s="6">
        <f ca="1">('TUSD BE'!$AM$12+'TUSD BF'!$AM$12+'TUSD CVA'!$AM$12)*1</f>
        <v>102.71637945274784</v>
      </c>
      <c r="AA162" s="6">
        <f>('TE BE'!$AB$6+'TE BF'!$AB$6+'TE CVA'!$AB$6)*1</f>
        <v>251.92449556687748</v>
      </c>
      <c r="AB162" s="6">
        <f>$K$162*$V$162</f>
        <v>0</v>
      </c>
      <c r="AC162" s="6">
        <f>$M$162*$W$162</f>
        <v>7468.3508039999997</v>
      </c>
      <c r="AD162" s="6">
        <f>$O$162*$X$162</f>
        <v>23747.698434000002</v>
      </c>
      <c r="AE162" s="6">
        <f>$K$162*$Y$162</f>
        <v>0</v>
      </c>
      <c r="AF162" s="6">
        <f ca="1">$M$162*$Z$162</f>
        <v>9671.229892459638</v>
      </c>
      <c r="AG162" s="6">
        <f>$O$162*$AA$162</f>
        <v>23719.875302750679</v>
      </c>
    </row>
    <row r="163" spans="1:33" ht="11.25" customHeight="1" x14ac:dyDescent="0.25">
      <c r="A163" s="4" t="s">
        <v>21</v>
      </c>
      <c r="B163" s="4" t="s">
        <v>35</v>
      </c>
      <c r="C163" s="4" t="s">
        <v>36</v>
      </c>
      <c r="D163" s="4" t="s">
        <v>41</v>
      </c>
      <c r="E163" s="4" t="s">
        <v>49</v>
      </c>
      <c r="F163" s="4" t="s">
        <v>51</v>
      </c>
      <c r="G163" s="4" t="s">
        <v>25</v>
      </c>
      <c r="H163" s="4" t="s">
        <v>38</v>
      </c>
      <c r="I163" s="5">
        <v>44531</v>
      </c>
      <c r="J163" s="6">
        <v>0</v>
      </c>
      <c r="K163" s="6">
        <v>0</v>
      </c>
      <c r="L163" s="6">
        <v>439.04</v>
      </c>
      <c r="M163" s="6">
        <v>131.71199999999999</v>
      </c>
      <c r="N163" s="6">
        <v>439.04</v>
      </c>
      <c r="O163" s="6">
        <v>131.71199999999999</v>
      </c>
      <c r="P163" s="6">
        <v>0</v>
      </c>
      <c r="Q163" s="4" t="s">
        <v>26</v>
      </c>
      <c r="R163" s="4">
        <v>0</v>
      </c>
      <c r="S163" s="6">
        <v>0</v>
      </c>
      <c r="T163" s="6">
        <v>15</v>
      </c>
      <c r="U163" s="6">
        <v>28</v>
      </c>
      <c r="V163" s="6">
        <f>IF(ISERROR(VLOOKUP($S$163,'TAR FIN'!$A$1:$O$88,15,0)),0,VLOOKUP($S$163,'TAR FIN'!$A$1:$O$88,15,0))</f>
        <v>0</v>
      </c>
      <c r="W163" s="6">
        <f>IF(ISERROR(VLOOKUP($T$163,'TAR FIN'!$A$1:$O$88,15,0)),0,VLOOKUP($T$163,'TAR FIN'!$A$1:$O$88,15,0))</f>
        <v>79.319999999999993</v>
      </c>
      <c r="X163" s="6">
        <f>IF(ISERROR(VLOOKUP($U$163,'TAR FIN'!$A$1:$O$88,15,0)),0,VLOOKUP($U$163,'TAR FIN'!$A$1:$O$88,15,0))</f>
        <v>252.22</v>
      </c>
      <c r="Y163" s="6"/>
      <c r="Z163" s="6">
        <f ca="1">('TUSD BE'!$AM$12+'TUSD BF'!$AM$12+'TUSD CVA'!$AM$12)*1</f>
        <v>102.71637945274784</v>
      </c>
      <c r="AA163" s="6">
        <f>('TE BE'!$AB$6+'TE BF'!$AB$6+'TE CVA'!$AB$6)*1</f>
        <v>251.92449556687748</v>
      </c>
      <c r="AB163" s="6">
        <f>$K$163*$V$163</f>
        <v>0</v>
      </c>
      <c r="AC163" s="6">
        <f>$M$163*$W$163</f>
        <v>10447.395839999997</v>
      </c>
      <c r="AD163" s="6">
        <f>$O$163*$X$163</f>
        <v>33220.40064</v>
      </c>
      <c r="AE163" s="6">
        <f>$K$163*$Y$163</f>
        <v>0</v>
      </c>
      <c r="AF163" s="6">
        <f ca="1">$M$163*$Z$163</f>
        <v>13528.979770480322</v>
      </c>
      <c r="AG163" s="6">
        <f>$O$163*$AA$163</f>
        <v>33181.479160104565</v>
      </c>
    </row>
    <row r="164" spans="1:33" ht="11.25" customHeight="1" x14ac:dyDescent="0.25">
      <c r="A164" s="4" t="s">
        <v>21</v>
      </c>
      <c r="B164" s="4" t="s">
        <v>35</v>
      </c>
      <c r="C164" s="4" t="s">
        <v>36</v>
      </c>
      <c r="D164" s="4" t="s">
        <v>41</v>
      </c>
      <c r="E164" s="4" t="s">
        <v>49</v>
      </c>
      <c r="F164" s="4" t="s">
        <v>51</v>
      </c>
      <c r="G164" s="4" t="s">
        <v>25</v>
      </c>
      <c r="H164" s="4" t="s">
        <v>38</v>
      </c>
      <c r="I164" s="5">
        <v>44562</v>
      </c>
      <c r="J164" s="6">
        <v>0</v>
      </c>
      <c r="K164" s="6">
        <v>0</v>
      </c>
      <c r="L164" s="6">
        <v>465.23399999999998</v>
      </c>
      <c r="M164" s="6">
        <v>139.5702</v>
      </c>
      <c r="N164" s="6">
        <v>465.23399999999998</v>
      </c>
      <c r="O164" s="6">
        <v>139.5702</v>
      </c>
      <c r="P164" s="6">
        <v>0</v>
      </c>
      <c r="Q164" s="4" t="s">
        <v>26</v>
      </c>
      <c r="R164" s="4">
        <v>0</v>
      </c>
      <c r="S164" s="6">
        <v>0</v>
      </c>
      <c r="T164" s="6">
        <v>15</v>
      </c>
      <c r="U164" s="6">
        <v>28</v>
      </c>
      <c r="V164" s="6">
        <f>IF(ISERROR(VLOOKUP($S$164,'TAR FIN'!$A$1:$O$88,15,0)),0,VLOOKUP($S$164,'TAR FIN'!$A$1:$O$88,15,0))</f>
        <v>0</v>
      </c>
      <c r="W164" s="6">
        <f>IF(ISERROR(VLOOKUP($T$164,'TAR FIN'!$A$1:$O$88,15,0)),0,VLOOKUP($T$164,'TAR FIN'!$A$1:$O$88,15,0))</f>
        <v>79.319999999999993</v>
      </c>
      <c r="X164" s="6">
        <f>IF(ISERROR(VLOOKUP($U$164,'TAR FIN'!$A$1:$O$88,15,0)),0,VLOOKUP($U$164,'TAR FIN'!$A$1:$O$88,15,0))</f>
        <v>252.22</v>
      </c>
      <c r="Y164" s="6"/>
      <c r="Z164" s="6">
        <f ca="1">('TUSD BE'!$AM$12+'TUSD BF'!$AM$12+'TUSD CVA'!$AM$12)*1</f>
        <v>102.71637945274784</v>
      </c>
      <c r="AA164" s="6">
        <f>('TE BE'!$AB$6+'TE BF'!$AB$6+'TE CVA'!$AB$6)*1</f>
        <v>251.92449556687748</v>
      </c>
      <c r="AB164" s="6">
        <f>$K$164*$V$164</f>
        <v>0</v>
      </c>
      <c r="AC164" s="6">
        <f>$M$164*$W$164</f>
        <v>11070.708263999999</v>
      </c>
      <c r="AD164" s="6">
        <f>$O$164*$X$164</f>
        <v>35202.395843999999</v>
      </c>
      <c r="AE164" s="6">
        <f>$K$164*$Y$164</f>
        <v>0</v>
      </c>
      <c r="AF164" s="6">
        <f ca="1">$M$164*$Z$164</f>
        <v>14336.145623495908</v>
      </c>
      <c r="AG164" s="6">
        <f>$O$164*$AA$164</f>
        <v>35161.152231168206</v>
      </c>
    </row>
    <row r="165" spans="1:33" ht="11.25" customHeight="1" x14ac:dyDescent="0.25">
      <c r="A165" s="4" t="s">
        <v>21</v>
      </c>
      <c r="B165" s="4" t="s">
        <v>35</v>
      </c>
      <c r="C165" s="4" t="s">
        <v>36</v>
      </c>
      <c r="D165" s="4" t="s">
        <v>41</v>
      </c>
      <c r="E165" s="4" t="s">
        <v>49</v>
      </c>
      <c r="F165" s="4" t="s">
        <v>51</v>
      </c>
      <c r="G165" s="4" t="s">
        <v>25</v>
      </c>
      <c r="H165" s="4" t="s">
        <v>38</v>
      </c>
      <c r="I165" s="5">
        <v>44593</v>
      </c>
      <c r="J165" s="6">
        <v>0</v>
      </c>
      <c r="K165" s="6">
        <v>0</v>
      </c>
      <c r="L165" s="6">
        <v>333.94200000000001</v>
      </c>
      <c r="M165" s="6">
        <v>100.18259999999999</v>
      </c>
      <c r="N165" s="6">
        <v>333.94200000000001</v>
      </c>
      <c r="O165" s="6">
        <v>100.18259999999999</v>
      </c>
      <c r="P165" s="6">
        <v>0</v>
      </c>
      <c r="Q165" s="4" t="s">
        <v>26</v>
      </c>
      <c r="R165" s="4">
        <v>0</v>
      </c>
      <c r="S165" s="6">
        <v>0</v>
      </c>
      <c r="T165" s="6">
        <v>15</v>
      </c>
      <c r="U165" s="6">
        <v>28</v>
      </c>
      <c r="V165" s="6">
        <f>IF(ISERROR(VLOOKUP($S$165,'TAR FIN'!$A$1:$O$88,15,0)),0,VLOOKUP($S$165,'TAR FIN'!$A$1:$O$88,15,0))</f>
        <v>0</v>
      </c>
      <c r="W165" s="6">
        <f>IF(ISERROR(VLOOKUP($T$165,'TAR FIN'!$A$1:$O$88,15,0)),0,VLOOKUP($T$165,'TAR FIN'!$A$1:$O$88,15,0))</f>
        <v>79.319999999999993</v>
      </c>
      <c r="X165" s="6">
        <f>IF(ISERROR(VLOOKUP($U$165,'TAR FIN'!$A$1:$O$88,15,0)),0,VLOOKUP($U$165,'TAR FIN'!$A$1:$O$88,15,0))</f>
        <v>252.22</v>
      </c>
      <c r="Y165" s="6"/>
      <c r="Z165" s="6">
        <f ca="1">('TUSD BE'!$AM$12+'TUSD BF'!$AM$12+'TUSD CVA'!$AM$12)*1</f>
        <v>102.71637945274784</v>
      </c>
      <c r="AA165" s="6">
        <f>('TE BE'!$AB$6+'TE BF'!$AB$6+'TE CVA'!$AB$6)*1</f>
        <v>251.92449556687748</v>
      </c>
      <c r="AB165" s="6">
        <f>$K$165*$V$165</f>
        <v>0</v>
      </c>
      <c r="AC165" s="6">
        <f>$M$165*$W$165</f>
        <v>7946.483831999999</v>
      </c>
      <c r="AD165" s="6">
        <f>$O$165*$X$165</f>
        <v>25268.055371999999</v>
      </c>
      <c r="AE165" s="6">
        <f>$K$165*$Y$165</f>
        <v>0</v>
      </c>
      <c r="AF165" s="6">
        <f ca="1">$M$165*$Z$165</f>
        <v>10290.393956162856</v>
      </c>
      <c r="AG165" s="6">
        <f>$O$165*$AA$165</f>
        <v>25238.450969578258</v>
      </c>
    </row>
    <row r="166" spans="1:33" ht="11.25" customHeight="1" x14ac:dyDescent="0.25">
      <c r="A166" s="4" t="s">
        <v>21</v>
      </c>
      <c r="B166" s="4" t="s">
        <v>35</v>
      </c>
      <c r="C166" s="4" t="s">
        <v>36</v>
      </c>
      <c r="D166" s="4" t="s">
        <v>41</v>
      </c>
      <c r="E166" s="4" t="s">
        <v>49</v>
      </c>
      <c r="F166" s="4" t="s">
        <v>51</v>
      </c>
      <c r="G166" s="4" t="s">
        <v>25</v>
      </c>
      <c r="H166" s="4" t="s">
        <v>38</v>
      </c>
      <c r="I166" s="5">
        <v>44621</v>
      </c>
      <c r="J166" s="6">
        <v>0</v>
      </c>
      <c r="K166" s="6">
        <v>0</v>
      </c>
      <c r="L166" s="6">
        <v>160.22999999999999</v>
      </c>
      <c r="M166" s="6">
        <v>48.069000000000003</v>
      </c>
      <c r="N166" s="6">
        <v>160.22999999999999</v>
      </c>
      <c r="O166" s="6">
        <v>48.069000000000003</v>
      </c>
      <c r="P166" s="6">
        <v>0</v>
      </c>
      <c r="Q166" s="4" t="s">
        <v>26</v>
      </c>
      <c r="R166" s="4">
        <v>0</v>
      </c>
      <c r="S166" s="6">
        <v>0</v>
      </c>
      <c r="T166" s="6">
        <v>15</v>
      </c>
      <c r="U166" s="6">
        <v>28</v>
      </c>
      <c r="V166" s="6">
        <f>IF(ISERROR(VLOOKUP($S$166,'TAR FIN'!$A$1:$O$88,15,0)),0,VLOOKUP($S$166,'TAR FIN'!$A$1:$O$88,15,0))</f>
        <v>0</v>
      </c>
      <c r="W166" s="6">
        <f>IF(ISERROR(VLOOKUP($T$166,'TAR FIN'!$A$1:$O$88,15,0)),0,VLOOKUP($T$166,'TAR FIN'!$A$1:$O$88,15,0))</f>
        <v>79.319999999999993</v>
      </c>
      <c r="X166" s="6">
        <f>IF(ISERROR(VLOOKUP($U$166,'TAR FIN'!$A$1:$O$88,15,0)),0,VLOOKUP($U$166,'TAR FIN'!$A$1:$O$88,15,0))</f>
        <v>252.22</v>
      </c>
      <c r="Y166" s="6"/>
      <c r="Z166" s="6">
        <f ca="1">('TUSD BE'!$AM$12+'TUSD BF'!$AM$12+'TUSD CVA'!$AM$12)*1</f>
        <v>102.71637945274784</v>
      </c>
      <c r="AA166" s="6">
        <f>('TE BE'!$AB$6+'TE BF'!$AB$6+'TE CVA'!$AB$6)*1</f>
        <v>251.92449556687748</v>
      </c>
      <c r="AB166" s="6">
        <f>$K$166*$V$166</f>
        <v>0</v>
      </c>
      <c r="AC166" s="6">
        <f>$M$166*$W$166</f>
        <v>3812.8330799999999</v>
      </c>
      <c r="AD166" s="6">
        <f>$O$166*$X$166</f>
        <v>12123.963180000001</v>
      </c>
      <c r="AE166" s="6">
        <f>$K$166*$Y$166</f>
        <v>0</v>
      </c>
      <c r="AF166" s="6">
        <f ca="1">$M$166*$Z$166</f>
        <v>4937.4736439141361</v>
      </c>
      <c r="AG166" s="6">
        <f>$O$166*$AA$166</f>
        <v>12109.758577404235</v>
      </c>
    </row>
    <row r="167" spans="1:33" ht="11.25" customHeight="1" x14ac:dyDescent="0.25">
      <c r="A167" s="4" t="s">
        <v>21</v>
      </c>
      <c r="B167" s="4" t="s">
        <v>35</v>
      </c>
      <c r="C167" s="4" t="s">
        <v>36</v>
      </c>
      <c r="D167" s="4" t="s">
        <v>41</v>
      </c>
      <c r="E167" s="4" t="s">
        <v>49</v>
      </c>
      <c r="F167" s="4" t="s">
        <v>51</v>
      </c>
      <c r="G167" s="4" t="s">
        <v>25</v>
      </c>
      <c r="H167" s="4" t="s">
        <v>38</v>
      </c>
      <c r="I167" s="5">
        <v>44652</v>
      </c>
      <c r="J167" s="6">
        <v>0</v>
      </c>
      <c r="K167" s="6">
        <v>0</v>
      </c>
      <c r="L167" s="6">
        <v>40.447000000000003</v>
      </c>
      <c r="M167" s="6">
        <v>12.1341</v>
      </c>
      <c r="N167" s="6">
        <v>40.447000000000003</v>
      </c>
      <c r="O167" s="6">
        <v>12.1341</v>
      </c>
      <c r="P167" s="6">
        <v>0</v>
      </c>
      <c r="Q167" s="4" t="s">
        <v>26</v>
      </c>
      <c r="R167" s="4">
        <v>0</v>
      </c>
      <c r="S167" s="6">
        <v>0</v>
      </c>
      <c r="T167" s="6">
        <v>15</v>
      </c>
      <c r="U167" s="6">
        <v>28</v>
      </c>
      <c r="V167" s="6">
        <f>IF(ISERROR(VLOOKUP($S$167,'TAR FIN'!$A$1:$O$88,15,0)),0,VLOOKUP($S$167,'TAR FIN'!$A$1:$O$88,15,0))</f>
        <v>0</v>
      </c>
      <c r="W167" s="6">
        <f>IF(ISERROR(VLOOKUP($T$167,'TAR FIN'!$A$1:$O$88,15,0)),0,VLOOKUP($T$167,'TAR FIN'!$A$1:$O$88,15,0))</f>
        <v>79.319999999999993</v>
      </c>
      <c r="X167" s="6">
        <f>IF(ISERROR(VLOOKUP($U$167,'TAR FIN'!$A$1:$O$88,15,0)),0,VLOOKUP($U$167,'TAR FIN'!$A$1:$O$88,15,0))</f>
        <v>252.22</v>
      </c>
      <c r="Y167" s="6"/>
      <c r="Z167" s="6">
        <f ca="1">('TUSD BE'!$AM$12+'TUSD BF'!$AM$12+'TUSD CVA'!$AM$12)*1</f>
        <v>102.71637945274784</v>
      </c>
      <c r="AA167" s="6">
        <f>('TE BE'!$AB$6+'TE BF'!$AB$6+'TE CVA'!$AB$6)*1</f>
        <v>251.92449556687748</v>
      </c>
      <c r="AB167" s="6">
        <f>$K$167*$V$167</f>
        <v>0</v>
      </c>
      <c r="AC167" s="6">
        <f>$M$167*$W$167</f>
        <v>962.47681199999988</v>
      </c>
      <c r="AD167" s="6">
        <f>$O$167*$X$167</f>
        <v>3060.4627019999998</v>
      </c>
      <c r="AE167" s="6">
        <f>$K$167*$Y$167</f>
        <v>0</v>
      </c>
      <c r="AF167" s="6">
        <f ca="1">$M$167*$Z$167</f>
        <v>1246.3708199175876</v>
      </c>
      <c r="AG167" s="6">
        <f>$O$167*$AA$167</f>
        <v>3056.8770216580483</v>
      </c>
    </row>
    <row r="168" spans="1:33" ht="11.25" customHeight="1" x14ac:dyDescent="0.25">
      <c r="A168" s="4" t="s">
        <v>21</v>
      </c>
      <c r="B168" s="4" t="s">
        <v>35</v>
      </c>
      <c r="C168" s="4" t="s">
        <v>36</v>
      </c>
      <c r="D168" s="4" t="s">
        <v>41</v>
      </c>
      <c r="E168" s="4" t="s">
        <v>49</v>
      </c>
      <c r="F168" s="4" t="s">
        <v>51</v>
      </c>
      <c r="G168" s="4" t="s">
        <v>25</v>
      </c>
      <c r="H168" s="4" t="s">
        <v>38</v>
      </c>
      <c r="I168" s="5">
        <v>44682</v>
      </c>
      <c r="J168" s="6">
        <v>0</v>
      </c>
      <c r="K168" s="6">
        <v>0</v>
      </c>
      <c r="L168" s="6">
        <v>18.097999999999999</v>
      </c>
      <c r="M168" s="6">
        <v>5.4294000000000002</v>
      </c>
      <c r="N168" s="6">
        <v>18.097999999999999</v>
      </c>
      <c r="O168" s="6">
        <v>5.4294000000000002</v>
      </c>
      <c r="P168" s="6">
        <v>0</v>
      </c>
      <c r="Q168" s="4" t="s">
        <v>26</v>
      </c>
      <c r="R168" s="4">
        <v>0</v>
      </c>
      <c r="S168" s="6">
        <v>0</v>
      </c>
      <c r="T168" s="6">
        <v>15</v>
      </c>
      <c r="U168" s="6">
        <v>28</v>
      </c>
      <c r="V168" s="6">
        <f>IF(ISERROR(VLOOKUP($S$168,'TAR FIN'!$A$1:$O$88,15,0)),0,VLOOKUP($S$168,'TAR FIN'!$A$1:$O$88,15,0))</f>
        <v>0</v>
      </c>
      <c r="W168" s="6">
        <f>IF(ISERROR(VLOOKUP($T$168,'TAR FIN'!$A$1:$O$88,15,0)),0,VLOOKUP($T$168,'TAR FIN'!$A$1:$O$88,15,0))</f>
        <v>79.319999999999993</v>
      </c>
      <c r="X168" s="6">
        <f>IF(ISERROR(VLOOKUP($U$168,'TAR FIN'!$A$1:$O$88,15,0)),0,VLOOKUP($U$168,'TAR FIN'!$A$1:$O$88,15,0))</f>
        <v>252.22</v>
      </c>
      <c r="Y168" s="6"/>
      <c r="Z168" s="6">
        <f ca="1">('TUSD BE'!$AM$12+'TUSD BF'!$AM$12+'TUSD CVA'!$AM$12)*1</f>
        <v>102.71637945274784</v>
      </c>
      <c r="AA168" s="6">
        <f>('TE BE'!$AB$6+'TE BF'!$AB$6+'TE CVA'!$AB$6)*1</f>
        <v>251.92449556687748</v>
      </c>
      <c r="AB168" s="6">
        <f>$K$168*$V$168</f>
        <v>0</v>
      </c>
      <c r="AC168" s="6">
        <f>$M$168*$W$168</f>
        <v>430.660008</v>
      </c>
      <c r="AD168" s="6">
        <f>$O$168*$X$168</f>
        <v>1369.403268</v>
      </c>
      <c r="AE168" s="6">
        <f>$K$168*$Y$168</f>
        <v>0</v>
      </c>
      <c r="AF168" s="6">
        <f ca="1">$M$168*$Z$168</f>
        <v>557.68831060074922</v>
      </c>
      <c r="AG168" s="6">
        <f>$O$168*$AA$168</f>
        <v>1367.7988562308046</v>
      </c>
    </row>
    <row r="169" spans="1:33" ht="11.25" customHeight="1" x14ac:dyDescent="0.25">
      <c r="A169" s="4" t="s">
        <v>21</v>
      </c>
      <c r="B169" s="4" t="s">
        <v>35</v>
      </c>
      <c r="C169" s="4" t="s">
        <v>36</v>
      </c>
      <c r="D169" s="4" t="s">
        <v>41</v>
      </c>
      <c r="E169" s="4" t="s">
        <v>49</v>
      </c>
      <c r="F169" s="4" t="s">
        <v>51</v>
      </c>
      <c r="G169" s="4" t="s">
        <v>25</v>
      </c>
      <c r="H169" s="4" t="s">
        <v>38</v>
      </c>
      <c r="I169" s="5">
        <v>44713</v>
      </c>
      <c r="J169" s="6">
        <v>0</v>
      </c>
      <c r="K169" s="6">
        <v>0</v>
      </c>
      <c r="L169" s="6">
        <v>11.398</v>
      </c>
      <c r="M169" s="6">
        <v>3.4194</v>
      </c>
      <c r="N169" s="6">
        <v>11.398</v>
      </c>
      <c r="O169" s="6">
        <v>3.4194</v>
      </c>
      <c r="P169" s="6">
        <v>0</v>
      </c>
      <c r="Q169" s="4" t="s">
        <v>26</v>
      </c>
      <c r="R169" s="4">
        <v>0</v>
      </c>
      <c r="S169" s="6">
        <v>0</v>
      </c>
      <c r="T169" s="6">
        <v>15</v>
      </c>
      <c r="U169" s="6">
        <v>28</v>
      </c>
      <c r="V169" s="6">
        <f>IF(ISERROR(VLOOKUP($S$169,'TAR FIN'!$A$1:$O$88,15,0)),0,VLOOKUP($S$169,'TAR FIN'!$A$1:$O$88,15,0))</f>
        <v>0</v>
      </c>
      <c r="W169" s="6">
        <f>IF(ISERROR(VLOOKUP($T$169,'TAR FIN'!$A$1:$O$88,15,0)),0,VLOOKUP($T$169,'TAR FIN'!$A$1:$O$88,15,0))</f>
        <v>79.319999999999993</v>
      </c>
      <c r="X169" s="6">
        <f>IF(ISERROR(VLOOKUP($U$169,'TAR FIN'!$A$1:$O$88,15,0)),0,VLOOKUP($U$169,'TAR FIN'!$A$1:$O$88,15,0))</f>
        <v>252.22</v>
      </c>
      <c r="Y169" s="6"/>
      <c r="Z169" s="6">
        <f ca="1">('TUSD BE'!$AM$12+'TUSD BF'!$AM$12+'TUSD CVA'!$AM$12)*1</f>
        <v>102.71637945274784</v>
      </c>
      <c r="AA169" s="6">
        <f>('TE BE'!$AB$6+'TE BF'!$AB$6+'TE CVA'!$AB$6)*1</f>
        <v>251.92449556687748</v>
      </c>
      <c r="AB169" s="6">
        <f>$K$169*$V$169</f>
        <v>0</v>
      </c>
      <c r="AC169" s="6">
        <f>$M$169*$W$169</f>
        <v>271.22680799999995</v>
      </c>
      <c r="AD169" s="6">
        <f>$O$169*$X$169</f>
        <v>862.44106799999997</v>
      </c>
      <c r="AE169" s="6">
        <f>$K$169*$Y$169</f>
        <v>0</v>
      </c>
      <c r="AF169" s="6">
        <f ca="1">$M$169*$Z$169</f>
        <v>351.22838790072598</v>
      </c>
      <c r="AG169" s="6">
        <f>$O$169*$AA$169</f>
        <v>861.43062014138081</v>
      </c>
    </row>
    <row r="170" spans="1:33" ht="11.25" customHeight="1" x14ac:dyDescent="0.25">
      <c r="A170" s="4" t="s">
        <v>21</v>
      </c>
      <c r="B170" s="4" t="s">
        <v>35</v>
      </c>
      <c r="C170" s="4" t="s">
        <v>36</v>
      </c>
      <c r="D170" s="4" t="s">
        <v>41</v>
      </c>
      <c r="E170" s="4" t="s">
        <v>49</v>
      </c>
      <c r="F170" s="4" t="s">
        <v>25</v>
      </c>
      <c r="G170" s="4" t="s">
        <v>25</v>
      </c>
      <c r="H170" s="4" t="s">
        <v>38</v>
      </c>
      <c r="I170" s="5">
        <v>44378</v>
      </c>
      <c r="J170" s="6">
        <v>0</v>
      </c>
      <c r="K170" s="52">
        <v>0</v>
      </c>
      <c r="L170" s="6">
        <v>30.774000000000001</v>
      </c>
      <c r="M170" s="52">
        <v>30.774000000000001</v>
      </c>
      <c r="N170" s="6">
        <v>30.774000000000001</v>
      </c>
      <c r="O170" s="52">
        <v>30.774000000000001</v>
      </c>
      <c r="P170" s="6">
        <v>0</v>
      </c>
      <c r="Q170" s="4" t="s">
        <v>26</v>
      </c>
      <c r="R170" s="4">
        <v>0</v>
      </c>
      <c r="S170" s="6">
        <v>0</v>
      </c>
      <c r="T170" s="6">
        <v>15</v>
      </c>
      <c r="U170" s="6">
        <v>28</v>
      </c>
      <c r="V170" s="52">
        <f>IF(ISERROR(VLOOKUP($S$170,'TAR FIN'!$A$1:$O$88,15,0)),0,VLOOKUP($S$170,'TAR FIN'!$A$1:$O$88,15,0))</f>
        <v>0</v>
      </c>
      <c r="W170" s="52">
        <f>IF(ISERROR(VLOOKUP($T$170,'TAR FIN'!$A$1:$O$88,15,0)),0,VLOOKUP($T$170,'TAR FIN'!$A$1:$O$88,15,0))*(1-0.04)</f>
        <v>76.147199999999984</v>
      </c>
      <c r="X170" s="52">
        <f>IF(ISERROR(VLOOKUP($U$170,'TAR FIN'!$A$1:$O$88,15,0)),0,VLOOKUP($U$170,'TAR FIN'!$A$1:$O$88,15,0))*(1-0.04)</f>
        <v>242.13119999999998</v>
      </c>
      <c r="Y170" s="52"/>
      <c r="Z170" s="52">
        <f ca="1">('TUSD BE'!$AM$12+'TUSD BF'!$AM$12+'TUSD CVA'!$AM$12)*1*(1-0.02)</f>
        <v>100.66205186369288</v>
      </c>
      <c r="AA170" s="52">
        <f>('TE BE'!$AB$6+'TE BF'!$AB$6+'TE CVA'!$AB$6)*1*(1-0.02)</f>
        <v>246.88600565553992</v>
      </c>
      <c r="AB170" s="6">
        <f>$K$170*$V$170</f>
        <v>0</v>
      </c>
      <c r="AC170" s="6">
        <f>$M$170*$W$170</f>
        <v>2343.3539327999997</v>
      </c>
      <c r="AD170" s="6">
        <f>$O$170*$X$170</f>
        <v>7451.3455488</v>
      </c>
      <c r="AE170" s="6">
        <f>$K$170*$Y$170</f>
        <v>0</v>
      </c>
      <c r="AF170" s="6">
        <f ca="1">$M$170*$Z$170</f>
        <v>3097.7739840532849</v>
      </c>
      <c r="AG170" s="6">
        <f>$O$170*$AA$170</f>
        <v>7597.6699380435857</v>
      </c>
    </row>
    <row r="171" spans="1:33" ht="11.25" customHeight="1" x14ac:dyDescent="0.25">
      <c r="A171" s="4" t="s">
        <v>21</v>
      </c>
      <c r="B171" s="4" t="s">
        <v>35</v>
      </c>
      <c r="C171" s="4" t="s">
        <v>36</v>
      </c>
      <c r="D171" s="4" t="s">
        <v>41</v>
      </c>
      <c r="E171" s="4" t="s">
        <v>49</v>
      </c>
      <c r="F171" s="4" t="s">
        <v>25</v>
      </c>
      <c r="G171" s="4" t="s">
        <v>25</v>
      </c>
      <c r="H171" s="4" t="s">
        <v>38</v>
      </c>
      <c r="I171" s="5">
        <v>44409</v>
      </c>
      <c r="J171" s="6">
        <v>0</v>
      </c>
      <c r="K171" s="52">
        <v>0</v>
      </c>
      <c r="L171" s="6">
        <v>57.018999999999998</v>
      </c>
      <c r="M171" s="52">
        <v>57.018999999999998</v>
      </c>
      <c r="N171" s="6">
        <v>57.018999999999998</v>
      </c>
      <c r="O171" s="52">
        <v>57.018999999999998</v>
      </c>
      <c r="P171" s="6">
        <v>0</v>
      </c>
      <c r="Q171" s="4" t="s">
        <v>26</v>
      </c>
      <c r="R171" s="4">
        <v>0</v>
      </c>
      <c r="S171" s="6">
        <v>0</v>
      </c>
      <c r="T171" s="6">
        <v>15</v>
      </c>
      <c r="U171" s="6">
        <v>28</v>
      </c>
      <c r="V171" s="52">
        <f>IF(ISERROR(VLOOKUP($S$171,'TAR FIN'!$A$1:$O$88,15,0)),0,VLOOKUP($S$171,'TAR FIN'!$A$1:$O$88,15,0))</f>
        <v>0</v>
      </c>
      <c r="W171" s="52">
        <f>IF(ISERROR(VLOOKUP($T$171,'TAR FIN'!$A$1:$O$88,15,0)),0,VLOOKUP($T$171,'TAR FIN'!$A$1:$O$88,15,0))*(1-0.04)</f>
        <v>76.147199999999984</v>
      </c>
      <c r="X171" s="52">
        <f>IF(ISERROR(VLOOKUP($U$171,'TAR FIN'!$A$1:$O$88,15,0)),0,VLOOKUP($U$171,'TAR FIN'!$A$1:$O$88,15,0))*(1-0.04)</f>
        <v>242.13119999999998</v>
      </c>
      <c r="Y171" s="52"/>
      <c r="Z171" s="52">
        <f ca="1">('TUSD BE'!$AM$12+'TUSD BF'!$AM$12+'TUSD CVA'!$AM$12)*1*(1-0.02)</f>
        <v>100.66205186369288</v>
      </c>
      <c r="AA171" s="52">
        <f>('TE BE'!$AB$6+'TE BF'!$AB$6+'TE CVA'!$AB$6)*1*(1-0.02)</f>
        <v>246.88600565553992</v>
      </c>
      <c r="AB171" s="6">
        <f>$K$171*$V$171</f>
        <v>0</v>
      </c>
      <c r="AC171" s="6">
        <f>$M$171*$W$171</f>
        <v>4341.8371967999992</v>
      </c>
      <c r="AD171" s="6">
        <f>$O$171*$X$171</f>
        <v>13806.078892799998</v>
      </c>
      <c r="AE171" s="6">
        <f>$K$171*$Y$171</f>
        <v>0</v>
      </c>
      <c r="AF171" s="6">
        <f ca="1">$M$171*$Z$171</f>
        <v>5739.6495352159045</v>
      </c>
      <c r="AG171" s="6">
        <f>$O$171*$AA$171</f>
        <v>14077.193156473229</v>
      </c>
    </row>
    <row r="172" spans="1:33" ht="11.25" customHeight="1" x14ac:dyDescent="0.25">
      <c r="A172" s="4" t="s">
        <v>21</v>
      </c>
      <c r="B172" s="4" t="s">
        <v>35</v>
      </c>
      <c r="C172" s="4" t="s">
        <v>36</v>
      </c>
      <c r="D172" s="4" t="s">
        <v>41</v>
      </c>
      <c r="E172" s="4" t="s">
        <v>49</v>
      </c>
      <c r="F172" s="4" t="s">
        <v>25</v>
      </c>
      <c r="G172" s="4" t="s">
        <v>25</v>
      </c>
      <c r="H172" s="4" t="s">
        <v>38</v>
      </c>
      <c r="I172" s="5">
        <v>44440</v>
      </c>
      <c r="J172" s="6">
        <v>0</v>
      </c>
      <c r="K172" s="52">
        <v>0</v>
      </c>
      <c r="L172" s="6">
        <v>38.441000000000003</v>
      </c>
      <c r="M172" s="52">
        <v>38.441000000000003</v>
      </c>
      <c r="N172" s="6">
        <v>38.441000000000003</v>
      </c>
      <c r="O172" s="52">
        <v>38.441000000000003</v>
      </c>
      <c r="P172" s="6">
        <v>0</v>
      </c>
      <c r="Q172" s="4" t="s">
        <v>26</v>
      </c>
      <c r="R172" s="4">
        <v>0</v>
      </c>
      <c r="S172" s="6">
        <v>0</v>
      </c>
      <c r="T172" s="6">
        <v>15</v>
      </c>
      <c r="U172" s="6">
        <v>28</v>
      </c>
      <c r="V172" s="52">
        <f>IF(ISERROR(VLOOKUP($S$172,'TAR FIN'!$A$1:$O$88,15,0)),0,VLOOKUP($S$172,'TAR FIN'!$A$1:$O$88,15,0))</f>
        <v>0</v>
      </c>
      <c r="W172" s="52">
        <f>IF(ISERROR(VLOOKUP($T$172,'TAR FIN'!$A$1:$O$88,15,0)),0,VLOOKUP($T$172,'TAR FIN'!$A$1:$O$88,15,0))*(1-0.04)</f>
        <v>76.147199999999984</v>
      </c>
      <c r="X172" s="52">
        <f>IF(ISERROR(VLOOKUP($U$172,'TAR FIN'!$A$1:$O$88,15,0)),0,VLOOKUP($U$172,'TAR FIN'!$A$1:$O$88,15,0))*(1-0.04)</f>
        <v>242.13119999999998</v>
      </c>
      <c r="Y172" s="52"/>
      <c r="Z172" s="52">
        <f ca="1">('TUSD BE'!$AM$12+'TUSD BF'!$AM$12+'TUSD CVA'!$AM$12)*1*(1-0.02)</f>
        <v>100.66205186369288</v>
      </c>
      <c r="AA172" s="52">
        <f>('TE BE'!$AB$6+'TE BF'!$AB$6+'TE CVA'!$AB$6)*1*(1-0.02)</f>
        <v>246.88600565553992</v>
      </c>
      <c r="AB172" s="6">
        <f>$K$172*$V$172</f>
        <v>0</v>
      </c>
      <c r="AC172" s="6">
        <f>$M$172*$W$172</f>
        <v>2927.1745151999994</v>
      </c>
      <c r="AD172" s="6">
        <f>$O$172*$X$172</f>
        <v>9307.7654591999999</v>
      </c>
      <c r="AE172" s="6">
        <f>$K$172*$Y$172</f>
        <v>0</v>
      </c>
      <c r="AF172" s="6">
        <f ca="1">$M$172*$Z$172</f>
        <v>3869.5499356922182</v>
      </c>
      <c r="AG172" s="6">
        <f>$O$172*$AA$172</f>
        <v>9490.5449434046113</v>
      </c>
    </row>
    <row r="173" spans="1:33" ht="11.25" customHeight="1" x14ac:dyDescent="0.25">
      <c r="A173" s="4" t="s">
        <v>21</v>
      </c>
      <c r="B173" s="4" t="s">
        <v>35</v>
      </c>
      <c r="C173" s="4" t="s">
        <v>36</v>
      </c>
      <c r="D173" s="4" t="s">
        <v>41</v>
      </c>
      <c r="E173" s="4" t="s">
        <v>49</v>
      </c>
      <c r="F173" s="4" t="s">
        <v>25</v>
      </c>
      <c r="G173" s="4" t="s">
        <v>25</v>
      </c>
      <c r="H173" s="4" t="s">
        <v>38</v>
      </c>
      <c r="I173" s="5">
        <v>44470</v>
      </c>
      <c r="J173" s="6">
        <v>0</v>
      </c>
      <c r="K173" s="52">
        <v>0</v>
      </c>
      <c r="L173" s="6">
        <v>47.811999999999998</v>
      </c>
      <c r="M173" s="52">
        <v>47.811999999999998</v>
      </c>
      <c r="N173" s="6">
        <v>47.811999999999998</v>
      </c>
      <c r="O173" s="52">
        <v>47.811999999999998</v>
      </c>
      <c r="P173" s="6">
        <v>0</v>
      </c>
      <c r="Q173" s="4" t="s">
        <v>26</v>
      </c>
      <c r="R173" s="4">
        <v>0</v>
      </c>
      <c r="S173" s="6">
        <v>0</v>
      </c>
      <c r="T173" s="6">
        <v>15</v>
      </c>
      <c r="U173" s="6">
        <v>28</v>
      </c>
      <c r="V173" s="52">
        <f>IF(ISERROR(VLOOKUP($S$173,'TAR FIN'!$A$1:$O$88,15,0)),0,VLOOKUP($S$173,'TAR FIN'!$A$1:$O$88,15,0))</f>
        <v>0</v>
      </c>
      <c r="W173" s="52">
        <f>IF(ISERROR(VLOOKUP($T$173,'TAR FIN'!$A$1:$O$88,15,0)),0,VLOOKUP($T$173,'TAR FIN'!$A$1:$O$88,15,0))*(1-0.04)</f>
        <v>76.147199999999984</v>
      </c>
      <c r="X173" s="52">
        <f>IF(ISERROR(VLOOKUP($U$173,'TAR FIN'!$A$1:$O$88,15,0)),0,VLOOKUP($U$173,'TAR FIN'!$A$1:$O$88,15,0))*(1-0.04)</f>
        <v>242.13119999999998</v>
      </c>
      <c r="Y173" s="52"/>
      <c r="Z173" s="52">
        <f ca="1">('TUSD BE'!$AM$12+'TUSD BF'!$AM$12+'TUSD CVA'!$AM$12)*1*(1-0.02)</f>
        <v>100.66205186369288</v>
      </c>
      <c r="AA173" s="52">
        <f>('TE BE'!$AB$6+'TE BF'!$AB$6+'TE CVA'!$AB$6)*1*(1-0.02)</f>
        <v>246.88600565553992</v>
      </c>
      <c r="AB173" s="6">
        <f>$K$173*$V$173</f>
        <v>0</v>
      </c>
      <c r="AC173" s="6">
        <f>$M$173*$W$173</f>
        <v>3640.7499263999989</v>
      </c>
      <c r="AD173" s="6">
        <f>$O$173*$X$173</f>
        <v>11576.776934399999</v>
      </c>
      <c r="AE173" s="6">
        <f>$K$173*$Y$173</f>
        <v>0</v>
      </c>
      <c r="AF173" s="6">
        <f ca="1">$M$173*$Z$173</f>
        <v>4812.8540237068837</v>
      </c>
      <c r="AG173" s="6">
        <f>$O$173*$AA$173</f>
        <v>11804.113702402674</v>
      </c>
    </row>
    <row r="174" spans="1:33" ht="11.25" customHeight="1" x14ac:dyDescent="0.25">
      <c r="A174" s="4" t="s">
        <v>21</v>
      </c>
      <c r="B174" s="4" t="s">
        <v>35</v>
      </c>
      <c r="C174" s="4" t="s">
        <v>36</v>
      </c>
      <c r="D174" s="4" t="s">
        <v>41</v>
      </c>
      <c r="E174" s="4" t="s">
        <v>49</v>
      </c>
      <c r="F174" s="4" t="s">
        <v>25</v>
      </c>
      <c r="G174" s="4" t="s">
        <v>25</v>
      </c>
      <c r="H174" s="4" t="s">
        <v>38</v>
      </c>
      <c r="I174" s="5">
        <v>44501</v>
      </c>
      <c r="J174" s="6">
        <v>0</v>
      </c>
      <c r="K174" s="52">
        <v>0</v>
      </c>
      <c r="L174" s="6">
        <v>410.56700000000001</v>
      </c>
      <c r="M174" s="52">
        <v>410.56700000000001</v>
      </c>
      <c r="N174" s="6">
        <v>410.56700000000001</v>
      </c>
      <c r="O174" s="52">
        <v>410.56700000000001</v>
      </c>
      <c r="P174" s="6">
        <v>0</v>
      </c>
      <c r="Q174" s="4" t="s">
        <v>26</v>
      </c>
      <c r="R174" s="4">
        <v>0</v>
      </c>
      <c r="S174" s="6">
        <v>0</v>
      </c>
      <c r="T174" s="6">
        <v>15</v>
      </c>
      <c r="U174" s="6">
        <v>28</v>
      </c>
      <c r="V174" s="52">
        <f>IF(ISERROR(VLOOKUP($S$174,'TAR FIN'!$A$1:$O$88,15,0)),0,VLOOKUP($S$174,'TAR FIN'!$A$1:$O$88,15,0))</f>
        <v>0</v>
      </c>
      <c r="W174" s="52">
        <f>IF(ISERROR(VLOOKUP($T$174,'TAR FIN'!$A$1:$O$88,15,0)),0,VLOOKUP($T$174,'TAR FIN'!$A$1:$O$88,15,0))*(1-0.04)</f>
        <v>76.147199999999984</v>
      </c>
      <c r="X174" s="52">
        <f>IF(ISERROR(VLOOKUP($U$174,'TAR FIN'!$A$1:$O$88,15,0)),0,VLOOKUP($U$174,'TAR FIN'!$A$1:$O$88,15,0))*(1-0.04)</f>
        <v>242.13119999999998</v>
      </c>
      <c r="Y174" s="52"/>
      <c r="Z174" s="52">
        <f ca="1">('TUSD BE'!$AM$12+'TUSD BF'!$AM$12+'TUSD CVA'!$AM$12)*1*(1-0.02)</f>
        <v>100.66205186369288</v>
      </c>
      <c r="AA174" s="52">
        <f>('TE BE'!$AB$6+'TE BF'!$AB$6+'TE CVA'!$AB$6)*1*(1-0.02)</f>
        <v>246.88600565553992</v>
      </c>
      <c r="AB174" s="6">
        <f>$K$174*$V$174</f>
        <v>0</v>
      </c>
      <c r="AC174" s="6">
        <f>$M$174*$W$174</f>
        <v>31263.527462399994</v>
      </c>
      <c r="AD174" s="6">
        <f>$O$174*$X$174</f>
        <v>99411.080390399991</v>
      </c>
      <c r="AE174" s="6">
        <f>$K$174*$Y$174</f>
        <v>0</v>
      </c>
      <c r="AF174" s="6">
        <f ca="1">$M$174*$Z$174</f>
        <v>41328.516647520795</v>
      </c>
      <c r="AG174" s="6">
        <f>$O$174*$AA$174</f>
        <v>101363.24668397805</v>
      </c>
    </row>
    <row r="175" spans="1:33" ht="11.25" customHeight="1" x14ac:dyDescent="0.25">
      <c r="A175" s="4" t="s">
        <v>28</v>
      </c>
      <c r="B175" s="4" t="s">
        <v>35</v>
      </c>
      <c r="C175" s="4" t="s">
        <v>36</v>
      </c>
      <c r="D175" s="4" t="s">
        <v>41</v>
      </c>
      <c r="E175" s="4" t="s">
        <v>49</v>
      </c>
      <c r="F175" s="4" t="s">
        <v>25</v>
      </c>
      <c r="G175" s="4" t="s">
        <v>25</v>
      </c>
      <c r="H175" s="4" t="s">
        <v>38</v>
      </c>
      <c r="I175" s="5">
        <v>44501</v>
      </c>
      <c r="J175" s="6">
        <v>0</v>
      </c>
      <c r="K175" s="52">
        <v>0</v>
      </c>
      <c r="L175" s="6">
        <v>23.623000000000001</v>
      </c>
      <c r="M175" s="52">
        <v>23.623000000000001</v>
      </c>
      <c r="N175" s="6">
        <v>23.623000000000001</v>
      </c>
      <c r="O175" s="52">
        <v>23.623000000000001</v>
      </c>
      <c r="P175" s="6">
        <v>0</v>
      </c>
      <c r="Q175" s="4" t="s">
        <v>26</v>
      </c>
      <c r="R175" s="4">
        <v>0</v>
      </c>
      <c r="S175" s="6">
        <v>0</v>
      </c>
      <c r="T175" s="6">
        <v>15</v>
      </c>
      <c r="U175" s="6">
        <v>28</v>
      </c>
      <c r="V175" s="52">
        <f>IF(ISERROR(VLOOKUP($S$175,'TAR FIN'!$A$1:$O$88,15,0)),0,VLOOKUP($S$175,'TAR FIN'!$A$1:$O$88,15,0))</f>
        <v>0</v>
      </c>
      <c r="W175" s="52">
        <f>IF(ISERROR(VLOOKUP($T$175,'TAR FIN'!$A$1:$O$88,15,0)),0,VLOOKUP($T$175,'TAR FIN'!$A$1:$O$88,15,0))*(1-0.04)</f>
        <v>76.147199999999984</v>
      </c>
      <c r="X175" s="52">
        <f>IF(ISERROR(VLOOKUP($U$175,'TAR FIN'!$A$1:$O$88,15,0)),0,VLOOKUP($U$175,'TAR FIN'!$A$1:$O$88,15,0))*(1-0.04)</f>
        <v>242.13119999999998</v>
      </c>
      <c r="Y175" s="52"/>
      <c r="Z175" s="52">
        <f ca="1">('TUSD BE'!$AM$12+'TUSD BF'!$AM$12+'TUSD CVA'!$AM$12)*1*(1-0.02)</f>
        <v>100.66205186369288</v>
      </c>
      <c r="AA175" s="52">
        <f>('TE BE'!$AB$6+'TE BF'!$AB$6+'TE CVA'!$AB$6)*1*(1-0.02)</f>
        <v>246.88600565553992</v>
      </c>
      <c r="AB175" s="6">
        <f>$K$175*$V$175</f>
        <v>0</v>
      </c>
      <c r="AC175" s="6">
        <f>$M$175*$W$175</f>
        <v>1798.8253055999996</v>
      </c>
      <c r="AD175" s="6">
        <f>$O$175*$X$175</f>
        <v>5719.8653376000002</v>
      </c>
      <c r="AE175" s="6">
        <f>$K$175*$Y$175</f>
        <v>0</v>
      </c>
      <c r="AF175" s="6">
        <f ca="1">$M$175*$Z$175</f>
        <v>2377.9396511760169</v>
      </c>
      <c r="AG175" s="6">
        <f>$O$175*$AA$175</f>
        <v>5832.1881116008199</v>
      </c>
    </row>
    <row r="176" spans="1:33" ht="11.25" customHeight="1" x14ac:dyDescent="0.25">
      <c r="A176" s="4" t="s">
        <v>21</v>
      </c>
      <c r="B176" s="4" t="s">
        <v>35</v>
      </c>
      <c r="C176" s="4" t="s">
        <v>36</v>
      </c>
      <c r="D176" s="4" t="s">
        <v>41</v>
      </c>
      <c r="E176" s="4" t="s">
        <v>49</v>
      </c>
      <c r="F176" s="4" t="s">
        <v>25</v>
      </c>
      <c r="G176" s="4" t="s">
        <v>25</v>
      </c>
      <c r="H176" s="4" t="s">
        <v>38</v>
      </c>
      <c r="I176" s="5">
        <v>44531</v>
      </c>
      <c r="J176" s="6">
        <v>0</v>
      </c>
      <c r="K176" s="52">
        <v>0</v>
      </c>
      <c r="L176" s="6">
        <v>512.14300000000003</v>
      </c>
      <c r="M176" s="52">
        <v>512.14300000000003</v>
      </c>
      <c r="N176" s="6">
        <v>512.14300000000003</v>
      </c>
      <c r="O176" s="52">
        <v>512.14300000000003</v>
      </c>
      <c r="P176" s="6">
        <v>0</v>
      </c>
      <c r="Q176" s="4" t="s">
        <v>26</v>
      </c>
      <c r="R176" s="4">
        <v>0</v>
      </c>
      <c r="S176" s="6">
        <v>0</v>
      </c>
      <c r="T176" s="6">
        <v>15</v>
      </c>
      <c r="U176" s="6">
        <v>28</v>
      </c>
      <c r="V176" s="52">
        <f>IF(ISERROR(VLOOKUP($S$176,'TAR FIN'!$A$1:$O$88,15,0)),0,VLOOKUP($S$176,'TAR FIN'!$A$1:$O$88,15,0))</f>
        <v>0</v>
      </c>
      <c r="W176" s="52">
        <f>IF(ISERROR(VLOOKUP($T$176,'TAR FIN'!$A$1:$O$88,15,0)),0,VLOOKUP($T$176,'TAR FIN'!$A$1:$O$88,15,0))*(1-0.04)</f>
        <v>76.147199999999984</v>
      </c>
      <c r="X176" s="52">
        <f>IF(ISERROR(VLOOKUP($U$176,'TAR FIN'!$A$1:$O$88,15,0)),0,VLOOKUP($U$176,'TAR FIN'!$A$1:$O$88,15,0))*(1-0.04)</f>
        <v>242.13119999999998</v>
      </c>
      <c r="Y176" s="52"/>
      <c r="Z176" s="52">
        <f ca="1">('TUSD BE'!$AM$12+'TUSD BF'!$AM$12+'TUSD CVA'!$AM$12)*1*(1-0.02)</f>
        <v>100.66205186369288</v>
      </c>
      <c r="AA176" s="52">
        <f>('TE BE'!$AB$6+'TE BF'!$AB$6+'TE CVA'!$AB$6)*1*(1-0.02)</f>
        <v>246.88600565553992</v>
      </c>
      <c r="AB176" s="6">
        <f>$K$176*$V$176</f>
        <v>0</v>
      </c>
      <c r="AC176" s="6">
        <f>$M$176*$W$176</f>
        <v>38998.255449599994</v>
      </c>
      <c r="AD176" s="6">
        <f>$O$176*$X$176</f>
        <v>124005.79916159999</v>
      </c>
      <c r="AE176" s="6">
        <f>$K$176*$Y$176</f>
        <v>0</v>
      </c>
      <c r="AF176" s="6">
        <f ca="1">$M$176*$Z$176</f>
        <v>51553.365227627262</v>
      </c>
      <c r="AG176" s="6">
        <f>$O$176*$AA$176</f>
        <v>126440.93959444518</v>
      </c>
    </row>
    <row r="177" spans="1:33" ht="11.25" customHeight="1" x14ac:dyDescent="0.25">
      <c r="A177" s="4" t="s">
        <v>28</v>
      </c>
      <c r="B177" s="4" t="s">
        <v>35</v>
      </c>
      <c r="C177" s="4" t="s">
        <v>36</v>
      </c>
      <c r="D177" s="4" t="s">
        <v>41</v>
      </c>
      <c r="E177" s="4" t="s">
        <v>49</v>
      </c>
      <c r="F177" s="4" t="s">
        <v>25</v>
      </c>
      <c r="G177" s="4" t="s">
        <v>25</v>
      </c>
      <c r="H177" s="4" t="s">
        <v>38</v>
      </c>
      <c r="I177" s="5">
        <v>44531</v>
      </c>
      <c r="J177" s="6">
        <v>0</v>
      </c>
      <c r="K177" s="52">
        <v>0</v>
      </c>
      <c r="L177" s="6">
        <v>16.667000000000002</v>
      </c>
      <c r="M177" s="52">
        <v>16.667000000000002</v>
      </c>
      <c r="N177" s="6">
        <v>16.667000000000002</v>
      </c>
      <c r="O177" s="52">
        <v>16.667000000000002</v>
      </c>
      <c r="P177" s="6">
        <v>0</v>
      </c>
      <c r="Q177" s="4" t="s">
        <v>26</v>
      </c>
      <c r="R177" s="4">
        <v>0</v>
      </c>
      <c r="S177" s="6">
        <v>0</v>
      </c>
      <c r="T177" s="6">
        <v>15</v>
      </c>
      <c r="U177" s="6">
        <v>28</v>
      </c>
      <c r="V177" s="52">
        <f>IF(ISERROR(VLOOKUP($S$177,'TAR FIN'!$A$1:$O$88,15,0)),0,VLOOKUP($S$177,'TAR FIN'!$A$1:$O$88,15,0))</f>
        <v>0</v>
      </c>
      <c r="W177" s="52">
        <f>IF(ISERROR(VLOOKUP($T$177,'TAR FIN'!$A$1:$O$88,15,0)),0,VLOOKUP($T$177,'TAR FIN'!$A$1:$O$88,15,0))*(1-0.04)</f>
        <v>76.147199999999984</v>
      </c>
      <c r="X177" s="52">
        <f>IF(ISERROR(VLOOKUP($U$177,'TAR FIN'!$A$1:$O$88,15,0)),0,VLOOKUP($U$177,'TAR FIN'!$A$1:$O$88,15,0))*(1-0.04)</f>
        <v>242.13119999999998</v>
      </c>
      <c r="Y177" s="52"/>
      <c r="Z177" s="52">
        <f ca="1">('TUSD BE'!$AM$12+'TUSD BF'!$AM$12+'TUSD CVA'!$AM$12)*1*(1-0.02)</f>
        <v>100.66205186369288</v>
      </c>
      <c r="AA177" s="52">
        <f>('TE BE'!$AB$6+'TE BF'!$AB$6+'TE CVA'!$AB$6)*1*(1-0.02)</f>
        <v>246.88600565553992</v>
      </c>
      <c r="AB177" s="6">
        <f>$K$177*$V$177</f>
        <v>0</v>
      </c>
      <c r="AC177" s="6">
        <f>$M$177*$W$177</f>
        <v>1269.1453823999998</v>
      </c>
      <c r="AD177" s="6">
        <f>$O$177*$X$177</f>
        <v>4035.6007104</v>
      </c>
      <c r="AE177" s="6">
        <f>$K$177*$Y$177</f>
        <v>0</v>
      </c>
      <c r="AF177" s="6">
        <f ca="1">$M$177*$Z$177</f>
        <v>1677.7344184121694</v>
      </c>
      <c r="AG177" s="6">
        <f>$O$177*$AA$177</f>
        <v>4114.849056260884</v>
      </c>
    </row>
    <row r="178" spans="1:33" ht="11.25" customHeight="1" x14ac:dyDescent="0.25">
      <c r="A178" s="4" t="s">
        <v>21</v>
      </c>
      <c r="B178" s="4" t="s">
        <v>35</v>
      </c>
      <c r="C178" s="4" t="s">
        <v>36</v>
      </c>
      <c r="D178" s="4" t="s">
        <v>41</v>
      </c>
      <c r="E178" s="4" t="s">
        <v>49</v>
      </c>
      <c r="F178" s="4" t="s">
        <v>25</v>
      </c>
      <c r="G178" s="4" t="s">
        <v>25</v>
      </c>
      <c r="H178" s="4" t="s">
        <v>38</v>
      </c>
      <c r="I178" s="5">
        <v>44562</v>
      </c>
      <c r="J178" s="6">
        <v>0</v>
      </c>
      <c r="K178" s="52">
        <v>0</v>
      </c>
      <c r="L178" s="6">
        <v>578.43700000000001</v>
      </c>
      <c r="M178" s="52">
        <v>578.43700000000001</v>
      </c>
      <c r="N178" s="6">
        <v>578.43700000000001</v>
      </c>
      <c r="O178" s="52">
        <v>578.43700000000001</v>
      </c>
      <c r="P178" s="6">
        <v>0</v>
      </c>
      <c r="Q178" s="4" t="s">
        <v>26</v>
      </c>
      <c r="R178" s="4">
        <v>0</v>
      </c>
      <c r="S178" s="6">
        <v>0</v>
      </c>
      <c r="T178" s="6">
        <v>15</v>
      </c>
      <c r="U178" s="6">
        <v>28</v>
      </c>
      <c r="V178" s="52">
        <f>IF(ISERROR(VLOOKUP($S$178,'TAR FIN'!$A$1:$O$88,15,0)),0,VLOOKUP($S$178,'TAR FIN'!$A$1:$O$88,15,0))</f>
        <v>0</v>
      </c>
      <c r="W178" s="52">
        <f>IF(ISERROR(VLOOKUP($T$178,'TAR FIN'!$A$1:$O$88,15,0)),0,VLOOKUP($T$178,'TAR FIN'!$A$1:$O$88,15,0))*(1-0.04)</f>
        <v>76.147199999999984</v>
      </c>
      <c r="X178" s="52">
        <f>IF(ISERROR(VLOOKUP($U$178,'TAR FIN'!$A$1:$O$88,15,0)),0,VLOOKUP($U$178,'TAR FIN'!$A$1:$O$88,15,0))*(1-0.04)</f>
        <v>242.13119999999998</v>
      </c>
      <c r="Y178" s="52"/>
      <c r="Z178" s="52">
        <f ca="1">('TUSD BE'!$AM$12+'TUSD BF'!$AM$12+'TUSD CVA'!$AM$12)*1*(1-0.02)</f>
        <v>100.66205186369288</v>
      </c>
      <c r="AA178" s="52">
        <f>('TE BE'!$AB$6+'TE BF'!$AB$6+'TE CVA'!$AB$6)*1*(1-0.02)</f>
        <v>246.88600565553992</v>
      </c>
      <c r="AB178" s="6">
        <f>$K$178*$V$178</f>
        <v>0</v>
      </c>
      <c r="AC178" s="6">
        <f>$M$178*$W$178</f>
        <v>44046.357926399993</v>
      </c>
      <c r="AD178" s="6">
        <f>$O$178*$X$178</f>
        <v>140057.64493439998</v>
      </c>
      <c r="AE178" s="6">
        <f>$K$178*$Y$178</f>
        <v>0</v>
      </c>
      <c r="AF178" s="6">
        <f ca="1">$M$178*$Z$178</f>
        <v>58226.655293878917</v>
      </c>
      <c r="AG178" s="6">
        <f>$O$178*$AA$178</f>
        <v>142808.00045337353</v>
      </c>
    </row>
    <row r="179" spans="1:33" ht="11.25" customHeight="1" x14ac:dyDescent="0.25">
      <c r="A179" s="4" t="s">
        <v>28</v>
      </c>
      <c r="B179" s="4" t="s">
        <v>35</v>
      </c>
      <c r="C179" s="4" t="s">
        <v>36</v>
      </c>
      <c r="D179" s="4" t="s">
        <v>41</v>
      </c>
      <c r="E179" s="4" t="s">
        <v>49</v>
      </c>
      <c r="F179" s="4" t="s">
        <v>25</v>
      </c>
      <c r="G179" s="4" t="s">
        <v>25</v>
      </c>
      <c r="H179" s="4" t="s">
        <v>38</v>
      </c>
      <c r="I179" s="5">
        <v>44562</v>
      </c>
      <c r="J179" s="6">
        <v>0</v>
      </c>
      <c r="K179" s="52">
        <v>0</v>
      </c>
      <c r="L179" s="6">
        <v>31.791</v>
      </c>
      <c r="M179" s="52">
        <v>31.791</v>
      </c>
      <c r="N179" s="6">
        <v>31.791</v>
      </c>
      <c r="O179" s="52">
        <v>31.791</v>
      </c>
      <c r="P179" s="6">
        <v>0</v>
      </c>
      <c r="Q179" s="4" t="s">
        <v>26</v>
      </c>
      <c r="R179" s="4">
        <v>0</v>
      </c>
      <c r="S179" s="6">
        <v>0</v>
      </c>
      <c r="T179" s="6">
        <v>15</v>
      </c>
      <c r="U179" s="6">
        <v>28</v>
      </c>
      <c r="V179" s="52">
        <f>IF(ISERROR(VLOOKUP($S$179,'TAR FIN'!$A$1:$O$88,15,0)),0,VLOOKUP($S$179,'TAR FIN'!$A$1:$O$88,15,0))</f>
        <v>0</v>
      </c>
      <c r="W179" s="52">
        <f>IF(ISERROR(VLOOKUP($T$179,'TAR FIN'!$A$1:$O$88,15,0)),0,VLOOKUP($T$179,'TAR FIN'!$A$1:$O$88,15,0))*(1-0.04)</f>
        <v>76.147199999999984</v>
      </c>
      <c r="X179" s="52">
        <f>IF(ISERROR(VLOOKUP($U$179,'TAR FIN'!$A$1:$O$88,15,0)),0,VLOOKUP($U$179,'TAR FIN'!$A$1:$O$88,15,0))*(1-0.04)</f>
        <v>242.13119999999998</v>
      </c>
      <c r="Y179" s="52"/>
      <c r="Z179" s="52">
        <f ca="1">('TUSD BE'!$AM$12+'TUSD BF'!$AM$12+'TUSD CVA'!$AM$12)*1*(1-0.02)</f>
        <v>100.66205186369288</v>
      </c>
      <c r="AA179" s="52">
        <f>('TE BE'!$AB$6+'TE BF'!$AB$6+'TE CVA'!$AB$6)*1*(1-0.02)</f>
        <v>246.88600565553992</v>
      </c>
      <c r="AB179" s="6">
        <f>$K$179*$V$179</f>
        <v>0</v>
      </c>
      <c r="AC179" s="6">
        <f>$M$179*$W$179</f>
        <v>2420.7956351999997</v>
      </c>
      <c r="AD179" s="6">
        <f>$O$179*$X$179</f>
        <v>7697.5929791999997</v>
      </c>
      <c r="AE179" s="6">
        <f>$K$179*$Y$179</f>
        <v>0</v>
      </c>
      <c r="AF179" s="6">
        <f ca="1">$M$179*$Z$179</f>
        <v>3200.1472907986604</v>
      </c>
      <c r="AG179" s="6">
        <f>$O$179*$AA$179</f>
        <v>7848.7530057952699</v>
      </c>
    </row>
    <row r="180" spans="1:33" ht="11.25" customHeight="1" x14ac:dyDescent="0.25">
      <c r="A180" s="4" t="s">
        <v>21</v>
      </c>
      <c r="B180" s="4" t="s">
        <v>35</v>
      </c>
      <c r="C180" s="4" t="s">
        <v>36</v>
      </c>
      <c r="D180" s="4" t="s">
        <v>41</v>
      </c>
      <c r="E180" s="4" t="s">
        <v>49</v>
      </c>
      <c r="F180" s="4" t="s">
        <v>25</v>
      </c>
      <c r="G180" s="4" t="s">
        <v>25</v>
      </c>
      <c r="H180" s="4" t="s">
        <v>38</v>
      </c>
      <c r="I180" s="5">
        <v>44593</v>
      </c>
      <c r="J180" s="6">
        <v>0</v>
      </c>
      <c r="K180" s="52">
        <v>0</v>
      </c>
      <c r="L180" s="6">
        <v>467.863</v>
      </c>
      <c r="M180" s="52">
        <v>467.863</v>
      </c>
      <c r="N180" s="6">
        <v>467.863</v>
      </c>
      <c r="O180" s="52">
        <v>467.863</v>
      </c>
      <c r="P180" s="6">
        <v>0</v>
      </c>
      <c r="Q180" s="4" t="s">
        <v>26</v>
      </c>
      <c r="R180" s="4">
        <v>0</v>
      </c>
      <c r="S180" s="6">
        <v>0</v>
      </c>
      <c r="T180" s="6">
        <v>15</v>
      </c>
      <c r="U180" s="6">
        <v>28</v>
      </c>
      <c r="V180" s="52">
        <f>IF(ISERROR(VLOOKUP($S$180,'TAR FIN'!$A$1:$O$88,15,0)),0,VLOOKUP($S$180,'TAR FIN'!$A$1:$O$88,15,0))</f>
        <v>0</v>
      </c>
      <c r="W180" s="52">
        <f>IF(ISERROR(VLOOKUP($T$180,'TAR FIN'!$A$1:$O$88,15,0)),0,VLOOKUP($T$180,'TAR FIN'!$A$1:$O$88,15,0))*(1-0.04)</f>
        <v>76.147199999999984</v>
      </c>
      <c r="X180" s="52">
        <f>IF(ISERROR(VLOOKUP($U$180,'TAR FIN'!$A$1:$O$88,15,0)),0,VLOOKUP($U$180,'TAR FIN'!$A$1:$O$88,15,0))*(1-0.04)</f>
        <v>242.13119999999998</v>
      </c>
      <c r="Y180" s="52"/>
      <c r="Z180" s="52">
        <f ca="1">('TUSD BE'!$AM$12+'TUSD BF'!$AM$12+'TUSD CVA'!$AM$12)*1*(1-0.02)</f>
        <v>100.66205186369288</v>
      </c>
      <c r="AA180" s="52">
        <f>('TE BE'!$AB$6+'TE BF'!$AB$6+'TE CVA'!$AB$6)*1*(1-0.02)</f>
        <v>246.88600565553992</v>
      </c>
      <c r="AB180" s="6">
        <f>$K$180*$V$180</f>
        <v>0</v>
      </c>
      <c r="AC180" s="6">
        <f>$M$180*$W$180</f>
        <v>35626.457433599993</v>
      </c>
      <c r="AD180" s="6">
        <f>$O$180*$X$180</f>
        <v>113284.22962559998</v>
      </c>
      <c r="AE180" s="6">
        <f>$K$180*$Y$180</f>
        <v>0</v>
      </c>
      <c r="AF180" s="6">
        <f ca="1">$M$180*$Z$180</f>
        <v>47096.049571102943</v>
      </c>
      <c r="AG180" s="6">
        <f>$O$180*$AA$180</f>
        <v>115508.82726401788</v>
      </c>
    </row>
    <row r="181" spans="1:33" ht="11.25" customHeight="1" x14ac:dyDescent="0.25">
      <c r="A181" s="4" t="s">
        <v>28</v>
      </c>
      <c r="B181" s="4" t="s">
        <v>35</v>
      </c>
      <c r="C181" s="4" t="s">
        <v>36</v>
      </c>
      <c r="D181" s="4" t="s">
        <v>41</v>
      </c>
      <c r="E181" s="4" t="s">
        <v>49</v>
      </c>
      <c r="F181" s="4" t="s">
        <v>25</v>
      </c>
      <c r="G181" s="4" t="s">
        <v>25</v>
      </c>
      <c r="H181" s="4" t="s">
        <v>38</v>
      </c>
      <c r="I181" s="5">
        <v>44593</v>
      </c>
      <c r="J181" s="6">
        <v>0</v>
      </c>
      <c r="K181" s="52">
        <v>0</v>
      </c>
      <c r="L181" s="6">
        <v>53.62</v>
      </c>
      <c r="M181" s="52">
        <v>53.62</v>
      </c>
      <c r="N181" s="6">
        <v>53.62</v>
      </c>
      <c r="O181" s="52">
        <v>53.62</v>
      </c>
      <c r="P181" s="6">
        <v>0</v>
      </c>
      <c r="Q181" s="4" t="s">
        <v>26</v>
      </c>
      <c r="R181" s="4">
        <v>0</v>
      </c>
      <c r="S181" s="6">
        <v>0</v>
      </c>
      <c r="T181" s="6">
        <v>15</v>
      </c>
      <c r="U181" s="6">
        <v>28</v>
      </c>
      <c r="V181" s="52">
        <f>IF(ISERROR(VLOOKUP($S$181,'TAR FIN'!$A$1:$O$88,15,0)),0,VLOOKUP($S$181,'TAR FIN'!$A$1:$O$88,15,0))</f>
        <v>0</v>
      </c>
      <c r="W181" s="52">
        <f>IF(ISERROR(VLOOKUP($T$181,'TAR FIN'!$A$1:$O$88,15,0)),0,VLOOKUP($T$181,'TAR FIN'!$A$1:$O$88,15,0))*(1-0.04)</f>
        <v>76.147199999999984</v>
      </c>
      <c r="X181" s="52">
        <f>IF(ISERROR(VLOOKUP($U$181,'TAR FIN'!$A$1:$O$88,15,0)),0,VLOOKUP($U$181,'TAR FIN'!$A$1:$O$88,15,0))*(1-0.04)</f>
        <v>242.13119999999998</v>
      </c>
      <c r="Y181" s="52"/>
      <c r="Z181" s="52">
        <f ca="1">('TUSD BE'!$AM$12+'TUSD BF'!$AM$12+'TUSD CVA'!$AM$12)*1*(1-0.02)</f>
        <v>100.66205186369288</v>
      </c>
      <c r="AA181" s="52">
        <f>('TE BE'!$AB$6+'TE BF'!$AB$6+'TE CVA'!$AB$6)*1*(1-0.02)</f>
        <v>246.88600565553992</v>
      </c>
      <c r="AB181" s="6">
        <f>$K$181*$V$181</f>
        <v>0</v>
      </c>
      <c r="AC181" s="6">
        <f>$M$181*$W$181</f>
        <v>4083.0128639999989</v>
      </c>
      <c r="AD181" s="6">
        <f>$O$181*$X$181</f>
        <v>12983.074943999998</v>
      </c>
      <c r="AE181" s="6">
        <f>$K$181*$Y$181</f>
        <v>0</v>
      </c>
      <c r="AF181" s="6">
        <f ca="1">$M$181*$Z$181</f>
        <v>5397.4992209312122</v>
      </c>
      <c r="AG181" s="6">
        <f>$O$181*$AA$181</f>
        <v>13238.027623250049</v>
      </c>
    </row>
    <row r="182" spans="1:33" ht="11.25" customHeight="1" x14ac:dyDescent="0.25">
      <c r="A182" s="4" t="s">
        <v>21</v>
      </c>
      <c r="B182" s="4" t="s">
        <v>35</v>
      </c>
      <c r="C182" s="4" t="s">
        <v>36</v>
      </c>
      <c r="D182" s="4" t="s">
        <v>41</v>
      </c>
      <c r="E182" s="4" t="s">
        <v>49</v>
      </c>
      <c r="F182" s="4" t="s">
        <v>25</v>
      </c>
      <c r="G182" s="4" t="s">
        <v>25</v>
      </c>
      <c r="H182" s="4" t="s">
        <v>38</v>
      </c>
      <c r="I182" s="5">
        <v>44621</v>
      </c>
      <c r="J182" s="6">
        <v>0</v>
      </c>
      <c r="K182" s="52">
        <v>0</v>
      </c>
      <c r="L182" s="6">
        <v>212.17500000000001</v>
      </c>
      <c r="M182" s="52">
        <v>212.17500000000001</v>
      </c>
      <c r="N182" s="6">
        <v>212.17500000000001</v>
      </c>
      <c r="O182" s="52">
        <v>212.17500000000001</v>
      </c>
      <c r="P182" s="6">
        <v>0</v>
      </c>
      <c r="Q182" s="4" t="s">
        <v>26</v>
      </c>
      <c r="R182" s="4">
        <v>0</v>
      </c>
      <c r="S182" s="6">
        <v>0</v>
      </c>
      <c r="T182" s="6">
        <v>15</v>
      </c>
      <c r="U182" s="6">
        <v>28</v>
      </c>
      <c r="V182" s="52">
        <f>IF(ISERROR(VLOOKUP($S$182,'TAR FIN'!$A$1:$O$88,15,0)),0,VLOOKUP($S$182,'TAR FIN'!$A$1:$O$88,15,0))</f>
        <v>0</v>
      </c>
      <c r="W182" s="52">
        <f>IF(ISERROR(VLOOKUP($T$182,'TAR FIN'!$A$1:$O$88,15,0)),0,VLOOKUP($T$182,'TAR FIN'!$A$1:$O$88,15,0))*(1-0.04)</f>
        <v>76.147199999999984</v>
      </c>
      <c r="X182" s="52">
        <f>IF(ISERROR(VLOOKUP($U$182,'TAR FIN'!$A$1:$O$88,15,0)),0,VLOOKUP($U$182,'TAR FIN'!$A$1:$O$88,15,0))*(1-0.04)</f>
        <v>242.13119999999998</v>
      </c>
      <c r="Y182" s="52"/>
      <c r="Z182" s="52">
        <f ca="1">('TUSD BE'!$AM$12+'TUSD BF'!$AM$12+'TUSD CVA'!$AM$12)*1*(1-0.02)</f>
        <v>100.66205186369288</v>
      </c>
      <c r="AA182" s="52">
        <f>('TE BE'!$AB$6+'TE BF'!$AB$6+'TE CVA'!$AB$6)*1*(1-0.02)</f>
        <v>246.88600565553992</v>
      </c>
      <c r="AB182" s="6">
        <f>$K$182*$V$182</f>
        <v>0</v>
      </c>
      <c r="AC182" s="6">
        <f>$M$182*$W$182</f>
        <v>16156.532159999997</v>
      </c>
      <c r="AD182" s="6">
        <f>$O$182*$X$182</f>
        <v>51374.187359999996</v>
      </c>
      <c r="AE182" s="6">
        <f>$K$182*$Y$182</f>
        <v>0</v>
      </c>
      <c r="AF182" s="6">
        <f ca="1">$M$182*$Z$182</f>
        <v>21357.970854179039</v>
      </c>
      <c r="AG182" s="6">
        <f>$O$182*$AA$182</f>
        <v>52383.038249964186</v>
      </c>
    </row>
    <row r="183" spans="1:33" ht="11.25" customHeight="1" x14ac:dyDescent="0.25">
      <c r="A183" s="4" t="s">
        <v>28</v>
      </c>
      <c r="B183" s="4" t="s">
        <v>35</v>
      </c>
      <c r="C183" s="4" t="s">
        <v>36</v>
      </c>
      <c r="D183" s="4" t="s">
        <v>41</v>
      </c>
      <c r="E183" s="4" t="s">
        <v>49</v>
      </c>
      <c r="F183" s="4" t="s">
        <v>25</v>
      </c>
      <c r="G183" s="4" t="s">
        <v>25</v>
      </c>
      <c r="H183" s="4" t="s">
        <v>38</v>
      </c>
      <c r="I183" s="5">
        <v>44621</v>
      </c>
      <c r="J183" s="6">
        <v>0</v>
      </c>
      <c r="K183" s="52">
        <v>0</v>
      </c>
      <c r="L183" s="6">
        <v>3.9430000000000001</v>
      </c>
      <c r="M183" s="52">
        <v>3.9430000000000001</v>
      </c>
      <c r="N183" s="6">
        <v>3.9430000000000001</v>
      </c>
      <c r="O183" s="52">
        <v>3.9430000000000001</v>
      </c>
      <c r="P183" s="6">
        <v>0</v>
      </c>
      <c r="Q183" s="4" t="s">
        <v>26</v>
      </c>
      <c r="R183" s="4">
        <v>0</v>
      </c>
      <c r="S183" s="6">
        <v>0</v>
      </c>
      <c r="T183" s="6">
        <v>15</v>
      </c>
      <c r="U183" s="6">
        <v>28</v>
      </c>
      <c r="V183" s="52">
        <f>IF(ISERROR(VLOOKUP($S$183,'TAR FIN'!$A$1:$O$88,15,0)),0,VLOOKUP($S$183,'TAR FIN'!$A$1:$O$88,15,0))</f>
        <v>0</v>
      </c>
      <c r="W183" s="52">
        <f>IF(ISERROR(VLOOKUP($T$183,'TAR FIN'!$A$1:$O$88,15,0)),0,VLOOKUP($T$183,'TAR FIN'!$A$1:$O$88,15,0))*(1-0.04)</f>
        <v>76.147199999999984</v>
      </c>
      <c r="X183" s="52">
        <f>IF(ISERROR(VLOOKUP($U$183,'TAR FIN'!$A$1:$O$88,15,0)),0,VLOOKUP($U$183,'TAR FIN'!$A$1:$O$88,15,0))*(1-0.04)</f>
        <v>242.13119999999998</v>
      </c>
      <c r="Y183" s="52"/>
      <c r="Z183" s="52">
        <f ca="1">('TUSD BE'!$AM$12+'TUSD BF'!$AM$12+'TUSD CVA'!$AM$12)*1*(1-0.02)</f>
        <v>100.66205186369288</v>
      </c>
      <c r="AA183" s="52">
        <f>('TE BE'!$AB$6+'TE BF'!$AB$6+'TE CVA'!$AB$6)*1*(1-0.02)</f>
        <v>246.88600565553992</v>
      </c>
      <c r="AB183" s="6">
        <f>$K$183*$V$183</f>
        <v>0</v>
      </c>
      <c r="AC183" s="6">
        <f>$M$183*$W$183</f>
        <v>300.24840959999995</v>
      </c>
      <c r="AD183" s="6">
        <f>$O$183*$X$183</f>
        <v>954.72332159999996</v>
      </c>
      <c r="AE183" s="6">
        <f>$K$183*$Y$183</f>
        <v>0</v>
      </c>
      <c r="AF183" s="6">
        <f ca="1">$M$183*$Z$183</f>
        <v>396.91047049854103</v>
      </c>
      <c r="AG183" s="6">
        <f>$O$183*$AA$183</f>
        <v>973.47152029979395</v>
      </c>
    </row>
    <row r="184" spans="1:33" ht="11.25" customHeight="1" x14ac:dyDescent="0.25">
      <c r="A184" s="4" t="s">
        <v>21</v>
      </c>
      <c r="B184" s="4" t="s">
        <v>35</v>
      </c>
      <c r="C184" s="4" t="s">
        <v>36</v>
      </c>
      <c r="D184" s="4" t="s">
        <v>41</v>
      </c>
      <c r="E184" s="4" t="s">
        <v>49</v>
      </c>
      <c r="F184" s="4" t="s">
        <v>25</v>
      </c>
      <c r="G184" s="4" t="s">
        <v>25</v>
      </c>
      <c r="H184" s="4" t="s">
        <v>38</v>
      </c>
      <c r="I184" s="5">
        <v>44652</v>
      </c>
      <c r="J184" s="6">
        <v>0</v>
      </c>
      <c r="K184" s="52">
        <v>0</v>
      </c>
      <c r="L184" s="6">
        <v>53.862000000000002</v>
      </c>
      <c r="M184" s="52">
        <v>53.862000000000002</v>
      </c>
      <c r="N184" s="6">
        <v>53.862000000000002</v>
      </c>
      <c r="O184" s="52">
        <v>53.862000000000002</v>
      </c>
      <c r="P184" s="6">
        <v>0</v>
      </c>
      <c r="Q184" s="4" t="s">
        <v>26</v>
      </c>
      <c r="R184" s="4">
        <v>0</v>
      </c>
      <c r="S184" s="6">
        <v>0</v>
      </c>
      <c r="T184" s="6">
        <v>15</v>
      </c>
      <c r="U184" s="6">
        <v>28</v>
      </c>
      <c r="V184" s="52">
        <f>IF(ISERROR(VLOOKUP($S$184,'TAR FIN'!$A$1:$O$88,15,0)),0,VLOOKUP($S$184,'TAR FIN'!$A$1:$O$88,15,0))</f>
        <v>0</v>
      </c>
      <c r="W184" s="52">
        <f>IF(ISERROR(VLOOKUP($T$184,'TAR FIN'!$A$1:$O$88,15,0)),0,VLOOKUP($T$184,'TAR FIN'!$A$1:$O$88,15,0))*(1-0.04)</f>
        <v>76.147199999999984</v>
      </c>
      <c r="X184" s="52">
        <f>IF(ISERROR(VLOOKUP($U$184,'TAR FIN'!$A$1:$O$88,15,0)),0,VLOOKUP($U$184,'TAR FIN'!$A$1:$O$88,15,0))*(1-0.04)</f>
        <v>242.13119999999998</v>
      </c>
      <c r="Y184" s="52"/>
      <c r="Z184" s="52">
        <f ca="1">('TUSD BE'!$AM$12+'TUSD BF'!$AM$12+'TUSD CVA'!$AM$12)*1*(1-0.02)</f>
        <v>100.66205186369288</v>
      </c>
      <c r="AA184" s="52">
        <f>('TE BE'!$AB$6+'TE BF'!$AB$6+'TE CVA'!$AB$6)*1*(1-0.02)</f>
        <v>246.88600565553992</v>
      </c>
      <c r="AB184" s="6">
        <f>$K$184*$V$184</f>
        <v>0</v>
      </c>
      <c r="AC184" s="6">
        <f>$M$184*$W$184</f>
        <v>4101.4404863999989</v>
      </c>
      <c r="AD184" s="6">
        <f>$O$184*$X$184</f>
        <v>13041.6706944</v>
      </c>
      <c r="AE184" s="6">
        <f>$K$184*$Y$184</f>
        <v>0</v>
      </c>
      <c r="AF184" s="6">
        <f ca="1">$M$184*$Z$184</f>
        <v>5421.859437482226</v>
      </c>
      <c r="AG184" s="6">
        <f>$O$184*$AA$184</f>
        <v>13297.774036618692</v>
      </c>
    </row>
    <row r="185" spans="1:33" ht="11.25" customHeight="1" x14ac:dyDescent="0.25">
      <c r="A185" s="4" t="s">
        <v>21</v>
      </c>
      <c r="B185" s="4" t="s">
        <v>35</v>
      </c>
      <c r="C185" s="4" t="s">
        <v>36</v>
      </c>
      <c r="D185" s="4" t="s">
        <v>41</v>
      </c>
      <c r="E185" s="4" t="s">
        <v>49</v>
      </c>
      <c r="F185" s="4" t="s">
        <v>25</v>
      </c>
      <c r="G185" s="4" t="s">
        <v>25</v>
      </c>
      <c r="H185" s="4" t="s">
        <v>38</v>
      </c>
      <c r="I185" s="5">
        <v>44682</v>
      </c>
      <c r="J185" s="6">
        <v>0</v>
      </c>
      <c r="K185" s="52">
        <v>0</v>
      </c>
      <c r="L185" s="6">
        <v>29.379000000000001</v>
      </c>
      <c r="M185" s="52">
        <v>29.379000000000001</v>
      </c>
      <c r="N185" s="6">
        <v>29.379000000000001</v>
      </c>
      <c r="O185" s="52">
        <v>29.379000000000001</v>
      </c>
      <c r="P185" s="6">
        <v>0</v>
      </c>
      <c r="Q185" s="4" t="s">
        <v>26</v>
      </c>
      <c r="R185" s="4">
        <v>0</v>
      </c>
      <c r="S185" s="6">
        <v>0</v>
      </c>
      <c r="T185" s="6">
        <v>15</v>
      </c>
      <c r="U185" s="6">
        <v>28</v>
      </c>
      <c r="V185" s="52">
        <f>IF(ISERROR(VLOOKUP($S$185,'TAR FIN'!$A$1:$O$88,15,0)),0,VLOOKUP($S$185,'TAR FIN'!$A$1:$O$88,15,0))</f>
        <v>0</v>
      </c>
      <c r="W185" s="52">
        <f>IF(ISERROR(VLOOKUP($T$185,'TAR FIN'!$A$1:$O$88,15,0)),0,VLOOKUP($T$185,'TAR FIN'!$A$1:$O$88,15,0))*(1-0.04)</f>
        <v>76.147199999999984</v>
      </c>
      <c r="X185" s="52">
        <f>IF(ISERROR(VLOOKUP($U$185,'TAR FIN'!$A$1:$O$88,15,0)),0,VLOOKUP($U$185,'TAR FIN'!$A$1:$O$88,15,0))*(1-0.04)</f>
        <v>242.13119999999998</v>
      </c>
      <c r="Y185" s="52"/>
      <c r="Z185" s="52">
        <f ca="1">('TUSD BE'!$AM$12+'TUSD BF'!$AM$12+'TUSD CVA'!$AM$12)*1*(1-0.02)</f>
        <v>100.66205186369288</v>
      </c>
      <c r="AA185" s="52">
        <f>('TE BE'!$AB$6+'TE BF'!$AB$6+'TE CVA'!$AB$6)*1*(1-0.02)</f>
        <v>246.88600565553992</v>
      </c>
      <c r="AB185" s="6">
        <f>$K$185*$V$185</f>
        <v>0</v>
      </c>
      <c r="AC185" s="6">
        <f>$M$185*$W$185</f>
        <v>2237.1285887999998</v>
      </c>
      <c r="AD185" s="6">
        <f>$O$185*$X$185</f>
        <v>7113.5725247999999</v>
      </c>
      <c r="AE185" s="6">
        <f>$K$185*$Y$185</f>
        <v>0</v>
      </c>
      <c r="AF185" s="6">
        <f ca="1">$M$185*$Z$185</f>
        <v>2957.3504217034333</v>
      </c>
      <c r="AG185" s="6">
        <f>$O$185*$AA$185</f>
        <v>7253.2639601541077</v>
      </c>
    </row>
    <row r="186" spans="1:33" ht="11.25" customHeight="1" x14ac:dyDescent="0.25">
      <c r="A186" s="4" t="s">
        <v>21</v>
      </c>
      <c r="B186" s="4" t="s">
        <v>35</v>
      </c>
      <c r="C186" s="4" t="s">
        <v>36</v>
      </c>
      <c r="D186" s="4" t="s">
        <v>41</v>
      </c>
      <c r="E186" s="4" t="s">
        <v>49</v>
      </c>
      <c r="F186" s="4" t="s">
        <v>25</v>
      </c>
      <c r="G186" s="4" t="s">
        <v>25</v>
      </c>
      <c r="H186" s="4" t="s">
        <v>38</v>
      </c>
      <c r="I186" s="5">
        <v>44713</v>
      </c>
      <c r="J186" s="6">
        <v>0</v>
      </c>
      <c r="K186" s="52">
        <v>0</v>
      </c>
      <c r="L186" s="6">
        <v>18.062999999999999</v>
      </c>
      <c r="M186" s="52">
        <v>18.062999999999999</v>
      </c>
      <c r="N186" s="6">
        <v>18.062999999999999</v>
      </c>
      <c r="O186" s="52">
        <v>18.062999999999999</v>
      </c>
      <c r="P186" s="6">
        <v>0</v>
      </c>
      <c r="Q186" s="4" t="s">
        <v>26</v>
      </c>
      <c r="R186" s="4">
        <v>0</v>
      </c>
      <c r="S186" s="6">
        <v>0</v>
      </c>
      <c r="T186" s="6">
        <v>15</v>
      </c>
      <c r="U186" s="6">
        <v>28</v>
      </c>
      <c r="V186" s="52">
        <f>IF(ISERROR(VLOOKUP($S$186,'TAR FIN'!$A$1:$O$88,15,0)),0,VLOOKUP($S$186,'TAR FIN'!$A$1:$O$88,15,0))</f>
        <v>0</v>
      </c>
      <c r="W186" s="52">
        <f>IF(ISERROR(VLOOKUP($T$186,'TAR FIN'!$A$1:$O$88,15,0)),0,VLOOKUP($T$186,'TAR FIN'!$A$1:$O$88,15,0))*(1-0.04)</f>
        <v>76.147199999999984</v>
      </c>
      <c r="X186" s="52">
        <f>IF(ISERROR(VLOOKUP($U$186,'TAR FIN'!$A$1:$O$88,15,0)),0,VLOOKUP($U$186,'TAR FIN'!$A$1:$O$88,15,0))*(1-0.04)</f>
        <v>242.13119999999998</v>
      </c>
      <c r="Y186" s="52"/>
      <c r="Z186" s="52">
        <f ca="1">('TUSD BE'!$AM$12+'TUSD BF'!$AM$12+'TUSD CVA'!$AM$12)*1*(1-0.02)</f>
        <v>100.66205186369288</v>
      </c>
      <c r="AA186" s="52">
        <f>('TE BE'!$AB$6+'TE BF'!$AB$6+'TE CVA'!$AB$6)*1*(1-0.02)</f>
        <v>246.88600565553992</v>
      </c>
      <c r="AB186" s="6">
        <f>$K$186*$V$186</f>
        <v>0</v>
      </c>
      <c r="AC186" s="6">
        <f>$M$186*$W$186</f>
        <v>1375.4468735999997</v>
      </c>
      <c r="AD186" s="6">
        <f>$O$186*$X$186</f>
        <v>4373.6158655999998</v>
      </c>
      <c r="AE186" s="6">
        <f>$K$186*$Y$186</f>
        <v>0</v>
      </c>
      <c r="AF186" s="6">
        <f ca="1">$M$186*$Z$186</f>
        <v>1818.2586428138843</v>
      </c>
      <c r="AG186" s="6">
        <f>$O$186*$AA$186</f>
        <v>4459.5019201560171</v>
      </c>
    </row>
    <row r="187" spans="1:33" ht="11.25" customHeight="1" x14ac:dyDescent="0.25">
      <c r="A187" s="4" t="s">
        <v>21</v>
      </c>
      <c r="B187" s="4" t="s">
        <v>35</v>
      </c>
      <c r="C187" s="4" t="s">
        <v>36</v>
      </c>
      <c r="D187" s="4" t="s">
        <v>41</v>
      </c>
      <c r="E187" s="4" t="s">
        <v>49</v>
      </c>
      <c r="F187" s="4" t="s">
        <v>25</v>
      </c>
      <c r="G187" s="4" t="s">
        <v>25</v>
      </c>
      <c r="H187" s="4" t="s">
        <v>25</v>
      </c>
      <c r="I187" s="5">
        <v>44378</v>
      </c>
      <c r="J187" s="6">
        <v>1250</v>
      </c>
      <c r="K187" s="52">
        <v>1250</v>
      </c>
      <c r="L187" s="6">
        <v>0</v>
      </c>
      <c r="M187" s="52">
        <v>0</v>
      </c>
      <c r="N187" s="6">
        <v>0</v>
      </c>
      <c r="O187" s="52">
        <v>0</v>
      </c>
      <c r="P187" s="6">
        <v>24</v>
      </c>
      <c r="Q187" s="4" t="s">
        <v>26</v>
      </c>
      <c r="R187" s="4">
        <v>0</v>
      </c>
      <c r="S187" s="6">
        <v>11</v>
      </c>
      <c r="T187" s="6">
        <v>0</v>
      </c>
      <c r="U187" s="6">
        <v>0</v>
      </c>
      <c r="V187" s="52">
        <f>IF(ISERROR(VLOOKUP($S$187,'TAR FIN'!$A$1:$O$88,15,0)),0,VLOOKUP($S$187,'TAR FIN'!$A$1:$O$88,15,0))*(1-0.04)</f>
        <v>43.603200000000001</v>
      </c>
      <c r="W187" s="52">
        <f>IF(ISERROR(VLOOKUP($T$187,'TAR FIN'!$A$1:$O$88,15,0)),0,VLOOKUP($T$187,'TAR FIN'!$A$1:$O$88,15,0))</f>
        <v>0</v>
      </c>
      <c r="X187" s="52">
        <f>IF(ISERROR(VLOOKUP($U$187,'TAR FIN'!$A$1:$O$88,15,0)),0,VLOOKUP($U$187,'TAR FIN'!$A$1:$O$88,15,0))</f>
        <v>0</v>
      </c>
      <c r="Y187" s="52">
        <f ca="1">('TUSD BE'!$AM$10+'TUSD BF'!$AM$10+'TUSD CVA'!$AM$10)*1*(1-0.02)</f>
        <v>50.510684974163915</v>
      </c>
      <c r="Z187" s="52"/>
      <c r="AA187" s="52"/>
      <c r="AB187" s="6">
        <f>$K$187*$V$187</f>
        <v>54504</v>
      </c>
      <c r="AC187" s="6">
        <f>$M$187*$W$187</f>
        <v>0</v>
      </c>
      <c r="AD187" s="6">
        <f>$O$187*$X$187</f>
        <v>0</v>
      </c>
      <c r="AE187" s="6">
        <f ca="1">$K$187*$Y$187</f>
        <v>63138.356217704895</v>
      </c>
      <c r="AF187" s="6">
        <f>$M$187*$Z$187</f>
        <v>0</v>
      </c>
      <c r="AG187" s="6">
        <f>$O$187*$AA$187</f>
        <v>0</v>
      </c>
    </row>
    <row r="188" spans="1:33" ht="11.25" customHeight="1" x14ac:dyDescent="0.25">
      <c r="A188" s="4" t="s">
        <v>21</v>
      </c>
      <c r="B188" s="4" t="s">
        <v>35</v>
      </c>
      <c r="C188" s="4" t="s">
        <v>36</v>
      </c>
      <c r="D188" s="4" t="s">
        <v>41</v>
      </c>
      <c r="E188" s="4" t="s">
        <v>49</v>
      </c>
      <c r="F188" s="4" t="s">
        <v>25</v>
      </c>
      <c r="G188" s="4" t="s">
        <v>25</v>
      </c>
      <c r="H188" s="4" t="s">
        <v>25</v>
      </c>
      <c r="I188" s="5">
        <v>44409</v>
      </c>
      <c r="J188" s="6">
        <v>1487</v>
      </c>
      <c r="K188" s="52">
        <v>1487</v>
      </c>
      <c r="L188" s="6">
        <v>0</v>
      </c>
      <c r="M188" s="52">
        <v>0</v>
      </c>
      <c r="N188" s="6">
        <v>0</v>
      </c>
      <c r="O188" s="52">
        <v>0</v>
      </c>
      <c r="P188" s="6">
        <v>24</v>
      </c>
      <c r="Q188" s="4" t="s">
        <v>26</v>
      </c>
      <c r="R188" s="4">
        <v>0</v>
      </c>
      <c r="S188" s="6">
        <v>11</v>
      </c>
      <c r="T188" s="6">
        <v>0</v>
      </c>
      <c r="U188" s="6">
        <v>0</v>
      </c>
      <c r="V188" s="52">
        <f>IF(ISERROR(VLOOKUP($S$188,'TAR FIN'!$A$1:$O$88,15,0)),0,VLOOKUP($S$188,'TAR FIN'!$A$1:$O$88,15,0))*(1-0.04)</f>
        <v>43.603200000000001</v>
      </c>
      <c r="W188" s="52">
        <f>IF(ISERROR(VLOOKUP($T$188,'TAR FIN'!$A$1:$O$88,15,0)),0,VLOOKUP($T$188,'TAR FIN'!$A$1:$O$88,15,0))</f>
        <v>0</v>
      </c>
      <c r="X188" s="52">
        <f>IF(ISERROR(VLOOKUP($U$188,'TAR FIN'!$A$1:$O$88,15,0)),0,VLOOKUP($U$188,'TAR FIN'!$A$1:$O$88,15,0))</f>
        <v>0</v>
      </c>
      <c r="Y188" s="52">
        <f ca="1">('TUSD BE'!$AM$10+'TUSD BF'!$AM$10+'TUSD CVA'!$AM$10)*1*(1-0.02)</f>
        <v>50.510684974163915</v>
      </c>
      <c r="Z188" s="52"/>
      <c r="AA188" s="52"/>
      <c r="AB188" s="6">
        <f>$K$188*$V$188</f>
        <v>64837.958400000003</v>
      </c>
      <c r="AC188" s="6">
        <f>$M$188*$W$188</f>
        <v>0</v>
      </c>
      <c r="AD188" s="6">
        <f>$O$188*$X$188</f>
        <v>0</v>
      </c>
      <c r="AE188" s="6">
        <f ca="1">$K$188*$Y$188</f>
        <v>75109.388556581747</v>
      </c>
      <c r="AF188" s="6">
        <f>$M$188*$Z$188</f>
        <v>0</v>
      </c>
      <c r="AG188" s="6">
        <f>$O$188*$AA$188</f>
        <v>0</v>
      </c>
    </row>
    <row r="189" spans="1:33" ht="11.25" customHeight="1" x14ac:dyDescent="0.25">
      <c r="A189" s="4" t="s">
        <v>21</v>
      </c>
      <c r="B189" s="4" t="s">
        <v>35</v>
      </c>
      <c r="C189" s="4" t="s">
        <v>36</v>
      </c>
      <c r="D189" s="4" t="s">
        <v>41</v>
      </c>
      <c r="E189" s="4" t="s">
        <v>49</v>
      </c>
      <c r="F189" s="4" t="s">
        <v>25</v>
      </c>
      <c r="G189" s="4" t="s">
        <v>25</v>
      </c>
      <c r="H189" s="4" t="s">
        <v>25</v>
      </c>
      <c r="I189" s="5">
        <v>44440</v>
      </c>
      <c r="J189" s="6">
        <v>1999</v>
      </c>
      <c r="K189" s="52">
        <v>1999</v>
      </c>
      <c r="L189" s="6">
        <v>0</v>
      </c>
      <c r="M189" s="52">
        <v>0</v>
      </c>
      <c r="N189" s="6">
        <v>0</v>
      </c>
      <c r="O189" s="52">
        <v>0</v>
      </c>
      <c r="P189" s="6">
        <v>24</v>
      </c>
      <c r="Q189" s="4" t="s">
        <v>26</v>
      </c>
      <c r="R189" s="4">
        <v>0</v>
      </c>
      <c r="S189" s="6">
        <v>11</v>
      </c>
      <c r="T189" s="6">
        <v>0</v>
      </c>
      <c r="U189" s="6">
        <v>0</v>
      </c>
      <c r="V189" s="52">
        <f>IF(ISERROR(VLOOKUP($S$189,'TAR FIN'!$A$1:$O$88,15,0)),0,VLOOKUP($S$189,'TAR FIN'!$A$1:$O$88,15,0))*(1-0.04)</f>
        <v>43.603200000000001</v>
      </c>
      <c r="W189" s="52">
        <f>IF(ISERROR(VLOOKUP($T$189,'TAR FIN'!$A$1:$O$88,15,0)),0,VLOOKUP($T$189,'TAR FIN'!$A$1:$O$88,15,0))</f>
        <v>0</v>
      </c>
      <c r="X189" s="52">
        <f>IF(ISERROR(VLOOKUP($U$189,'TAR FIN'!$A$1:$O$88,15,0)),0,VLOOKUP($U$189,'TAR FIN'!$A$1:$O$88,15,0))</f>
        <v>0</v>
      </c>
      <c r="Y189" s="52">
        <f ca="1">('TUSD BE'!$AM$10+'TUSD BF'!$AM$10+'TUSD CVA'!$AM$10)*1*(1-0.02)</f>
        <v>50.510684974163915</v>
      </c>
      <c r="Z189" s="52"/>
      <c r="AA189" s="52"/>
      <c r="AB189" s="6">
        <f>$K$189*$V$189</f>
        <v>87162.796799999996</v>
      </c>
      <c r="AC189" s="6">
        <f>$M$189*$W$189</f>
        <v>0</v>
      </c>
      <c r="AD189" s="6">
        <f>$O$189*$X$189</f>
        <v>0</v>
      </c>
      <c r="AE189" s="6">
        <f ca="1">$K$189*$Y$189</f>
        <v>100970.85926335366</v>
      </c>
      <c r="AF189" s="6">
        <f>$M$189*$Z$189</f>
        <v>0</v>
      </c>
      <c r="AG189" s="6">
        <f>$O$189*$AA$189</f>
        <v>0</v>
      </c>
    </row>
    <row r="190" spans="1:33" ht="11.25" customHeight="1" x14ac:dyDescent="0.25">
      <c r="A190" s="4" t="s">
        <v>21</v>
      </c>
      <c r="B190" s="4" t="s">
        <v>35</v>
      </c>
      <c r="C190" s="4" t="s">
        <v>36</v>
      </c>
      <c r="D190" s="4" t="s">
        <v>41</v>
      </c>
      <c r="E190" s="4" t="s">
        <v>49</v>
      </c>
      <c r="F190" s="4" t="s">
        <v>25</v>
      </c>
      <c r="G190" s="4" t="s">
        <v>25</v>
      </c>
      <c r="H190" s="4" t="s">
        <v>25</v>
      </c>
      <c r="I190" s="5">
        <v>44470</v>
      </c>
      <c r="J190" s="6">
        <v>1982</v>
      </c>
      <c r="K190" s="52">
        <v>1982</v>
      </c>
      <c r="L190" s="6">
        <v>0</v>
      </c>
      <c r="M190" s="52">
        <v>0</v>
      </c>
      <c r="N190" s="6">
        <v>0</v>
      </c>
      <c r="O190" s="52">
        <v>0</v>
      </c>
      <c r="P190" s="6">
        <v>25</v>
      </c>
      <c r="Q190" s="4" t="s">
        <v>26</v>
      </c>
      <c r="R190" s="4">
        <v>0</v>
      </c>
      <c r="S190" s="6">
        <v>11</v>
      </c>
      <c r="T190" s="6">
        <v>0</v>
      </c>
      <c r="U190" s="6">
        <v>0</v>
      </c>
      <c r="V190" s="52">
        <f>IF(ISERROR(VLOOKUP($S$190,'TAR FIN'!$A$1:$O$88,15,0)),0,VLOOKUP($S$190,'TAR FIN'!$A$1:$O$88,15,0))*(1-0.04)</f>
        <v>43.603200000000001</v>
      </c>
      <c r="W190" s="52">
        <f>IF(ISERROR(VLOOKUP($T$190,'TAR FIN'!$A$1:$O$88,15,0)),0,VLOOKUP($T$190,'TAR FIN'!$A$1:$O$88,15,0))</f>
        <v>0</v>
      </c>
      <c r="X190" s="52">
        <f>IF(ISERROR(VLOOKUP($U$190,'TAR FIN'!$A$1:$O$88,15,0)),0,VLOOKUP($U$190,'TAR FIN'!$A$1:$O$88,15,0))</f>
        <v>0</v>
      </c>
      <c r="Y190" s="52">
        <f ca="1">('TUSD BE'!$AM$10+'TUSD BF'!$AM$10+'TUSD CVA'!$AM$10)*1*(1-0.02)</f>
        <v>50.510684974163915</v>
      </c>
      <c r="Z190" s="52"/>
      <c r="AA190" s="52"/>
      <c r="AB190" s="6">
        <f>$K$190*$V$190</f>
        <v>86421.542400000006</v>
      </c>
      <c r="AC190" s="6">
        <f>$M$190*$W$190</f>
        <v>0</v>
      </c>
      <c r="AD190" s="6">
        <f>$O$190*$X$190</f>
        <v>0</v>
      </c>
      <c r="AE190" s="6">
        <f ca="1">$K$190*$Y$190</f>
        <v>100112.17761879288</v>
      </c>
      <c r="AF190" s="6">
        <f>$M$190*$Z$190</f>
        <v>0</v>
      </c>
      <c r="AG190" s="6">
        <f>$O$190*$AA$190</f>
        <v>0</v>
      </c>
    </row>
    <row r="191" spans="1:33" ht="11.25" customHeight="1" x14ac:dyDescent="0.25">
      <c r="A191" s="4" t="s">
        <v>21</v>
      </c>
      <c r="B191" s="4" t="s">
        <v>35</v>
      </c>
      <c r="C191" s="4" t="s">
        <v>36</v>
      </c>
      <c r="D191" s="4" t="s">
        <v>41</v>
      </c>
      <c r="E191" s="4" t="s">
        <v>49</v>
      </c>
      <c r="F191" s="4" t="s">
        <v>25</v>
      </c>
      <c r="G191" s="4" t="s">
        <v>25</v>
      </c>
      <c r="H191" s="4" t="s">
        <v>25</v>
      </c>
      <c r="I191" s="5">
        <v>44501</v>
      </c>
      <c r="J191" s="6">
        <v>3630</v>
      </c>
      <c r="K191" s="52">
        <v>3630</v>
      </c>
      <c r="L191" s="6">
        <v>0</v>
      </c>
      <c r="M191" s="52">
        <v>0</v>
      </c>
      <c r="N191" s="6">
        <v>0</v>
      </c>
      <c r="O191" s="52">
        <v>0</v>
      </c>
      <c r="P191" s="6">
        <v>24</v>
      </c>
      <c r="Q191" s="4" t="s">
        <v>26</v>
      </c>
      <c r="R191" s="4">
        <v>0</v>
      </c>
      <c r="S191" s="6">
        <v>11</v>
      </c>
      <c r="T191" s="6">
        <v>0</v>
      </c>
      <c r="U191" s="6">
        <v>0</v>
      </c>
      <c r="V191" s="52">
        <f>IF(ISERROR(VLOOKUP($S$191,'TAR FIN'!$A$1:$O$88,15,0)),0,VLOOKUP($S$191,'TAR FIN'!$A$1:$O$88,15,0))*(1-0.04)</f>
        <v>43.603200000000001</v>
      </c>
      <c r="W191" s="52">
        <f>IF(ISERROR(VLOOKUP($T$191,'TAR FIN'!$A$1:$O$88,15,0)),0,VLOOKUP($T$191,'TAR FIN'!$A$1:$O$88,15,0))</f>
        <v>0</v>
      </c>
      <c r="X191" s="52">
        <f>IF(ISERROR(VLOOKUP($U$191,'TAR FIN'!$A$1:$O$88,15,0)),0,VLOOKUP($U$191,'TAR FIN'!$A$1:$O$88,15,0))</f>
        <v>0</v>
      </c>
      <c r="Y191" s="52">
        <f ca="1">('TUSD BE'!$AM$10+'TUSD BF'!$AM$10+'TUSD CVA'!$AM$10)*1*(1-0.02)</f>
        <v>50.510684974163915</v>
      </c>
      <c r="Z191" s="52"/>
      <c r="AA191" s="52"/>
      <c r="AB191" s="6">
        <f>$K$191*$V$191</f>
        <v>158279.61600000001</v>
      </c>
      <c r="AC191" s="6">
        <f>$M$191*$W$191</f>
        <v>0</v>
      </c>
      <c r="AD191" s="6">
        <f>$O$191*$X$191</f>
        <v>0</v>
      </c>
      <c r="AE191" s="6">
        <f ca="1">$K$191*$Y$191</f>
        <v>183353.78645621502</v>
      </c>
      <c r="AF191" s="6">
        <f>$M$191*$Z$191</f>
        <v>0</v>
      </c>
      <c r="AG191" s="6">
        <f>$O$191*$AA$191</f>
        <v>0</v>
      </c>
    </row>
    <row r="192" spans="1:33" ht="11.25" customHeight="1" x14ac:dyDescent="0.25">
      <c r="A192" s="4" t="s">
        <v>28</v>
      </c>
      <c r="B192" s="4" t="s">
        <v>35</v>
      </c>
      <c r="C192" s="4" t="s">
        <v>36</v>
      </c>
      <c r="D192" s="4" t="s">
        <v>41</v>
      </c>
      <c r="E192" s="4" t="s">
        <v>49</v>
      </c>
      <c r="F192" s="4" t="s">
        <v>25</v>
      </c>
      <c r="G192" s="4" t="s">
        <v>25</v>
      </c>
      <c r="H192" s="4" t="s">
        <v>25</v>
      </c>
      <c r="I192" s="5">
        <v>44501</v>
      </c>
      <c r="J192" s="6">
        <v>257</v>
      </c>
      <c r="K192" s="52">
        <v>257</v>
      </c>
      <c r="L192" s="6">
        <v>0</v>
      </c>
      <c r="M192" s="52">
        <v>0</v>
      </c>
      <c r="N192" s="6">
        <v>0</v>
      </c>
      <c r="O192" s="52">
        <v>0</v>
      </c>
      <c r="P192" s="6">
        <v>1</v>
      </c>
      <c r="Q192" s="4" t="s">
        <v>26</v>
      </c>
      <c r="R192" s="4">
        <v>0</v>
      </c>
      <c r="S192" s="6">
        <v>11</v>
      </c>
      <c r="T192" s="6">
        <v>0</v>
      </c>
      <c r="U192" s="6">
        <v>0</v>
      </c>
      <c r="V192" s="52">
        <f>IF(ISERROR(VLOOKUP($S$192,'TAR FIN'!$A$1:$O$88,15,0)),0,VLOOKUP($S$192,'TAR FIN'!$A$1:$O$88,15,0))*(1-0.04)</f>
        <v>43.603200000000001</v>
      </c>
      <c r="W192" s="52">
        <f>IF(ISERROR(VLOOKUP($T$192,'TAR FIN'!$A$1:$O$88,15,0)),0,VLOOKUP($T$192,'TAR FIN'!$A$1:$O$88,15,0))</f>
        <v>0</v>
      </c>
      <c r="X192" s="52">
        <f>IF(ISERROR(VLOOKUP($U$192,'TAR FIN'!$A$1:$O$88,15,0)),0,VLOOKUP($U$192,'TAR FIN'!$A$1:$O$88,15,0))</f>
        <v>0</v>
      </c>
      <c r="Y192" s="52">
        <f ca="1">('TUSD BE'!$AM$10+'TUSD BF'!$AM$10+'TUSD CVA'!$AM$10)*1*(1-0.02)</f>
        <v>50.510684974163915</v>
      </c>
      <c r="Z192" s="52"/>
      <c r="AA192" s="52"/>
      <c r="AB192" s="6">
        <f>$K$192*$V$192</f>
        <v>11206.0224</v>
      </c>
      <c r="AC192" s="6">
        <f>$M$192*$W$192</f>
        <v>0</v>
      </c>
      <c r="AD192" s="6">
        <f>$O$192*$X$192</f>
        <v>0</v>
      </c>
      <c r="AE192" s="6">
        <f ca="1">$K$192*$Y$192</f>
        <v>12981.246038360126</v>
      </c>
      <c r="AF192" s="6">
        <f>$M$192*$Z$192</f>
        <v>0</v>
      </c>
      <c r="AG192" s="6">
        <f>$O$192*$AA$192</f>
        <v>0</v>
      </c>
    </row>
    <row r="193" spans="1:33" ht="11.25" customHeight="1" x14ac:dyDescent="0.25">
      <c r="A193" s="4" t="s">
        <v>21</v>
      </c>
      <c r="B193" s="4" t="s">
        <v>35</v>
      </c>
      <c r="C193" s="4" t="s">
        <v>36</v>
      </c>
      <c r="D193" s="4" t="s">
        <v>41</v>
      </c>
      <c r="E193" s="4" t="s">
        <v>49</v>
      </c>
      <c r="F193" s="4" t="s">
        <v>25</v>
      </c>
      <c r="G193" s="4" t="s">
        <v>25</v>
      </c>
      <c r="H193" s="4" t="s">
        <v>25</v>
      </c>
      <c r="I193" s="5">
        <v>44531</v>
      </c>
      <c r="J193" s="6">
        <v>4370</v>
      </c>
      <c r="K193" s="52">
        <v>4370</v>
      </c>
      <c r="L193" s="6">
        <v>0</v>
      </c>
      <c r="M193" s="52">
        <v>0</v>
      </c>
      <c r="N193" s="6">
        <v>0</v>
      </c>
      <c r="O193" s="52">
        <v>0</v>
      </c>
      <c r="P193" s="6">
        <v>23</v>
      </c>
      <c r="Q193" s="4" t="s">
        <v>26</v>
      </c>
      <c r="R193" s="4">
        <v>0</v>
      </c>
      <c r="S193" s="6">
        <v>11</v>
      </c>
      <c r="T193" s="6">
        <v>0</v>
      </c>
      <c r="U193" s="6">
        <v>0</v>
      </c>
      <c r="V193" s="52">
        <f>IF(ISERROR(VLOOKUP($S$193,'TAR FIN'!$A$1:$O$88,15,0)),0,VLOOKUP($S$193,'TAR FIN'!$A$1:$O$88,15,0))*(1-0.04)</f>
        <v>43.603200000000001</v>
      </c>
      <c r="W193" s="52">
        <f>IF(ISERROR(VLOOKUP($T$193,'TAR FIN'!$A$1:$O$88,15,0)),0,VLOOKUP($T$193,'TAR FIN'!$A$1:$O$88,15,0))</f>
        <v>0</v>
      </c>
      <c r="X193" s="52">
        <f>IF(ISERROR(VLOOKUP($U$193,'TAR FIN'!$A$1:$O$88,15,0)),0,VLOOKUP($U$193,'TAR FIN'!$A$1:$O$88,15,0))</f>
        <v>0</v>
      </c>
      <c r="Y193" s="52">
        <f ca="1">('TUSD BE'!$AM$10+'TUSD BF'!$AM$10+'TUSD CVA'!$AM$10)*1*(1-0.02)</f>
        <v>50.510684974163915</v>
      </c>
      <c r="Z193" s="52"/>
      <c r="AA193" s="52"/>
      <c r="AB193" s="6">
        <f>$K$193*$V$193</f>
        <v>190545.984</v>
      </c>
      <c r="AC193" s="6">
        <f>$M$193*$W$193</f>
        <v>0</v>
      </c>
      <c r="AD193" s="6">
        <f>$O$193*$X$193</f>
        <v>0</v>
      </c>
      <c r="AE193" s="6">
        <f ca="1">$K$193*$Y$193</f>
        <v>220731.69333709631</v>
      </c>
      <c r="AF193" s="6">
        <f>$M$193*$Z$193</f>
        <v>0</v>
      </c>
      <c r="AG193" s="6">
        <f>$O$193*$AA$193</f>
        <v>0</v>
      </c>
    </row>
    <row r="194" spans="1:33" ht="11.25" customHeight="1" x14ac:dyDescent="0.25">
      <c r="A194" s="4" t="s">
        <v>28</v>
      </c>
      <c r="B194" s="4" t="s">
        <v>35</v>
      </c>
      <c r="C194" s="4" t="s">
        <v>36</v>
      </c>
      <c r="D194" s="4" t="s">
        <v>41</v>
      </c>
      <c r="E194" s="4" t="s">
        <v>49</v>
      </c>
      <c r="F194" s="4" t="s">
        <v>25</v>
      </c>
      <c r="G194" s="4" t="s">
        <v>25</v>
      </c>
      <c r="H194" s="4" t="s">
        <v>25</v>
      </c>
      <c r="I194" s="5">
        <v>44531</v>
      </c>
      <c r="J194" s="6">
        <v>130</v>
      </c>
      <c r="K194" s="52">
        <v>130</v>
      </c>
      <c r="L194" s="6">
        <v>0</v>
      </c>
      <c r="M194" s="52">
        <v>0</v>
      </c>
      <c r="N194" s="6">
        <v>0</v>
      </c>
      <c r="O194" s="52">
        <v>0</v>
      </c>
      <c r="P194" s="6">
        <v>1</v>
      </c>
      <c r="Q194" s="4" t="s">
        <v>26</v>
      </c>
      <c r="R194" s="4">
        <v>0</v>
      </c>
      <c r="S194" s="6">
        <v>11</v>
      </c>
      <c r="T194" s="6">
        <v>0</v>
      </c>
      <c r="U194" s="6">
        <v>0</v>
      </c>
      <c r="V194" s="52">
        <f>IF(ISERROR(VLOOKUP($S$194,'TAR FIN'!$A$1:$O$88,15,0)),0,VLOOKUP($S$194,'TAR FIN'!$A$1:$O$88,15,0))*(1-0.04)</f>
        <v>43.603200000000001</v>
      </c>
      <c r="W194" s="52">
        <f>IF(ISERROR(VLOOKUP($T$194,'TAR FIN'!$A$1:$O$88,15,0)),0,VLOOKUP($T$194,'TAR FIN'!$A$1:$O$88,15,0))</f>
        <v>0</v>
      </c>
      <c r="X194" s="52">
        <f>IF(ISERROR(VLOOKUP($U$194,'TAR FIN'!$A$1:$O$88,15,0)),0,VLOOKUP($U$194,'TAR FIN'!$A$1:$O$88,15,0))</f>
        <v>0</v>
      </c>
      <c r="Y194" s="52">
        <f ca="1">('TUSD BE'!$AM$10+'TUSD BF'!$AM$10+'TUSD CVA'!$AM$10)*1*(1-0.02)</f>
        <v>50.510684974163915</v>
      </c>
      <c r="Z194" s="52"/>
      <c r="AA194" s="52"/>
      <c r="AB194" s="6">
        <f>$K$194*$V$194</f>
        <v>5668.4160000000002</v>
      </c>
      <c r="AC194" s="6">
        <f>$M$194*$W$194</f>
        <v>0</v>
      </c>
      <c r="AD194" s="6">
        <f>$O$194*$X$194</f>
        <v>0</v>
      </c>
      <c r="AE194" s="6">
        <f ca="1">$K$194*$Y$194</f>
        <v>6566.3890466413086</v>
      </c>
      <c r="AF194" s="6">
        <f>$M$194*$Z$194</f>
        <v>0</v>
      </c>
      <c r="AG194" s="6">
        <f>$O$194*$AA$194</f>
        <v>0</v>
      </c>
    </row>
    <row r="195" spans="1:33" ht="11.25" customHeight="1" x14ac:dyDescent="0.25">
      <c r="A195" s="4" t="s">
        <v>21</v>
      </c>
      <c r="B195" s="4" t="s">
        <v>35</v>
      </c>
      <c r="C195" s="4" t="s">
        <v>36</v>
      </c>
      <c r="D195" s="4" t="s">
        <v>41</v>
      </c>
      <c r="E195" s="4" t="s">
        <v>49</v>
      </c>
      <c r="F195" s="4" t="s">
        <v>25</v>
      </c>
      <c r="G195" s="4" t="s">
        <v>25</v>
      </c>
      <c r="H195" s="4" t="s">
        <v>25</v>
      </c>
      <c r="I195" s="5">
        <v>44562</v>
      </c>
      <c r="J195" s="6">
        <v>4701</v>
      </c>
      <c r="K195" s="52">
        <v>4701</v>
      </c>
      <c r="L195" s="6">
        <v>0</v>
      </c>
      <c r="M195" s="52">
        <v>0</v>
      </c>
      <c r="N195" s="6">
        <v>0</v>
      </c>
      <c r="O195" s="52">
        <v>0</v>
      </c>
      <c r="P195" s="6">
        <v>24</v>
      </c>
      <c r="Q195" s="4" t="s">
        <v>26</v>
      </c>
      <c r="R195" s="4">
        <v>0</v>
      </c>
      <c r="S195" s="6">
        <v>11</v>
      </c>
      <c r="T195" s="6">
        <v>0</v>
      </c>
      <c r="U195" s="6">
        <v>0</v>
      </c>
      <c r="V195" s="52">
        <f>IF(ISERROR(VLOOKUP($S$195,'TAR FIN'!$A$1:$O$88,15,0)),0,VLOOKUP($S$195,'TAR FIN'!$A$1:$O$88,15,0))*(1-0.04)</f>
        <v>43.603200000000001</v>
      </c>
      <c r="W195" s="52">
        <f>IF(ISERROR(VLOOKUP($T$195,'TAR FIN'!$A$1:$O$88,15,0)),0,VLOOKUP($T$195,'TAR FIN'!$A$1:$O$88,15,0))</f>
        <v>0</v>
      </c>
      <c r="X195" s="52">
        <f>IF(ISERROR(VLOOKUP($U$195,'TAR FIN'!$A$1:$O$88,15,0)),0,VLOOKUP($U$195,'TAR FIN'!$A$1:$O$88,15,0))</f>
        <v>0</v>
      </c>
      <c r="Y195" s="52">
        <f ca="1">('TUSD BE'!$AM$10+'TUSD BF'!$AM$10+'TUSD CVA'!$AM$10)*1*(1-0.02)</f>
        <v>50.510684974163915</v>
      </c>
      <c r="Z195" s="52"/>
      <c r="AA195" s="52"/>
      <c r="AB195" s="6">
        <f>$K$195*$V$195</f>
        <v>204978.64319999999</v>
      </c>
      <c r="AC195" s="6">
        <f>$M$195*$W$195</f>
        <v>0</v>
      </c>
      <c r="AD195" s="6">
        <f>$O$195*$X$195</f>
        <v>0</v>
      </c>
      <c r="AE195" s="6">
        <f ca="1">$K$195*$Y$195</f>
        <v>237450.73006354456</v>
      </c>
      <c r="AF195" s="6">
        <f>$M$195*$Z$195</f>
        <v>0</v>
      </c>
      <c r="AG195" s="6">
        <f>$O$195*$AA$195</f>
        <v>0</v>
      </c>
    </row>
    <row r="196" spans="1:33" ht="11.25" customHeight="1" x14ac:dyDescent="0.25">
      <c r="A196" s="4" t="s">
        <v>28</v>
      </c>
      <c r="B196" s="4" t="s">
        <v>35</v>
      </c>
      <c r="C196" s="4" t="s">
        <v>36</v>
      </c>
      <c r="D196" s="4" t="s">
        <v>41</v>
      </c>
      <c r="E196" s="4" t="s">
        <v>49</v>
      </c>
      <c r="F196" s="4" t="s">
        <v>25</v>
      </c>
      <c r="G196" s="4" t="s">
        <v>25</v>
      </c>
      <c r="H196" s="4" t="s">
        <v>25</v>
      </c>
      <c r="I196" s="5">
        <v>44562</v>
      </c>
      <c r="J196" s="6">
        <v>130</v>
      </c>
      <c r="K196" s="52">
        <v>130</v>
      </c>
      <c r="L196" s="6">
        <v>0</v>
      </c>
      <c r="M196" s="52">
        <v>0</v>
      </c>
      <c r="N196" s="6">
        <v>0</v>
      </c>
      <c r="O196" s="52">
        <v>0</v>
      </c>
      <c r="P196" s="6">
        <v>1</v>
      </c>
      <c r="Q196" s="4" t="s">
        <v>26</v>
      </c>
      <c r="R196" s="4">
        <v>0</v>
      </c>
      <c r="S196" s="6">
        <v>11</v>
      </c>
      <c r="T196" s="6">
        <v>0</v>
      </c>
      <c r="U196" s="6">
        <v>0</v>
      </c>
      <c r="V196" s="52">
        <f>IF(ISERROR(VLOOKUP($S$196,'TAR FIN'!$A$1:$O$88,15,0)),0,VLOOKUP($S$196,'TAR FIN'!$A$1:$O$88,15,0))*(1-0.04)</f>
        <v>43.603200000000001</v>
      </c>
      <c r="W196" s="52">
        <f>IF(ISERROR(VLOOKUP($T$196,'TAR FIN'!$A$1:$O$88,15,0)),0,VLOOKUP($T$196,'TAR FIN'!$A$1:$O$88,15,0))</f>
        <v>0</v>
      </c>
      <c r="X196" s="52">
        <f>IF(ISERROR(VLOOKUP($U$196,'TAR FIN'!$A$1:$O$88,15,0)),0,VLOOKUP($U$196,'TAR FIN'!$A$1:$O$88,15,0))</f>
        <v>0</v>
      </c>
      <c r="Y196" s="52">
        <f ca="1">('TUSD BE'!$AM$10+'TUSD BF'!$AM$10+'TUSD CVA'!$AM$10)*1*(1-0.02)</f>
        <v>50.510684974163915</v>
      </c>
      <c r="Z196" s="52"/>
      <c r="AA196" s="52"/>
      <c r="AB196" s="6">
        <f>$K$196*$V$196</f>
        <v>5668.4160000000002</v>
      </c>
      <c r="AC196" s="6">
        <f>$M$196*$W$196</f>
        <v>0</v>
      </c>
      <c r="AD196" s="6">
        <f>$O$196*$X$196</f>
        <v>0</v>
      </c>
      <c r="AE196" s="6">
        <f ca="1">$K$196*$Y$196</f>
        <v>6566.3890466413086</v>
      </c>
      <c r="AF196" s="6">
        <f>$M$196*$Z$196</f>
        <v>0</v>
      </c>
      <c r="AG196" s="6">
        <f>$O$196*$AA$196</f>
        <v>0</v>
      </c>
    </row>
    <row r="197" spans="1:33" ht="11.25" customHeight="1" x14ac:dyDescent="0.25">
      <c r="A197" s="4" t="s">
        <v>21</v>
      </c>
      <c r="B197" s="4" t="s">
        <v>35</v>
      </c>
      <c r="C197" s="4" t="s">
        <v>36</v>
      </c>
      <c r="D197" s="4" t="s">
        <v>41</v>
      </c>
      <c r="E197" s="4" t="s">
        <v>49</v>
      </c>
      <c r="F197" s="4" t="s">
        <v>25</v>
      </c>
      <c r="G197" s="4" t="s">
        <v>25</v>
      </c>
      <c r="H197" s="4" t="s">
        <v>25</v>
      </c>
      <c r="I197" s="5">
        <v>44593</v>
      </c>
      <c r="J197" s="6">
        <v>5370</v>
      </c>
      <c r="K197" s="52">
        <v>5370</v>
      </c>
      <c r="L197" s="6">
        <v>0</v>
      </c>
      <c r="M197" s="52">
        <v>0</v>
      </c>
      <c r="N197" s="6">
        <v>0</v>
      </c>
      <c r="O197" s="52">
        <v>0</v>
      </c>
      <c r="P197" s="6">
        <v>25</v>
      </c>
      <c r="Q197" s="4" t="s">
        <v>26</v>
      </c>
      <c r="R197" s="4">
        <v>0</v>
      </c>
      <c r="S197" s="6">
        <v>11</v>
      </c>
      <c r="T197" s="6">
        <v>0</v>
      </c>
      <c r="U197" s="6">
        <v>0</v>
      </c>
      <c r="V197" s="52">
        <f>IF(ISERROR(VLOOKUP($S$197,'TAR FIN'!$A$1:$O$88,15,0)),0,VLOOKUP($S$197,'TAR FIN'!$A$1:$O$88,15,0))*(1-0.04)</f>
        <v>43.603200000000001</v>
      </c>
      <c r="W197" s="52">
        <f>IF(ISERROR(VLOOKUP($T$197,'TAR FIN'!$A$1:$O$88,15,0)),0,VLOOKUP($T$197,'TAR FIN'!$A$1:$O$88,15,0))</f>
        <v>0</v>
      </c>
      <c r="X197" s="52">
        <f>IF(ISERROR(VLOOKUP($U$197,'TAR FIN'!$A$1:$O$88,15,0)),0,VLOOKUP($U$197,'TAR FIN'!$A$1:$O$88,15,0))</f>
        <v>0</v>
      </c>
      <c r="Y197" s="52">
        <f ca="1">('TUSD BE'!$AM$10+'TUSD BF'!$AM$10+'TUSD CVA'!$AM$10)*1*(1-0.02)</f>
        <v>50.510684974163915</v>
      </c>
      <c r="Z197" s="52"/>
      <c r="AA197" s="52"/>
      <c r="AB197" s="6">
        <f>$K$197*$V$197</f>
        <v>234149.18400000001</v>
      </c>
      <c r="AC197" s="6">
        <f>$M$197*$W$197</f>
        <v>0</v>
      </c>
      <c r="AD197" s="6">
        <f>$O$197*$X$197</f>
        <v>0</v>
      </c>
      <c r="AE197" s="6">
        <f ca="1">$K$197*$Y$197</f>
        <v>271242.3783112602</v>
      </c>
      <c r="AF197" s="6">
        <f>$M$197*$Z$197</f>
        <v>0</v>
      </c>
      <c r="AG197" s="6">
        <f>$O$197*$AA$197</f>
        <v>0</v>
      </c>
    </row>
    <row r="198" spans="1:33" ht="11.25" customHeight="1" x14ac:dyDescent="0.25">
      <c r="A198" s="4" t="s">
        <v>28</v>
      </c>
      <c r="B198" s="4" t="s">
        <v>35</v>
      </c>
      <c r="C198" s="4" t="s">
        <v>36</v>
      </c>
      <c r="D198" s="4" t="s">
        <v>41</v>
      </c>
      <c r="E198" s="4" t="s">
        <v>49</v>
      </c>
      <c r="F198" s="4" t="s">
        <v>25</v>
      </c>
      <c r="G198" s="4" t="s">
        <v>25</v>
      </c>
      <c r="H198" s="4" t="s">
        <v>25</v>
      </c>
      <c r="I198" s="5">
        <v>44593</v>
      </c>
      <c r="J198" s="6">
        <v>202</v>
      </c>
      <c r="K198" s="52">
        <v>202</v>
      </c>
      <c r="L198" s="6">
        <v>0</v>
      </c>
      <c r="M198" s="52">
        <v>0</v>
      </c>
      <c r="N198" s="6">
        <v>0</v>
      </c>
      <c r="O198" s="52">
        <v>0</v>
      </c>
      <c r="P198" s="6">
        <v>2</v>
      </c>
      <c r="Q198" s="4" t="s">
        <v>26</v>
      </c>
      <c r="R198" s="4">
        <v>0</v>
      </c>
      <c r="S198" s="6">
        <v>11</v>
      </c>
      <c r="T198" s="6">
        <v>0</v>
      </c>
      <c r="U198" s="6">
        <v>0</v>
      </c>
      <c r="V198" s="52">
        <f>IF(ISERROR(VLOOKUP($S$198,'TAR FIN'!$A$1:$O$88,15,0)),0,VLOOKUP($S$198,'TAR FIN'!$A$1:$O$88,15,0))*(1-0.04)</f>
        <v>43.603200000000001</v>
      </c>
      <c r="W198" s="52">
        <f>IF(ISERROR(VLOOKUP($T$198,'TAR FIN'!$A$1:$O$88,15,0)),0,VLOOKUP($T$198,'TAR FIN'!$A$1:$O$88,15,0))</f>
        <v>0</v>
      </c>
      <c r="X198" s="52">
        <f>IF(ISERROR(VLOOKUP($U$198,'TAR FIN'!$A$1:$O$88,15,0)),0,VLOOKUP($U$198,'TAR FIN'!$A$1:$O$88,15,0))</f>
        <v>0</v>
      </c>
      <c r="Y198" s="52">
        <f ca="1">('TUSD BE'!$AM$10+'TUSD BF'!$AM$10+'TUSD CVA'!$AM$10)*1*(1-0.02)</f>
        <v>50.510684974163915</v>
      </c>
      <c r="Z198" s="52"/>
      <c r="AA198" s="52"/>
      <c r="AB198" s="6">
        <f>$K$198*$V$198</f>
        <v>8807.8464000000004</v>
      </c>
      <c r="AC198" s="6">
        <f>$M$198*$W$198</f>
        <v>0</v>
      </c>
      <c r="AD198" s="6">
        <f>$O$198*$X$198</f>
        <v>0</v>
      </c>
      <c r="AE198" s="6">
        <f ca="1">$K$198*$Y$198</f>
        <v>10203.158364781111</v>
      </c>
      <c r="AF198" s="6">
        <f>$M$198*$Z$198</f>
        <v>0</v>
      </c>
      <c r="AG198" s="6">
        <f>$O$198*$AA$198</f>
        <v>0</v>
      </c>
    </row>
    <row r="199" spans="1:33" ht="11.25" customHeight="1" x14ac:dyDescent="0.25">
      <c r="A199" s="4" t="s">
        <v>21</v>
      </c>
      <c r="B199" s="4" t="s">
        <v>35</v>
      </c>
      <c r="C199" s="4" t="s">
        <v>36</v>
      </c>
      <c r="D199" s="4" t="s">
        <v>41</v>
      </c>
      <c r="E199" s="4" t="s">
        <v>49</v>
      </c>
      <c r="F199" s="4" t="s">
        <v>25</v>
      </c>
      <c r="G199" s="4" t="s">
        <v>25</v>
      </c>
      <c r="H199" s="4" t="s">
        <v>25</v>
      </c>
      <c r="I199" s="5">
        <v>44621</v>
      </c>
      <c r="J199" s="6">
        <v>3986</v>
      </c>
      <c r="K199" s="52">
        <v>3986</v>
      </c>
      <c r="L199" s="6">
        <v>0</v>
      </c>
      <c r="M199" s="52">
        <v>0</v>
      </c>
      <c r="N199" s="6">
        <v>0</v>
      </c>
      <c r="O199" s="52">
        <v>0</v>
      </c>
      <c r="P199" s="6">
        <v>23</v>
      </c>
      <c r="Q199" s="4" t="s">
        <v>26</v>
      </c>
      <c r="R199" s="4">
        <v>0</v>
      </c>
      <c r="S199" s="6">
        <v>11</v>
      </c>
      <c r="T199" s="6">
        <v>0</v>
      </c>
      <c r="U199" s="6">
        <v>0</v>
      </c>
      <c r="V199" s="52">
        <f>IF(ISERROR(VLOOKUP($S$199,'TAR FIN'!$A$1:$O$88,15,0)),0,VLOOKUP($S$199,'TAR FIN'!$A$1:$O$88,15,0))*(1-0.04)</f>
        <v>43.603200000000001</v>
      </c>
      <c r="W199" s="52">
        <f>IF(ISERROR(VLOOKUP($T$199,'TAR FIN'!$A$1:$O$88,15,0)),0,VLOOKUP($T$199,'TAR FIN'!$A$1:$O$88,15,0))</f>
        <v>0</v>
      </c>
      <c r="X199" s="52">
        <f>IF(ISERROR(VLOOKUP($U$199,'TAR FIN'!$A$1:$O$88,15,0)),0,VLOOKUP($U$199,'TAR FIN'!$A$1:$O$88,15,0))</f>
        <v>0</v>
      </c>
      <c r="Y199" s="52">
        <f ca="1">('TUSD BE'!$AM$10+'TUSD BF'!$AM$10+'TUSD CVA'!$AM$10)*1*(1-0.02)</f>
        <v>50.510684974163915</v>
      </c>
      <c r="Z199" s="52"/>
      <c r="AA199" s="52"/>
      <c r="AB199" s="6">
        <f>$K$199*$V$199</f>
        <v>173802.35519999999</v>
      </c>
      <c r="AC199" s="6">
        <f>$M$199*$W$199</f>
        <v>0</v>
      </c>
      <c r="AD199" s="6">
        <f>$O$199*$X$199</f>
        <v>0</v>
      </c>
      <c r="AE199" s="6">
        <f ca="1">$K$199*$Y$199</f>
        <v>201335.59030701735</v>
      </c>
      <c r="AF199" s="6">
        <f>$M$199*$Z$199</f>
        <v>0</v>
      </c>
      <c r="AG199" s="6">
        <f>$O$199*$AA$199</f>
        <v>0</v>
      </c>
    </row>
    <row r="200" spans="1:33" ht="11.25" customHeight="1" x14ac:dyDescent="0.25">
      <c r="A200" s="4" t="s">
        <v>27</v>
      </c>
      <c r="B200" s="4" t="s">
        <v>35</v>
      </c>
      <c r="C200" s="4" t="s">
        <v>36</v>
      </c>
      <c r="D200" s="4" t="s">
        <v>41</v>
      </c>
      <c r="E200" s="4" t="s">
        <v>49</v>
      </c>
      <c r="F200" s="4" t="s">
        <v>25</v>
      </c>
      <c r="G200" s="4" t="s">
        <v>25</v>
      </c>
      <c r="H200" s="4" t="s">
        <v>25</v>
      </c>
      <c r="I200" s="5">
        <v>44621</v>
      </c>
      <c r="J200" s="6">
        <v>-348</v>
      </c>
      <c r="K200" s="52">
        <v>-348</v>
      </c>
      <c r="L200" s="6">
        <v>0</v>
      </c>
      <c r="M200" s="52">
        <v>0</v>
      </c>
      <c r="N200" s="6">
        <v>0</v>
      </c>
      <c r="O200" s="52">
        <v>0</v>
      </c>
      <c r="P200" s="6">
        <v>0</v>
      </c>
      <c r="Q200" s="4" t="s">
        <v>26</v>
      </c>
      <c r="R200" s="4">
        <v>0</v>
      </c>
      <c r="S200" s="6">
        <v>11</v>
      </c>
      <c r="T200" s="6">
        <v>0</v>
      </c>
      <c r="U200" s="6">
        <v>0</v>
      </c>
      <c r="V200" s="52">
        <f>IF(ISERROR(VLOOKUP($S$200,'TAR FIN'!$A$1:$O$88,15,0)),0,VLOOKUP($S$200,'TAR FIN'!$A$1:$O$88,15,0))*(1-0.04)</f>
        <v>43.603200000000001</v>
      </c>
      <c r="W200" s="52">
        <f>IF(ISERROR(VLOOKUP($T$200,'TAR FIN'!$A$1:$O$88,15,0)),0,VLOOKUP($T$200,'TAR FIN'!$A$1:$O$88,15,0))</f>
        <v>0</v>
      </c>
      <c r="X200" s="52">
        <f>IF(ISERROR(VLOOKUP($U$200,'TAR FIN'!$A$1:$O$88,15,0)),0,VLOOKUP($U$200,'TAR FIN'!$A$1:$O$88,15,0))</f>
        <v>0</v>
      </c>
      <c r="Y200" s="52">
        <f ca="1">('TUSD BE'!$AM$10+'TUSD BF'!$AM$10+'TUSD CVA'!$AM$10)*1*(1-0.02)</f>
        <v>50.510684974163915</v>
      </c>
      <c r="Z200" s="52"/>
      <c r="AA200" s="52"/>
      <c r="AB200" s="6">
        <f>$K$200*$V$200</f>
        <v>-15173.9136</v>
      </c>
      <c r="AC200" s="6">
        <f>$M$200*$W$200</f>
        <v>0</v>
      </c>
      <c r="AD200" s="6">
        <f>$O$200*$X$200</f>
        <v>0</v>
      </c>
      <c r="AE200" s="6">
        <f ca="1">$K$200*$Y$200</f>
        <v>-17577.718371009043</v>
      </c>
      <c r="AF200" s="6">
        <f>$M$200*$Z$200</f>
        <v>0</v>
      </c>
      <c r="AG200" s="6">
        <f>$O$200*$AA$200</f>
        <v>0</v>
      </c>
    </row>
    <row r="201" spans="1:33" ht="11.25" customHeight="1" x14ac:dyDescent="0.25">
      <c r="A201" s="4" t="s">
        <v>28</v>
      </c>
      <c r="B201" s="4" t="s">
        <v>35</v>
      </c>
      <c r="C201" s="4" t="s">
        <v>36</v>
      </c>
      <c r="D201" s="4" t="s">
        <v>41</v>
      </c>
      <c r="E201" s="4" t="s">
        <v>49</v>
      </c>
      <c r="F201" s="4" t="s">
        <v>25</v>
      </c>
      <c r="G201" s="4" t="s">
        <v>25</v>
      </c>
      <c r="H201" s="4" t="s">
        <v>25</v>
      </c>
      <c r="I201" s="5">
        <v>44621</v>
      </c>
      <c r="J201" s="6">
        <v>148</v>
      </c>
      <c r="K201" s="52">
        <v>148</v>
      </c>
      <c r="L201" s="6">
        <v>0</v>
      </c>
      <c r="M201" s="52">
        <v>0</v>
      </c>
      <c r="N201" s="6">
        <v>0</v>
      </c>
      <c r="O201" s="52">
        <v>0</v>
      </c>
      <c r="P201" s="6">
        <v>3</v>
      </c>
      <c r="Q201" s="4" t="s">
        <v>26</v>
      </c>
      <c r="R201" s="4">
        <v>0</v>
      </c>
      <c r="S201" s="6">
        <v>11</v>
      </c>
      <c r="T201" s="6">
        <v>0</v>
      </c>
      <c r="U201" s="6">
        <v>0</v>
      </c>
      <c r="V201" s="52">
        <f>IF(ISERROR(VLOOKUP($S$201,'TAR FIN'!$A$1:$O$88,15,0)),0,VLOOKUP($S$201,'TAR FIN'!$A$1:$O$88,15,0))*(1-0.04)</f>
        <v>43.603200000000001</v>
      </c>
      <c r="W201" s="52">
        <f>IF(ISERROR(VLOOKUP($T$201,'TAR FIN'!$A$1:$O$88,15,0)),0,VLOOKUP($T$201,'TAR FIN'!$A$1:$O$88,15,0))</f>
        <v>0</v>
      </c>
      <c r="X201" s="52">
        <f>IF(ISERROR(VLOOKUP($U$201,'TAR FIN'!$A$1:$O$88,15,0)),0,VLOOKUP($U$201,'TAR FIN'!$A$1:$O$88,15,0))</f>
        <v>0</v>
      </c>
      <c r="Y201" s="52">
        <f ca="1">('TUSD BE'!$AM$10+'TUSD BF'!$AM$10+'TUSD CVA'!$AM$10)*1*(1-0.02)</f>
        <v>50.510684974163915</v>
      </c>
      <c r="Z201" s="52"/>
      <c r="AA201" s="52"/>
      <c r="AB201" s="6">
        <f>$K$201*$V$201</f>
        <v>6453.2736000000004</v>
      </c>
      <c r="AC201" s="6">
        <f>$M$201*$W$201</f>
        <v>0</v>
      </c>
      <c r="AD201" s="6">
        <f>$O$201*$X$201</f>
        <v>0</v>
      </c>
      <c r="AE201" s="6">
        <f ca="1">$K$201*$Y$201</f>
        <v>7475.5813761762593</v>
      </c>
      <c r="AF201" s="6">
        <f>$M$201*$Z$201</f>
        <v>0</v>
      </c>
      <c r="AG201" s="6">
        <f>$O$201*$AA$201</f>
        <v>0</v>
      </c>
    </row>
    <row r="202" spans="1:33" ht="11.25" customHeight="1" x14ac:dyDescent="0.25">
      <c r="A202" s="4" t="s">
        <v>21</v>
      </c>
      <c r="B202" s="4" t="s">
        <v>35</v>
      </c>
      <c r="C202" s="4" t="s">
        <v>36</v>
      </c>
      <c r="D202" s="4" t="s">
        <v>41</v>
      </c>
      <c r="E202" s="4" t="s">
        <v>49</v>
      </c>
      <c r="F202" s="4" t="s">
        <v>25</v>
      </c>
      <c r="G202" s="4" t="s">
        <v>25</v>
      </c>
      <c r="H202" s="4" t="s">
        <v>25</v>
      </c>
      <c r="I202" s="5">
        <v>44652</v>
      </c>
      <c r="J202" s="6">
        <v>5013</v>
      </c>
      <c r="K202" s="52">
        <v>5013</v>
      </c>
      <c r="L202" s="6">
        <v>0</v>
      </c>
      <c r="M202" s="52">
        <v>0</v>
      </c>
      <c r="N202" s="6">
        <v>0</v>
      </c>
      <c r="O202" s="52">
        <v>0</v>
      </c>
      <c r="P202" s="6">
        <v>25</v>
      </c>
      <c r="Q202" s="4" t="s">
        <v>26</v>
      </c>
      <c r="R202" s="4">
        <v>0</v>
      </c>
      <c r="S202" s="6">
        <v>11</v>
      </c>
      <c r="T202" s="6">
        <v>0</v>
      </c>
      <c r="U202" s="6">
        <v>0</v>
      </c>
      <c r="V202" s="52">
        <f>IF(ISERROR(VLOOKUP($S$202,'TAR FIN'!$A$1:$O$88,15,0)),0,VLOOKUP($S$202,'TAR FIN'!$A$1:$O$88,15,0))*(1-0.04)</f>
        <v>43.603200000000001</v>
      </c>
      <c r="W202" s="52">
        <f>IF(ISERROR(VLOOKUP($T$202,'TAR FIN'!$A$1:$O$88,15,0)),0,VLOOKUP($T$202,'TAR FIN'!$A$1:$O$88,15,0))</f>
        <v>0</v>
      </c>
      <c r="X202" s="52">
        <f>IF(ISERROR(VLOOKUP($U$202,'TAR FIN'!$A$1:$O$88,15,0)),0,VLOOKUP($U$202,'TAR FIN'!$A$1:$O$88,15,0))</f>
        <v>0</v>
      </c>
      <c r="Y202" s="52">
        <f ca="1">('TUSD BE'!$AM$10+'TUSD BF'!$AM$10+'TUSD CVA'!$AM$10)*1*(1-0.02)</f>
        <v>50.510684974163915</v>
      </c>
      <c r="Z202" s="52"/>
      <c r="AA202" s="52"/>
      <c r="AB202" s="6">
        <f>$K$202*$V$202</f>
        <v>218582.84160000001</v>
      </c>
      <c r="AC202" s="6">
        <f>$M$202*$W$202</f>
        <v>0</v>
      </c>
      <c r="AD202" s="6">
        <f>$O$202*$X$202</f>
        <v>0</v>
      </c>
      <c r="AE202" s="6">
        <f ca="1">$K$202*$Y$202</f>
        <v>253210.06377548369</v>
      </c>
      <c r="AF202" s="6">
        <f>$M$202*$Z$202</f>
        <v>0</v>
      </c>
      <c r="AG202" s="6">
        <f>$O$202*$AA$202</f>
        <v>0</v>
      </c>
    </row>
    <row r="203" spans="1:33" ht="11.25" customHeight="1" x14ac:dyDescent="0.25">
      <c r="A203" s="4" t="s">
        <v>28</v>
      </c>
      <c r="B203" s="4" t="s">
        <v>35</v>
      </c>
      <c r="C203" s="4" t="s">
        <v>36</v>
      </c>
      <c r="D203" s="4" t="s">
        <v>41</v>
      </c>
      <c r="E203" s="4" t="s">
        <v>49</v>
      </c>
      <c r="F203" s="4" t="s">
        <v>25</v>
      </c>
      <c r="G203" s="4" t="s">
        <v>25</v>
      </c>
      <c r="H203" s="4" t="s">
        <v>25</v>
      </c>
      <c r="I203" s="5">
        <v>44652</v>
      </c>
      <c r="J203" s="6">
        <v>18</v>
      </c>
      <c r="K203" s="52">
        <v>18</v>
      </c>
      <c r="L203" s="6">
        <v>0</v>
      </c>
      <c r="M203" s="52">
        <v>0</v>
      </c>
      <c r="N203" s="6">
        <v>0</v>
      </c>
      <c r="O203" s="52">
        <v>0</v>
      </c>
      <c r="P203" s="6">
        <v>2</v>
      </c>
      <c r="Q203" s="4" t="s">
        <v>26</v>
      </c>
      <c r="R203" s="4">
        <v>0</v>
      </c>
      <c r="S203" s="6">
        <v>11</v>
      </c>
      <c r="T203" s="6">
        <v>0</v>
      </c>
      <c r="U203" s="6">
        <v>0</v>
      </c>
      <c r="V203" s="52">
        <f>IF(ISERROR(VLOOKUP($S$203,'TAR FIN'!$A$1:$O$88,15,0)),0,VLOOKUP($S$203,'TAR FIN'!$A$1:$O$88,15,0))*(1-0.04)</f>
        <v>43.603200000000001</v>
      </c>
      <c r="W203" s="52">
        <f>IF(ISERROR(VLOOKUP($T$203,'TAR FIN'!$A$1:$O$88,15,0)),0,VLOOKUP($T$203,'TAR FIN'!$A$1:$O$88,15,0))</f>
        <v>0</v>
      </c>
      <c r="X203" s="52">
        <f>IF(ISERROR(VLOOKUP($U$203,'TAR FIN'!$A$1:$O$88,15,0)),0,VLOOKUP($U$203,'TAR FIN'!$A$1:$O$88,15,0))</f>
        <v>0</v>
      </c>
      <c r="Y203" s="52">
        <f ca="1">('TUSD BE'!$AM$10+'TUSD BF'!$AM$10+'TUSD CVA'!$AM$10)*1*(1-0.02)</f>
        <v>50.510684974163915</v>
      </c>
      <c r="Z203" s="52"/>
      <c r="AA203" s="52"/>
      <c r="AB203" s="6">
        <f>$K$203*$V$203</f>
        <v>784.85760000000005</v>
      </c>
      <c r="AC203" s="6">
        <f>$M$203*$W$203</f>
        <v>0</v>
      </c>
      <c r="AD203" s="6">
        <f>$O$203*$X$203</f>
        <v>0</v>
      </c>
      <c r="AE203" s="6">
        <f ca="1">$K$203*$Y$203</f>
        <v>909.19232953495043</v>
      </c>
      <c r="AF203" s="6">
        <f>$M$203*$Z$203</f>
        <v>0</v>
      </c>
      <c r="AG203" s="6">
        <f>$O$203*$AA$203</f>
        <v>0</v>
      </c>
    </row>
    <row r="204" spans="1:33" ht="11.25" customHeight="1" x14ac:dyDescent="0.25">
      <c r="A204" s="4" t="s">
        <v>21</v>
      </c>
      <c r="B204" s="4" t="s">
        <v>35</v>
      </c>
      <c r="C204" s="4" t="s">
        <v>36</v>
      </c>
      <c r="D204" s="4" t="s">
        <v>41</v>
      </c>
      <c r="E204" s="4" t="s">
        <v>49</v>
      </c>
      <c r="F204" s="4" t="s">
        <v>25</v>
      </c>
      <c r="G204" s="4" t="s">
        <v>25</v>
      </c>
      <c r="H204" s="4" t="s">
        <v>25</v>
      </c>
      <c r="I204" s="5">
        <v>44682</v>
      </c>
      <c r="J204" s="6">
        <v>637</v>
      </c>
      <c r="K204" s="52">
        <v>637</v>
      </c>
      <c r="L204" s="6">
        <v>0</v>
      </c>
      <c r="M204" s="52">
        <v>0</v>
      </c>
      <c r="N204" s="6">
        <v>0</v>
      </c>
      <c r="O204" s="52">
        <v>0</v>
      </c>
      <c r="P204" s="6">
        <v>24</v>
      </c>
      <c r="Q204" s="4" t="s">
        <v>26</v>
      </c>
      <c r="R204" s="4">
        <v>0</v>
      </c>
      <c r="S204" s="6">
        <v>11</v>
      </c>
      <c r="T204" s="6">
        <v>0</v>
      </c>
      <c r="U204" s="6">
        <v>0</v>
      </c>
      <c r="V204" s="52">
        <f>IF(ISERROR(VLOOKUP($S$204,'TAR FIN'!$A$1:$O$88,15,0)),0,VLOOKUP($S$204,'TAR FIN'!$A$1:$O$88,15,0))*(1-0.04)</f>
        <v>43.603200000000001</v>
      </c>
      <c r="W204" s="52">
        <f>IF(ISERROR(VLOOKUP($T$204,'TAR FIN'!$A$1:$O$88,15,0)),0,VLOOKUP($T$204,'TAR FIN'!$A$1:$O$88,15,0))</f>
        <v>0</v>
      </c>
      <c r="X204" s="52">
        <f>IF(ISERROR(VLOOKUP($U$204,'TAR FIN'!$A$1:$O$88,15,0)),0,VLOOKUP($U$204,'TAR FIN'!$A$1:$O$88,15,0))</f>
        <v>0</v>
      </c>
      <c r="Y204" s="52">
        <f ca="1">('TUSD BE'!$AM$10+'TUSD BF'!$AM$10+'TUSD CVA'!$AM$10)*1*(1-0.02)</f>
        <v>50.510684974163915</v>
      </c>
      <c r="Z204" s="52"/>
      <c r="AA204" s="52"/>
      <c r="AB204" s="6">
        <f>$K$204*$V$204</f>
        <v>27775.238400000002</v>
      </c>
      <c r="AC204" s="6">
        <f>$M$204*$W$204</f>
        <v>0</v>
      </c>
      <c r="AD204" s="6">
        <f>$O$204*$X$204</f>
        <v>0</v>
      </c>
      <c r="AE204" s="6">
        <f ca="1">$K$204*$Y$204</f>
        <v>32175.306328542414</v>
      </c>
      <c r="AF204" s="6">
        <f>$M$204*$Z$204</f>
        <v>0</v>
      </c>
      <c r="AG204" s="6">
        <f>$O$204*$AA$204</f>
        <v>0</v>
      </c>
    </row>
    <row r="205" spans="1:33" ht="11.25" customHeight="1" x14ac:dyDescent="0.25">
      <c r="A205" s="4" t="s">
        <v>27</v>
      </c>
      <c r="B205" s="4" t="s">
        <v>35</v>
      </c>
      <c r="C205" s="4" t="s">
        <v>36</v>
      </c>
      <c r="D205" s="4" t="s">
        <v>41</v>
      </c>
      <c r="E205" s="4" t="s">
        <v>49</v>
      </c>
      <c r="F205" s="4" t="s">
        <v>25</v>
      </c>
      <c r="G205" s="4" t="s">
        <v>25</v>
      </c>
      <c r="H205" s="4" t="s">
        <v>25</v>
      </c>
      <c r="I205" s="5">
        <v>44682</v>
      </c>
      <c r="J205" s="6">
        <v>-3781</v>
      </c>
      <c r="K205" s="52">
        <v>-3781</v>
      </c>
      <c r="L205" s="6">
        <v>0</v>
      </c>
      <c r="M205" s="52">
        <v>0</v>
      </c>
      <c r="N205" s="6">
        <v>0</v>
      </c>
      <c r="O205" s="52">
        <v>0</v>
      </c>
      <c r="P205" s="6">
        <v>0</v>
      </c>
      <c r="Q205" s="4" t="s">
        <v>26</v>
      </c>
      <c r="R205" s="4">
        <v>0</v>
      </c>
      <c r="S205" s="6">
        <v>11</v>
      </c>
      <c r="T205" s="6">
        <v>0</v>
      </c>
      <c r="U205" s="6">
        <v>0</v>
      </c>
      <c r="V205" s="52">
        <f>IF(ISERROR(VLOOKUP($S$205,'TAR FIN'!$A$1:$O$88,15,0)),0,VLOOKUP($S$205,'TAR FIN'!$A$1:$O$88,15,0))*(1-0.04)</f>
        <v>43.603200000000001</v>
      </c>
      <c r="W205" s="52">
        <f>IF(ISERROR(VLOOKUP($T$205,'TAR FIN'!$A$1:$O$88,15,0)),0,VLOOKUP($T$205,'TAR FIN'!$A$1:$O$88,15,0))</f>
        <v>0</v>
      </c>
      <c r="X205" s="52">
        <f>IF(ISERROR(VLOOKUP($U$205,'TAR FIN'!$A$1:$O$88,15,0)),0,VLOOKUP($U$205,'TAR FIN'!$A$1:$O$88,15,0))</f>
        <v>0</v>
      </c>
      <c r="Y205" s="52">
        <f ca="1">('TUSD BE'!$AM$10+'TUSD BF'!$AM$10+'TUSD CVA'!$AM$10)*1*(1-0.02)</f>
        <v>50.510684974163915</v>
      </c>
      <c r="Z205" s="52"/>
      <c r="AA205" s="52"/>
      <c r="AB205" s="6">
        <f>$K$205*$V$205</f>
        <v>-164863.6992</v>
      </c>
      <c r="AC205" s="6">
        <f>$M$205*$W$205</f>
        <v>0</v>
      </c>
      <c r="AD205" s="6">
        <f>$O$205*$X$205</f>
        <v>0</v>
      </c>
      <c r="AE205" s="6">
        <f ca="1">$K$205*$Y$205</f>
        <v>-190980.89988731378</v>
      </c>
      <c r="AF205" s="6">
        <f>$M$205*$Z$205</f>
        <v>0</v>
      </c>
      <c r="AG205" s="6">
        <f>$O$205*$AA$205</f>
        <v>0</v>
      </c>
    </row>
    <row r="206" spans="1:33" ht="11.25" customHeight="1" x14ac:dyDescent="0.25">
      <c r="A206" s="4" t="s">
        <v>28</v>
      </c>
      <c r="B206" s="4" t="s">
        <v>35</v>
      </c>
      <c r="C206" s="4" t="s">
        <v>36</v>
      </c>
      <c r="D206" s="4" t="s">
        <v>41</v>
      </c>
      <c r="E206" s="4" t="s">
        <v>49</v>
      </c>
      <c r="F206" s="4" t="s">
        <v>25</v>
      </c>
      <c r="G206" s="4" t="s">
        <v>25</v>
      </c>
      <c r="H206" s="4" t="s">
        <v>25</v>
      </c>
      <c r="I206" s="5">
        <v>44682</v>
      </c>
      <c r="J206" s="6">
        <v>44</v>
      </c>
      <c r="K206" s="52">
        <v>44</v>
      </c>
      <c r="L206" s="6">
        <v>0</v>
      </c>
      <c r="M206" s="52">
        <v>0</v>
      </c>
      <c r="N206" s="6">
        <v>0</v>
      </c>
      <c r="O206" s="52">
        <v>0</v>
      </c>
      <c r="P206" s="6">
        <v>3</v>
      </c>
      <c r="Q206" s="4" t="s">
        <v>26</v>
      </c>
      <c r="R206" s="4">
        <v>0</v>
      </c>
      <c r="S206" s="6">
        <v>11</v>
      </c>
      <c r="T206" s="6">
        <v>0</v>
      </c>
      <c r="U206" s="6">
        <v>0</v>
      </c>
      <c r="V206" s="52">
        <f>IF(ISERROR(VLOOKUP($S$206,'TAR FIN'!$A$1:$O$88,15,0)),0,VLOOKUP($S$206,'TAR FIN'!$A$1:$O$88,15,0))*(1-0.04)</f>
        <v>43.603200000000001</v>
      </c>
      <c r="W206" s="52">
        <f>IF(ISERROR(VLOOKUP($T$206,'TAR FIN'!$A$1:$O$88,15,0)),0,VLOOKUP($T$206,'TAR FIN'!$A$1:$O$88,15,0))</f>
        <v>0</v>
      </c>
      <c r="X206" s="52">
        <f>IF(ISERROR(VLOOKUP($U$206,'TAR FIN'!$A$1:$O$88,15,0)),0,VLOOKUP($U$206,'TAR FIN'!$A$1:$O$88,15,0))</f>
        <v>0</v>
      </c>
      <c r="Y206" s="52">
        <f ca="1">('TUSD BE'!$AM$10+'TUSD BF'!$AM$10+'TUSD CVA'!$AM$10)*1*(1-0.02)</f>
        <v>50.510684974163915</v>
      </c>
      <c r="Z206" s="52"/>
      <c r="AA206" s="52"/>
      <c r="AB206" s="6">
        <f>$K$206*$V$206</f>
        <v>1918.5408</v>
      </c>
      <c r="AC206" s="6">
        <f>$M$206*$W$206</f>
        <v>0</v>
      </c>
      <c r="AD206" s="6">
        <f>$O$206*$X$206</f>
        <v>0</v>
      </c>
      <c r="AE206" s="6">
        <f ca="1">$K$206*$Y$206</f>
        <v>2222.4701388632125</v>
      </c>
      <c r="AF206" s="6">
        <f>$M$206*$Z$206</f>
        <v>0</v>
      </c>
      <c r="AG206" s="6">
        <f>$O$206*$AA$206</f>
        <v>0</v>
      </c>
    </row>
    <row r="207" spans="1:33" ht="11.25" customHeight="1" x14ac:dyDescent="0.25">
      <c r="A207" s="4" t="s">
        <v>21</v>
      </c>
      <c r="B207" s="4" t="s">
        <v>35</v>
      </c>
      <c r="C207" s="4" t="s">
        <v>36</v>
      </c>
      <c r="D207" s="4" t="s">
        <v>41</v>
      </c>
      <c r="E207" s="4" t="s">
        <v>49</v>
      </c>
      <c r="F207" s="4" t="s">
        <v>25</v>
      </c>
      <c r="G207" s="4" t="s">
        <v>25</v>
      </c>
      <c r="H207" s="4" t="s">
        <v>25</v>
      </c>
      <c r="I207" s="5">
        <v>44713</v>
      </c>
      <c r="J207" s="6">
        <v>803</v>
      </c>
      <c r="K207" s="52">
        <v>803</v>
      </c>
      <c r="L207" s="6">
        <v>0</v>
      </c>
      <c r="M207" s="52">
        <v>0</v>
      </c>
      <c r="N207" s="6">
        <v>0</v>
      </c>
      <c r="O207" s="52">
        <v>0</v>
      </c>
      <c r="P207" s="6">
        <v>24</v>
      </c>
      <c r="Q207" s="4" t="s">
        <v>26</v>
      </c>
      <c r="R207" s="4">
        <v>0</v>
      </c>
      <c r="S207" s="6">
        <v>11</v>
      </c>
      <c r="T207" s="6">
        <v>0</v>
      </c>
      <c r="U207" s="6">
        <v>0</v>
      </c>
      <c r="V207" s="52">
        <f>IF(ISERROR(VLOOKUP($S$207,'TAR FIN'!$A$1:$O$88,15,0)),0,VLOOKUP($S$207,'TAR FIN'!$A$1:$O$88,15,0))*(1-0.04)</f>
        <v>43.603200000000001</v>
      </c>
      <c r="W207" s="52">
        <f>IF(ISERROR(VLOOKUP($T$207,'TAR FIN'!$A$1:$O$88,15,0)),0,VLOOKUP($T$207,'TAR FIN'!$A$1:$O$88,15,0))</f>
        <v>0</v>
      </c>
      <c r="X207" s="52">
        <f>IF(ISERROR(VLOOKUP($U$207,'TAR FIN'!$A$1:$O$88,15,0)),0,VLOOKUP($U$207,'TAR FIN'!$A$1:$O$88,15,0))</f>
        <v>0</v>
      </c>
      <c r="Y207" s="52">
        <f ca="1">('TUSD BE'!$AM$10+'TUSD BF'!$AM$10+'TUSD CVA'!$AM$10)*1*(1-0.02)</f>
        <v>50.510684974163915</v>
      </c>
      <c r="Z207" s="52"/>
      <c r="AA207" s="52"/>
      <c r="AB207" s="6">
        <f>$K$207*$V$207</f>
        <v>35013.369599999998</v>
      </c>
      <c r="AC207" s="6">
        <f>$M$207*$W$207</f>
        <v>0</v>
      </c>
      <c r="AD207" s="6">
        <f>$O$207*$X$207</f>
        <v>0</v>
      </c>
      <c r="AE207" s="6">
        <f ca="1">$K$207*$Y$207</f>
        <v>40560.080034253624</v>
      </c>
      <c r="AF207" s="6">
        <f>$M$207*$Z$207</f>
        <v>0</v>
      </c>
      <c r="AG207" s="6">
        <f>$O$207*$AA$207</f>
        <v>0</v>
      </c>
    </row>
    <row r="208" spans="1:33" ht="11.25" customHeight="1" x14ac:dyDescent="0.25">
      <c r="A208" s="4" t="s">
        <v>28</v>
      </c>
      <c r="B208" s="4" t="s">
        <v>35</v>
      </c>
      <c r="C208" s="4" t="s">
        <v>36</v>
      </c>
      <c r="D208" s="4" t="s">
        <v>41</v>
      </c>
      <c r="E208" s="4" t="s">
        <v>49</v>
      </c>
      <c r="F208" s="4" t="s">
        <v>25</v>
      </c>
      <c r="G208" s="4" t="s">
        <v>25</v>
      </c>
      <c r="H208" s="4" t="s">
        <v>25</v>
      </c>
      <c r="I208" s="5">
        <v>44713</v>
      </c>
      <c r="J208" s="6">
        <v>18</v>
      </c>
      <c r="K208" s="52">
        <v>18</v>
      </c>
      <c r="L208" s="6">
        <v>0</v>
      </c>
      <c r="M208" s="52">
        <v>0</v>
      </c>
      <c r="N208" s="6">
        <v>0</v>
      </c>
      <c r="O208" s="52">
        <v>0</v>
      </c>
      <c r="P208" s="6">
        <v>2</v>
      </c>
      <c r="Q208" s="4" t="s">
        <v>26</v>
      </c>
      <c r="R208" s="4">
        <v>0</v>
      </c>
      <c r="S208" s="6">
        <v>11</v>
      </c>
      <c r="T208" s="6">
        <v>0</v>
      </c>
      <c r="U208" s="6">
        <v>0</v>
      </c>
      <c r="V208" s="52">
        <f>IF(ISERROR(VLOOKUP($S$208,'TAR FIN'!$A$1:$O$88,15,0)),0,VLOOKUP($S$208,'TAR FIN'!$A$1:$O$88,15,0))*(1-0.04)</f>
        <v>43.603200000000001</v>
      </c>
      <c r="W208" s="52">
        <f>IF(ISERROR(VLOOKUP($T$208,'TAR FIN'!$A$1:$O$88,15,0)),0,VLOOKUP($T$208,'TAR FIN'!$A$1:$O$88,15,0))</f>
        <v>0</v>
      </c>
      <c r="X208" s="52">
        <f>IF(ISERROR(VLOOKUP($U$208,'TAR FIN'!$A$1:$O$88,15,0)),0,VLOOKUP($U$208,'TAR FIN'!$A$1:$O$88,15,0))</f>
        <v>0</v>
      </c>
      <c r="Y208" s="52">
        <f ca="1">('TUSD BE'!$AM$10+'TUSD BF'!$AM$10+'TUSD CVA'!$AM$10)*1*(1-0.02)</f>
        <v>50.510684974163915</v>
      </c>
      <c r="Z208" s="52"/>
      <c r="AA208" s="52"/>
      <c r="AB208" s="6">
        <f>$K$208*$V$208</f>
        <v>784.85760000000005</v>
      </c>
      <c r="AC208" s="6">
        <f>$M$208*$W$208</f>
        <v>0</v>
      </c>
      <c r="AD208" s="6">
        <f>$O$208*$X$208</f>
        <v>0</v>
      </c>
      <c r="AE208" s="6">
        <f ca="1">$K$208*$Y$208</f>
        <v>909.19232953495043</v>
      </c>
      <c r="AF208" s="6">
        <f>$M$208*$Z$208</f>
        <v>0</v>
      </c>
      <c r="AG208" s="6">
        <f>$O$208*$AA$208</f>
        <v>0</v>
      </c>
    </row>
    <row r="209" spans="1:33" ht="11.25" customHeight="1" x14ac:dyDescent="0.25">
      <c r="A209" s="4" t="s">
        <v>21</v>
      </c>
      <c r="B209" s="4" t="s">
        <v>35</v>
      </c>
      <c r="C209" s="4" t="s">
        <v>36</v>
      </c>
      <c r="D209" s="4" t="s">
        <v>41</v>
      </c>
      <c r="E209" s="4" t="s">
        <v>49</v>
      </c>
      <c r="F209" s="4" t="s">
        <v>25</v>
      </c>
      <c r="G209" s="4" t="s">
        <v>25</v>
      </c>
      <c r="H209" s="4" t="s">
        <v>37</v>
      </c>
      <c r="I209" s="5">
        <v>44378</v>
      </c>
      <c r="J209" s="6">
        <v>0</v>
      </c>
      <c r="K209" s="52">
        <v>0</v>
      </c>
      <c r="L209" s="6">
        <v>4.1559999999999997</v>
      </c>
      <c r="M209" s="52">
        <v>4.1559999999999997</v>
      </c>
      <c r="N209" s="6">
        <v>4.1559999999999997</v>
      </c>
      <c r="O209" s="52">
        <v>4.1559999999999997</v>
      </c>
      <c r="P209" s="6">
        <v>0</v>
      </c>
      <c r="Q209" s="4" t="s">
        <v>26</v>
      </c>
      <c r="R209" s="4">
        <v>0</v>
      </c>
      <c r="S209" s="6">
        <v>0</v>
      </c>
      <c r="T209" s="6">
        <v>7</v>
      </c>
      <c r="U209" s="6">
        <v>41</v>
      </c>
      <c r="V209" s="52">
        <f>IF(ISERROR(VLOOKUP($S$209,'TAR FIN'!$A$1:$O$88,15,0)),0,VLOOKUP($S$209,'TAR FIN'!$A$1:$O$88,15,0))</f>
        <v>0</v>
      </c>
      <c r="W209" s="52">
        <f>IF(ISERROR(VLOOKUP($T$209,'TAR FIN'!$A$1:$O$88,15,0)),0,VLOOKUP($T$209,'TAR FIN'!$A$1:$O$88,15,0))*(1-0.04)</f>
        <v>1406.5151999999998</v>
      </c>
      <c r="X209" s="52">
        <f>IF(ISERROR(VLOOKUP($U$209,'TAR FIN'!$A$1:$O$88,15,0)),0,VLOOKUP($U$209,'TAR FIN'!$A$1:$O$88,15,0))*(1-0.04)</f>
        <v>242.13119999999998</v>
      </c>
      <c r="Y209" s="52"/>
      <c r="Z209" s="52">
        <f ca="1">('TUSD BE'!$AM$11+'TUSD BF'!$AM$11+'TUSD CVA'!$AM$11)*1*(1-0.02)</f>
        <v>1619.5733401074451</v>
      </c>
      <c r="AA209" s="52">
        <f>('TE BE'!$AB$5+'TE BF'!$AB$5+'TE CVA'!$AB$5)*1*(1-0.02)</f>
        <v>246.88600565553992</v>
      </c>
      <c r="AB209" s="6">
        <f>$K$209*$V$209</f>
        <v>0</v>
      </c>
      <c r="AC209" s="6">
        <f>$M$209*$W$209</f>
        <v>5845.4771711999992</v>
      </c>
      <c r="AD209" s="6">
        <f>$O$209*$X$209</f>
        <v>1006.2972671999999</v>
      </c>
      <c r="AE209" s="6">
        <f>$K$209*$Y$209</f>
        <v>0</v>
      </c>
      <c r="AF209" s="6">
        <f ca="1">$M$209*$Z$209</f>
        <v>6730.9468014865415</v>
      </c>
      <c r="AG209" s="6">
        <f>$O$209*$AA$209</f>
        <v>1026.0582395044239</v>
      </c>
    </row>
    <row r="210" spans="1:33" ht="11.25" customHeight="1" x14ac:dyDescent="0.25">
      <c r="A210" s="4" t="s">
        <v>21</v>
      </c>
      <c r="B210" s="4" t="s">
        <v>35</v>
      </c>
      <c r="C210" s="4" t="s">
        <v>36</v>
      </c>
      <c r="D210" s="4" t="s">
        <v>41</v>
      </c>
      <c r="E210" s="4" t="s">
        <v>49</v>
      </c>
      <c r="F210" s="4" t="s">
        <v>25</v>
      </c>
      <c r="G210" s="4" t="s">
        <v>25</v>
      </c>
      <c r="H210" s="4" t="s">
        <v>37</v>
      </c>
      <c r="I210" s="5">
        <v>44409</v>
      </c>
      <c r="J210" s="6">
        <v>0</v>
      </c>
      <c r="K210" s="52">
        <v>0</v>
      </c>
      <c r="L210" s="6">
        <v>7.4409999999999998</v>
      </c>
      <c r="M210" s="52">
        <v>7.4409999999999998</v>
      </c>
      <c r="N210" s="6">
        <v>7.4409999999999998</v>
      </c>
      <c r="O210" s="52">
        <v>7.4409999999999998</v>
      </c>
      <c r="P210" s="6">
        <v>0</v>
      </c>
      <c r="Q210" s="4" t="s">
        <v>26</v>
      </c>
      <c r="R210" s="4">
        <v>0</v>
      </c>
      <c r="S210" s="6">
        <v>0</v>
      </c>
      <c r="T210" s="6">
        <v>7</v>
      </c>
      <c r="U210" s="6">
        <v>41</v>
      </c>
      <c r="V210" s="52">
        <f>IF(ISERROR(VLOOKUP($S$210,'TAR FIN'!$A$1:$O$88,15,0)),0,VLOOKUP($S$210,'TAR FIN'!$A$1:$O$88,15,0))</f>
        <v>0</v>
      </c>
      <c r="W210" s="52">
        <f>IF(ISERROR(VLOOKUP($T$210,'TAR FIN'!$A$1:$O$88,15,0)),0,VLOOKUP($T$210,'TAR FIN'!$A$1:$O$88,15,0))*(1-0.04)</f>
        <v>1406.5151999999998</v>
      </c>
      <c r="X210" s="52">
        <f>IF(ISERROR(VLOOKUP($U$210,'TAR FIN'!$A$1:$O$88,15,0)),0,VLOOKUP($U$210,'TAR FIN'!$A$1:$O$88,15,0))*(1-0.04)</f>
        <v>242.13119999999998</v>
      </c>
      <c r="Y210" s="52"/>
      <c r="Z210" s="52">
        <f ca="1">('TUSD BE'!$AM$11+'TUSD BF'!$AM$11+'TUSD CVA'!$AM$11)*1*(1-0.02)</f>
        <v>1619.5733401074451</v>
      </c>
      <c r="AA210" s="52">
        <f>('TE BE'!$AB$5+'TE BF'!$AB$5+'TE CVA'!$AB$5)*1*(1-0.02)</f>
        <v>246.88600565553992</v>
      </c>
      <c r="AB210" s="6">
        <f>$K$210*$V$210</f>
        <v>0</v>
      </c>
      <c r="AC210" s="6">
        <f>$M$210*$W$210</f>
        <v>10465.879603199999</v>
      </c>
      <c r="AD210" s="6">
        <f>$O$210*$X$210</f>
        <v>1801.6982591999997</v>
      </c>
      <c r="AE210" s="6">
        <f>$K$210*$Y$210</f>
        <v>0</v>
      </c>
      <c r="AF210" s="6">
        <f ca="1">$M$210*$Z$210</f>
        <v>12051.245223739499</v>
      </c>
      <c r="AG210" s="6">
        <f>$O$210*$AA$210</f>
        <v>1837.0787680828726</v>
      </c>
    </row>
    <row r="211" spans="1:33" ht="11.25" customHeight="1" x14ac:dyDescent="0.25">
      <c r="A211" s="4" t="s">
        <v>21</v>
      </c>
      <c r="B211" s="4" t="s">
        <v>35</v>
      </c>
      <c r="C211" s="4" t="s">
        <v>36</v>
      </c>
      <c r="D211" s="4" t="s">
        <v>41</v>
      </c>
      <c r="E211" s="4" t="s">
        <v>49</v>
      </c>
      <c r="F211" s="4" t="s">
        <v>25</v>
      </c>
      <c r="G211" s="4" t="s">
        <v>25</v>
      </c>
      <c r="H211" s="4" t="s">
        <v>37</v>
      </c>
      <c r="I211" s="5">
        <v>44440</v>
      </c>
      <c r="J211" s="6">
        <v>0</v>
      </c>
      <c r="K211" s="52">
        <v>0</v>
      </c>
      <c r="L211" s="6">
        <v>5.2210000000000001</v>
      </c>
      <c r="M211" s="52">
        <v>5.2210000000000001</v>
      </c>
      <c r="N211" s="6">
        <v>5.2210000000000001</v>
      </c>
      <c r="O211" s="52">
        <v>5.2210000000000001</v>
      </c>
      <c r="P211" s="6">
        <v>0</v>
      </c>
      <c r="Q211" s="4" t="s">
        <v>26</v>
      </c>
      <c r="R211" s="4">
        <v>0</v>
      </c>
      <c r="S211" s="6">
        <v>0</v>
      </c>
      <c r="T211" s="6">
        <v>7</v>
      </c>
      <c r="U211" s="6">
        <v>41</v>
      </c>
      <c r="V211" s="52">
        <f>IF(ISERROR(VLOOKUP($S$211,'TAR FIN'!$A$1:$O$88,15,0)),0,VLOOKUP($S$211,'TAR FIN'!$A$1:$O$88,15,0))</f>
        <v>0</v>
      </c>
      <c r="W211" s="52">
        <f>IF(ISERROR(VLOOKUP($T$211,'TAR FIN'!$A$1:$O$88,15,0)),0,VLOOKUP($T$211,'TAR FIN'!$A$1:$O$88,15,0))*(1-0.04)</f>
        <v>1406.5151999999998</v>
      </c>
      <c r="X211" s="52">
        <f>IF(ISERROR(VLOOKUP($U$211,'TAR FIN'!$A$1:$O$88,15,0)),0,VLOOKUP($U$211,'TAR FIN'!$A$1:$O$88,15,0))*(1-0.04)</f>
        <v>242.13119999999998</v>
      </c>
      <c r="Y211" s="52"/>
      <c r="Z211" s="52">
        <f ca="1">('TUSD BE'!$AM$11+'TUSD BF'!$AM$11+'TUSD CVA'!$AM$11)*1*(1-0.02)</f>
        <v>1619.5733401074451</v>
      </c>
      <c r="AA211" s="52">
        <f>('TE BE'!$AB$5+'TE BF'!$AB$5+'TE CVA'!$AB$5)*1*(1-0.02)</f>
        <v>246.88600565553992</v>
      </c>
      <c r="AB211" s="6">
        <f>$K$211*$V$211</f>
        <v>0</v>
      </c>
      <c r="AC211" s="6">
        <f>$M$211*$W$211</f>
        <v>7343.4158591999994</v>
      </c>
      <c r="AD211" s="6">
        <f>$O$211*$X$211</f>
        <v>1264.1669952</v>
      </c>
      <c r="AE211" s="6">
        <f>$K$211*$Y$211</f>
        <v>0</v>
      </c>
      <c r="AF211" s="6">
        <f ca="1">$M$211*$Z$211</f>
        <v>8455.7924087009706</v>
      </c>
      <c r="AG211" s="6">
        <f>$O$211*$AA$211</f>
        <v>1288.991835527574</v>
      </c>
    </row>
    <row r="212" spans="1:33" ht="11.25" customHeight="1" x14ac:dyDescent="0.25">
      <c r="A212" s="4" t="s">
        <v>21</v>
      </c>
      <c r="B212" s="4" t="s">
        <v>35</v>
      </c>
      <c r="C212" s="4" t="s">
        <v>36</v>
      </c>
      <c r="D212" s="4" t="s">
        <v>41</v>
      </c>
      <c r="E212" s="4" t="s">
        <v>49</v>
      </c>
      <c r="F212" s="4" t="s">
        <v>25</v>
      </c>
      <c r="G212" s="4" t="s">
        <v>25</v>
      </c>
      <c r="H212" s="4" t="s">
        <v>37</v>
      </c>
      <c r="I212" s="5">
        <v>44470</v>
      </c>
      <c r="J212" s="6">
        <v>0</v>
      </c>
      <c r="K212" s="52">
        <v>0</v>
      </c>
      <c r="L212" s="6">
        <v>5.0190000000000001</v>
      </c>
      <c r="M212" s="52">
        <v>5.0190000000000001</v>
      </c>
      <c r="N212" s="6">
        <v>5.0190000000000001</v>
      </c>
      <c r="O212" s="52">
        <v>5.0190000000000001</v>
      </c>
      <c r="P212" s="6">
        <v>0</v>
      </c>
      <c r="Q212" s="4" t="s">
        <v>26</v>
      </c>
      <c r="R212" s="4">
        <v>0</v>
      </c>
      <c r="S212" s="6">
        <v>0</v>
      </c>
      <c r="T212" s="6">
        <v>7</v>
      </c>
      <c r="U212" s="6">
        <v>41</v>
      </c>
      <c r="V212" s="52">
        <f>IF(ISERROR(VLOOKUP($S$212,'TAR FIN'!$A$1:$O$88,15,0)),0,VLOOKUP($S$212,'TAR FIN'!$A$1:$O$88,15,0))</f>
        <v>0</v>
      </c>
      <c r="W212" s="52">
        <f>IF(ISERROR(VLOOKUP($T$212,'TAR FIN'!$A$1:$O$88,15,0)),0,VLOOKUP($T$212,'TAR FIN'!$A$1:$O$88,15,0))*(1-0.04)</f>
        <v>1406.5151999999998</v>
      </c>
      <c r="X212" s="52">
        <f>IF(ISERROR(VLOOKUP($U$212,'TAR FIN'!$A$1:$O$88,15,0)),0,VLOOKUP($U$212,'TAR FIN'!$A$1:$O$88,15,0))*(1-0.04)</f>
        <v>242.13119999999998</v>
      </c>
      <c r="Y212" s="52"/>
      <c r="Z212" s="52">
        <f ca="1">('TUSD BE'!$AM$11+'TUSD BF'!$AM$11+'TUSD CVA'!$AM$11)*1*(1-0.02)</f>
        <v>1619.5733401074451</v>
      </c>
      <c r="AA212" s="52">
        <f>('TE BE'!$AB$5+'TE BF'!$AB$5+'TE CVA'!$AB$5)*1*(1-0.02)</f>
        <v>246.88600565553992</v>
      </c>
      <c r="AB212" s="6">
        <f>$K$212*$V$212</f>
        <v>0</v>
      </c>
      <c r="AC212" s="6">
        <f>$M$212*$W$212</f>
        <v>7059.2997887999991</v>
      </c>
      <c r="AD212" s="6">
        <f>$O$212*$X$212</f>
        <v>1215.2564927999999</v>
      </c>
      <c r="AE212" s="6">
        <f>$K$212*$Y$212</f>
        <v>0</v>
      </c>
      <c r="AF212" s="6">
        <f ca="1">$M$212*$Z$212</f>
        <v>8128.638593999267</v>
      </c>
      <c r="AG212" s="6">
        <f>$O$212*$AA$212</f>
        <v>1239.1208623851549</v>
      </c>
    </row>
    <row r="213" spans="1:33" ht="11.25" customHeight="1" x14ac:dyDescent="0.25">
      <c r="A213" s="4" t="s">
        <v>21</v>
      </c>
      <c r="B213" s="4" t="s">
        <v>35</v>
      </c>
      <c r="C213" s="4" t="s">
        <v>36</v>
      </c>
      <c r="D213" s="4" t="s">
        <v>41</v>
      </c>
      <c r="E213" s="4" t="s">
        <v>49</v>
      </c>
      <c r="F213" s="4" t="s">
        <v>25</v>
      </c>
      <c r="G213" s="4" t="s">
        <v>25</v>
      </c>
      <c r="H213" s="4" t="s">
        <v>37</v>
      </c>
      <c r="I213" s="5">
        <v>44501</v>
      </c>
      <c r="J213" s="6">
        <v>0</v>
      </c>
      <c r="K213" s="52">
        <v>0</v>
      </c>
      <c r="L213" s="6">
        <v>34.173000000000002</v>
      </c>
      <c r="M213" s="52">
        <v>34.173000000000002</v>
      </c>
      <c r="N213" s="6">
        <v>34.173000000000002</v>
      </c>
      <c r="O213" s="52">
        <v>34.173000000000002</v>
      </c>
      <c r="P213" s="6">
        <v>0</v>
      </c>
      <c r="Q213" s="4" t="s">
        <v>26</v>
      </c>
      <c r="R213" s="4">
        <v>0</v>
      </c>
      <c r="S213" s="6">
        <v>0</v>
      </c>
      <c r="T213" s="6">
        <v>7</v>
      </c>
      <c r="U213" s="6">
        <v>41</v>
      </c>
      <c r="V213" s="52">
        <f>IF(ISERROR(VLOOKUP($S$213,'TAR FIN'!$A$1:$O$88,15,0)),0,VLOOKUP($S$213,'TAR FIN'!$A$1:$O$88,15,0))</f>
        <v>0</v>
      </c>
      <c r="W213" s="52">
        <f>IF(ISERROR(VLOOKUP($T$213,'TAR FIN'!$A$1:$O$88,15,0)),0,VLOOKUP($T$213,'TAR FIN'!$A$1:$O$88,15,0))*(1-0.04)</f>
        <v>1406.5151999999998</v>
      </c>
      <c r="X213" s="52">
        <f>IF(ISERROR(VLOOKUP($U$213,'TAR FIN'!$A$1:$O$88,15,0)),0,VLOOKUP($U$213,'TAR FIN'!$A$1:$O$88,15,0))*(1-0.04)</f>
        <v>242.13119999999998</v>
      </c>
      <c r="Y213" s="52"/>
      <c r="Z213" s="52">
        <f ca="1">('TUSD BE'!$AM$11+'TUSD BF'!$AM$11+'TUSD CVA'!$AM$11)*1*(1-0.02)</f>
        <v>1619.5733401074451</v>
      </c>
      <c r="AA213" s="52">
        <f>('TE BE'!$AB$5+'TE BF'!$AB$5+'TE CVA'!$AB$5)*1*(1-0.02)</f>
        <v>246.88600565553992</v>
      </c>
      <c r="AB213" s="6">
        <f>$K$213*$V$213</f>
        <v>0</v>
      </c>
      <c r="AC213" s="6">
        <f>$M$213*$W$213</f>
        <v>48064.8439296</v>
      </c>
      <c r="AD213" s="6">
        <f>$O$213*$X$213</f>
        <v>8274.3494976000002</v>
      </c>
      <c r="AE213" s="6">
        <f>$K$213*$Y$213</f>
        <v>0</v>
      </c>
      <c r="AF213" s="6">
        <f ca="1">$M$213*$Z$213</f>
        <v>55345.679751491727</v>
      </c>
      <c r="AG213" s="6">
        <f>$O$213*$AA$213</f>
        <v>8436.835471266766</v>
      </c>
    </row>
    <row r="214" spans="1:33" ht="11.25" customHeight="1" x14ac:dyDescent="0.25">
      <c r="A214" s="4" t="s">
        <v>21</v>
      </c>
      <c r="B214" s="4" t="s">
        <v>35</v>
      </c>
      <c r="C214" s="4" t="s">
        <v>36</v>
      </c>
      <c r="D214" s="4" t="s">
        <v>41</v>
      </c>
      <c r="E214" s="4" t="s">
        <v>49</v>
      </c>
      <c r="F214" s="4" t="s">
        <v>25</v>
      </c>
      <c r="G214" s="4" t="s">
        <v>25</v>
      </c>
      <c r="H214" s="4" t="s">
        <v>37</v>
      </c>
      <c r="I214" s="5">
        <v>44531</v>
      </c>
      <c r="J214" s="6">
        <v>0</v>
      </c>
      <c r="K214" s="52">
        <v>0</v>
      </c>
      <c r="L214" s="6">
        <v>58.46</v>
      </c>
      <c r="M214" s="52">
        <v>58.46</v>
      </c>
      <c r="N214" s="6">
        <v>58.46</v>
      </c>
      <c r="O214" s="52">
        <v>58.46</v>
      </c>
      <c r="P214" s="6">
        <v>0</v>
      </c>
      <c r="Q214" s="4" t="s">
        <v>26</v>
      </c>
      <c r="R214" s="4">
        <v>0</v>
      </c>
      <c r="S214" s="6">
        <v>0</v>
      </c>
      <c r="T214" s="6">
        <v>7</v>
      </c>
      <c r="U214" s="6">
        <v>41</v>
      </c>
      <c r="V214" s="52">
        <f>IF(ISERROR(VLOOKUP($S$214,'TAR FIN'!$A$1:$O$88,15,0)),0,VLOOKUP($S$214,'TAR FIN'!$A$1:$O$88,15,0))</f>
        <v>0</v>
      </c>
      <c r="W214" s="52">
        <f>IF(ISERROR(VLOOKUP($T$214,'TAR FIN'!$A$1:$O$88,15,0)),0,VLOOKUP($T$214,'TAR FIN'!$A$1:$O$88,15,0))*(1-0.04)</f>
        <v>1406.5151999999998</v>
      </c>
      <c r="X214" s="52">
        <f>IF(ISERROR(VLOOKUP($U$214,'TAR FIN'!$A$1:$O$88,15,0)),0,VLOOKUP($U$214,'TAR FIN'!$A$1:$O$88,15,0))*(1-0.04)</f>
        <v>242.13119999999998</v>
      </c>
      <c r="Y214" s="52"/>
      <c r="Z214" s="52">
        <f ca="1">('TUSD BE'!$AM$11+'TUSD BF'!$AM$11+'TUSD CVA'!$AM$11)*1*(1-0.02)</f>
        <v>1619.5733401074451</v>
      </c>
      <c r="AA214" s="52">
        <f>('TE BE'!$AB$5+'TE BF'!$AB$5+'TE CVA'!$AB$5)*1*(1-0.02)</f>
        <v>246.88600565553992</v>
      </c>
      <c r="AB214" s="6">
        <f>$K$214*$V$214</f>
        <v>0</v>
      </c>
      <c r="AC214" s="6">
        <f>$M$214*$W$214</f>
        <v>82224.878591999994</v>
      </c>
      <c r="AD214" s="6">
        <f>$O$214*$X$214</f>
        <v>14154.989951999998</v>
      </c>
      <c r="AE214" s="6">
        <f>$K$214*$Y$214</f>
        <v>0</v>
      </c>
      <c r="AF214" s="6">
        <f ca="1">$M$214*$Z$214</f>
        <v>94680.257462681242</v>
      </c>
      <c r="AG214" s="6">
        <f>$O$214*$AA$214</f>
        <v>14432.955890622863</v>
      </c>
    </row>
    <row r="215" spans="1:33" ht="11.25" customHeight="1" x14ac:dyDescent="0.25">
      <c r="A215" s="4" t="s">
        <v>21</v>
      </c>
      <c r="B215" s="4" t="s">
        <v>35</v>
      </c>
      <c r="C215" s="4" t="s">
        <v>36</v>
      </c>
      <c r="D215" s="4" t="s">
        <v>41</v>
      </c>
      <c r="E215" s="4" t="s">
        <v>49</v>
      </c>
      <c r="F215" s="4" t="s">
        <v>25</v>
      </c>
      <c r="G215" s="4" t="s">
        <v>25</v>
      </c>
      <c r="H215" s="4" t="s">
        <v>37</v>
      </c>
      <c r="I215" s="5">
        <v>44562</v>
      </c>
      <c r="J215" s="6">
        <v>0</v>
      </c>
      <c r="K215" s="52">
        <v>0</v>
      </c>
      <c r="L215" s="6">
        <v>78.616</v>
      </c>
      <c r="M215" s="52">
        <v>78.616</v>
      </c>
      <c r="N215" s="6">
        <v>78.616</v>
      </c>
      <c r="O215" s="52">
        <v>78.616</v>
      </c>
      <c r="P215" s="6">
        <v>0</v>
      </c>
      <c r="Q215" s="4" t="s">
        <v>26</v>
      </c>
      <c r="R215" s="4">
        <v>0</v>
      </c>
      <c r="S215" s="6">
        <v>0</v>
      </c>
      <c r="T215" s="6">
        <v>7</v>
      </c>
      <c r="U215" s="6">
        <v>41</v>
      </c>
      <c r="V215" s="52">
        <f>IF(ISERROR(VLOOKUP($S$215,'TAR FIN'!$A$1:$O$88,15,0)),0,VLOOKUP($S$215,'TAR FIN'!$A$1:$O$88,15,0))</f>
        <v>0</v>
      </c>
      <c r="W215" s="52">
        <f>IF(ISERROR(VLOOKUP($T$215,'TAR FIN'!$A$1:$O$88,15,0)),0,VLOOKUP($T$215,'TAR FIN'!$A$1:$O$88,15,0))*(1-0.04)</f>
        <v>1406.5151999999998</v>
      </c>
      <c r="X215" s="52">
        <f>IF(ISERROR(VLOOKUP($U$215,'TAR FIN'!$A$1:$O$88,15,0)),0,VLOOKUP($U$215,'TAR FIN'!$A$1:$O$88,15,0))*(1-0.04)</f>
        <v>242.13119999999998</v>
      </c>
      <c r="Y215" s="52"/>
      <c r="Z215" s="52">
        <f ca="1">('TUSD BE'!$AM$11+'TUSD BF'!$AM$11+'TUSD CVA'!$AM$11)*1*(1-0.02)</f>
        <v>1619.5733401074451</v>
      </c>
      <c r="AA215" s="52">
        <f>('TE BE'!$AB$5+'TE BF'!$AB$5+'TE CVA'!$AB$5)*1*(1-0.02)</f>
        <v>246.88600565553992</v>
      </c>
      <c r="AB215" s="6">
        <f>$K$215*$V$215</f>
        <v>0</v>
      </c>
      <c r="AC215" s="6">
        <f>$M$215*$W$215</f>
        <v>110574.59896319998</v>
      </c>
      <c r="AD215" s="6">
        <f>$O$215*$X$215</f>
        <v>19035.386419199996</v>
      </c>
      <c r="AE215" s="6">
        <f>$K$215*$Y$215</f>
        <v>0</v>
      </c>
      <c r="AF215" s="6">
        <f ca="1">$M$215*$Z$215</f>
        <v>127324.3777058869</v>
      </c>
      <c r="AG215" s="6">
        <f>$O$215*$AA$215</f>
        <v>19409.190220615925</v>
      </c>
    </row>
    <row r="216" spans="1:33" ht="11.25" customHeight="1" x14ac:dyDescent="0.25">
      <c r="A216" s="4" t="s">
        <v>21</v>
      </c>
      <c r="B216" s="4" t="s">
        <v>35</v>
      </c>
      <c r="C216" s="4" t="s">
        <v>36</v>
      </c>
      <c r="D216" s="4" t="s">
        <v>41</v>
      </c>
      <c r="E216" s="4" t="s">
        <v>49</v>
      </c>
      <c r="F216" s="4" t="s">
        <v>25</v>
      </c>
      <c r="G216" s="4" t="s">
        <v>25</v>
      </c>
      <c r="H216" s="4" t="s">
        <v>37</v>
      </c>
      <c r="I216" s="5">
        <v>44593</v>
      </c>
      <c r="J216" s="6">
        <v>0</v>
      </c>
      <c r="K216" s="52">
        <v>0</v>
      </c>
      <c r="L216" s="6">
        <v>51.834000000000003</v>
      </c>
      <c r="M216" s="52">
        <v>51.834000000000003</v>
      </c>
      <c r="N216" s="6">
        <v>51.834000000000003</v>
      </c>
      <c r="O216" s="52">
        <v>51.834000000000003</v>
      </c>
      <c r="P216" s="6">
        <v>0</v>
      </c>
      <c r="Q216" s="4" t="s">
        <v>26</v>
      </c>
      <c r="R216" s="4">
        <v>0</v>
      </c>
      <c r="S216" s="6">
        <v>0</v>
      </c>
      <c r="T216" s="6">
        <v>7</v>
      </c>
      <c r="U216" s="6">
        <v>41</v>
      </c>
      <c r="V216" s="52">
        <f>IF(ISERROR(VLOOKUP($S$216,'TAR FIN'!$A$1:$O$88,15,0)),0,VLOOKUP($S$216,'TAR FIN'!$A$1:$O$88,15,0))</f>
        <v>0</v>
      </c>
      <c r="W216" s="52">
        <f>IF(ISERROR(VLOOKUP($T$216,'TAR FIN'!$A$1:$O$88,15,0)),0,VLOOKUP($T$216,'TAR FIN'!$A$1:$O$88,15,0))*(1-0.04)</f>
        <v>1406.5151999999998</v>
      </c>
      <c r="X216" s="52">
        <f>IF(ISERROR(VLOOKUP($U$216,'TAR FIN'!$A$1:$O$88,15,0)),0,VLOOKUP($U$216,'TAR FIN'!$A$1:$O$88,15,0))*(1-0.04)</f>
        <v>242.13119999999998</v>
      </c>
      <c r="Y216" s="52"/>
      <c r="Z216" s="52">
        <f ca="1">('TUSD BE'!$AM$11+'TUSD BF'!$AM$11+'TUSD CVA'!$AM$11)*1*(1-0.02)</f>
        <v>1619.5733401074451</v>
      </c>
      <c r="AA216" s="52">
        <f>('TE BE'!$AB$5+'TE BF'!$AB$5+'TE CVA'!$AB$5)*1*(1-0.02)</f>
        <v>246.88600565553992</v>
      </c>
      <c r="AB216" s="6">
        <f>$K$216*$V$216</f>
        <v>0</v>
      </c>
      <c r="AC216" s="6">
        <f>$M$216*$W$216</f>
        <v>72905.308876800002</v>
      </c>
      <c r="AD216" s="6">
        <f>$O$216*$X$216</f>
        <v>12550.6286208</v>
      </c>
      <c r="AE216" s="6">
        <f>$K$216*$Y$216</f>
        <v>0</v>
      </c>
      <c r="AF216" s="6">
        <f ca="1">$M$216*$Z$216</f>
        <v>83948.964511129321</v>
      </c>
      <c r="AG216" s="6">
        <f>$O$216*$AA$216</f>
        <v>12797.089217149256</v>
      </c>
    </row>
    <row r="217" spans="1:33" ht="11.25" customHeight="1" x14ac:dyDescent="0.25">
      <c r="A217" s="4" t="s">
        <v>28</v>
      </c>
      <c r="B217" s="4" t="s">
        <v>35</v>
      </c>
      <c r="C217" s="4" t="s">
        <v>36</v>
      </c>
      <c r="D217" s="4" t="s">
        <v>41</v>
      </c>
      <c r="E217" s="4" t="s">
        <v>49</v>
      </c>
      <c r="F217" s="4" t="s">
        <v>25</v>
      </c>
      <c r="G217" s="4" t="s">
        <v>25</v>
      </c>
      <c r="H217" s="4" t="s">
        <v>37</v>
      </c>
      <c r="I217" s="5">
        <v>44593</v>
      </c>
      <c r="J217" s="6">
        <v>0</v>
      </c>
      <c r="K217" s="52">
        <v>0</v>
      </c>
      <c r="L217" s="6">
        <v>5.7590000000000003</v>
      </c>
      <c r="M217" s="52">
        <v>5.7590000000000003</v>
      </c>
      <c r="N217" s="6">
        <v>5.7590000000000003</v>
      </c>
      <c r="O217" s="52">
        <v>5.7590000000000003</v>
      </c>
      <c r="P217" s="6">
        <v>0</v>
      </c>
      <c r="Q217" s="4" t="s">
        <v>26</v>
      </c>
      <c r="R217" s="4">
        <v>0</v>
      </c>
      <c r="S217" s="6">
        <v>0</v>
      </c>
      <c r="T217" s="6">
        <v>7</v>
      </c>
      <c r="U217" s="6">
        <v>41</v>
      </c>
      <c r="V217" s="52">
        <f>IF(ISERROR(VLOOKUP($S$217,'TAR FIN'!$A$1:$O$88,15,0)),0,VLOOKUP($S$217,'TAR FIN'!$A$1:$O$88,15,0))</f>
        <v>0</v>
      </c>
      <c r="W217" s="52">
        <f>IF(ISERROR(VLOOKUP($T$217,'TAR FIN'!$A$1:$O$88,15,0)),0,VLOOKUP($T$217,'TAR FIN'!$A$1:$O$88,15,0))*(1-0.04)</f>
        <v>1406.5151999999998</v>
      </c>
      <c r="X217" s="52">
        <f>IF(ISERROR(VLOOKUP($U$217,'TAR FIN'!$A$1:$O$88,15,0)),0,VLOOKUP($U$217,'TAR FIN'!$A$1:$O$88,15,0))*(1-0.04)</f>
        <v>242.13119999999998</v>
      </c>
      <c r="Y217" s="52"/>
      <c r="Z217" s="52">
        <f ca="1">('TUSD BE'!$AM$11+'TUSD BF'!$AM$11+'TUSD CVA'!$AM$11)*1*(1-0.02)</f>
        <v>1619.5733401074451</v>
      </c>
      <c r="AA217" s="52">
        <f>('TE BE'!$AB$5+'TE BF'!$AB$5+'TE CVA'!$AB$5)*1*(1-0.02)</f>
        <v>246.88600565553992</v>
      </c>
      <c r="AB217" s="6">
        <f>$K$217*$V$217</f>
        <v>0</v>
      </c>
      <c r="AC217" s="6">
        <f>$M$217*$W$217</f>
        <v>8100.1210367999993</v>
      </c>
      <c r="AD217" s="6">
        <f>$O$217*$X$217</f>
        <v>1394.4335807999998</v>
      </c>
      <c r="AE217" s="6">
        <f>$K$217*$Y$217</f>
        <v>0</v>
      </c>
      <c r="AF217" s="6">
        <f ca="1">$M$217*$Z$217</f>
        <v>9327.1228656787771</v>
      </c>
      <c r="AG217" s="6">
        <f>$O$217*$AA$217</f>
        <v>1421.8165065702544</v>
      </c>
    </row>
    <row r="218" spans="1:33" ht="11.25" customHeight="1" x14ac:dyDescent="0.25">
      <c r="A218" s="4" t="s">
        <v>21</v>
      </c>
      <c r="B218" s="4" t="s">
        <v>35</v>
      </c>
      <c r="C218" s="4" t="s">
        <v>36</v>
      </c>
      <c r="D218" s="4" t="s">
        <v>41</v>
      </c>
      <c r="E218" s="4" t="s">
        <v>49</v>
      </c>
      <c r="F218" s="4" t="s">
        <v>25</v>
      </c>
      <c r="G218" s="4" t="s">
        <v>25</v>
      </c>
      <c r="H218" s="4" t="s">
        <v>37</v>
      </c>
      <c r="I218" s="5">
        <v>44621</v>
      </c>
      <c r="J218" s="6">
        <v>0</v>
      </c>
      <c r="K218" s="52">
        <v>0</v>
      </c>
      <c r="L218" s="6">
        <v>22.794</v>
      </c>
      <c r="M218" s="52">
        <v>22.794</v>
      </c>
      <c r="N218" s="6">
        <v>22.794</v>
      </c>
      <c r="O218" s="52">
        <v>22.794</v>
      </c>
      <c r="P218" s="6">
        <v>0</v>
      </c>
      <c r="Q218" s="4" t="s">
        <v>26</v>
      </c>
      <c r="R218" s="4">
        <v>0</v>
      </c>
      <c r="S218" s="6">
        <v>0</v>
      </c>
      <c r="T218" s="6">
        <v>7</v>
      </c>
      <c r="U218" s="6">
        <v>41</v>
      </c>
      <c r="V218" s="52">
        <f>IF(ISERROR(VLOOKUP($S$218,'TAR FIN'!$A$1:$O$88,15,0)),0,VLOOKUP($S$218,'TAR FIN'!$A$1:$O$88,15,0))</f>
        <v>0</v>
      </c>
      <c r="W218" s="52">
        <f>IF(ISERROR(VLOOKUP($T$218,'TAR FIN'!$A$1:$O$88,15,0)),0,VLOOKUP($T$218,'TAR FIN'!$A$1:$O$88,15,0))*(1-0.04)</f>
        <v>1406.5151999999998</v>
      </c>
      <c r="X218" s="52">
        <f>IF(ISERROR(VLOOKUP($U$218,'TAR FIN'!$A$1:$O$88,15,0)),0,VLOOKUP($U$218,'TAR FIN'!$A$1:$O$88,15,0))*(1-0.04)</f>
        <v>242.13119999999998</v>
      </c>
      <c r="Y218" s="52"/>
      <c r="Z218" s="52">
        <f ca="1">('TUSD BE'!$AM$11+'TUSD BF'!$AM$11+'TUSD CVA'!$AM$11)*1*(1-0.02)</f>
        <v>1619.5733401074451</v>
      </c>
      <c r="AA218" s="52">
        <f>('TE BE'!$AB$5+'TE BF'!$AB$5+'TE CVA'!$AB$5)*1*(1-0.02)</f>
        <v>246.88600565553992</v>
      </c>
      <c r="AB218" s="6">
        <f>$K$218*$V$218</f>
        <v>0</v>
      </c>
      <c r="AC218" s="6">
        <f>$M$218*$W$218</f>
        <v>32060.107468799997</v>
      </c>
      <c r="AD218" s="6">
        <f>$O$218*$X$218</f>
        <v>5519.1385727999996</v>
      </c>
      <c r="AE218" s="6">
        <f>$K$218*$Y$218</f>
        <v>0</v>
      </c>
      <c r="AF218" s="6">
        <f ca="1">$M$218*$Z$218</f>
        <v>36916.554714409103</v>
      </c>
      <c r="AG218" s="6">
        <f>$O$218*$AA$218</f>
        <v>5627.5196129123769</v>
      </c>
    </row>
    <row r="219" spans="1:33" ht="11.25" customHeight="1" x14ac:dyDescent="0.25">
      <c r="A219" s="4" t="s">
        <v>21</v>
      </c>
      <c r="B219" s="4" t="s">
        <v>35</v>
      </c>
      <c r="C219" s="4" t="s">
        <v>36</v>
      </c>
      <c r="D219" s="4" t="s">
        <v>41</v>
      </c>
      <c r="E219" s="4" t="s">
        <v>49</v>
      </c>
      <c r="F219" s="4" t="s">
        <v>25</v>
      </c>
      <c r="G219" s="4" t="s">
        <v>25</v>
      </c>
      <c r="H219" s="4" t="s">
        <v>37</v>
      </c>
      <c r="I219" s="5">
        <v>44652</v>
      </c>
      <c r="J219" s="6">
        <v>0</v>
      </c>
      <c r="K219" s="52">
        <v>0</v>
      </c>
      <c r="L219" s="6">
        <v>5.7729999999999997</v>
      </c>
      <c r="M219" s="52">
        <v>5.7729999999999997</v>
      </c>
      <c r="N219" s="6">
        <v>5.7729999999999997</v>
      </c>
      <c r="O219" s="52">
        <v>5.7729999999999997</v>
      </c>
      <c r="P219" s="6">
        <v>0</v>
      </c>
      <c r="Q219" s="4" t="s">
        <v>26</v>
      </c>
      <c r="R219" s="4">
        <v>0</v>
      </c>
      <c r="S219" s="6">
        <v>0</v>
      </c>
      <c r="T219" s="6">
        <v>7</v>
      </c>
      <c r="U219" s="6">
        <v>41</v>
      </c>
      <c r="V219" s="52">
        <f>IF(ISERROR(VLOOKUP($S$219,'TAR FIN'!$A$1:$O$88,15,0)),0,VLOOKUP($S$219,'TAR FIN'!$A$1:$O$88,15,0))</f>
        <v>0</v>
      </c>
      <c r="W219" s="52">
        <f>IF(ISERROR(VLOOKUP($T$219,'TAR FIN'!$A$1:$O$88,15,0)),0,VLOOKUP($T$219,'TAR FIN'!$A$1:$O$88,15,0))*(1-0.04)</f>
        <v>1406.5151999999998</v>
      </c>
      <c r="X219" s="52">
        <f>IF(ISERROR(VLOOKUP($U$219,'TAR FIN'!$A$1:$O$88,15,0)),0,VLOOKUP($U$219,'TAR FIN'!$A$1:$O$88,15,0))*(1-0.04)</f>
        <v>242.13119999999998</v>
      </c>
      <c r="Y219" s="52"/>
      <c r="Z219" s="52">
        <f ca="1">('TUSD BE'!$AM$11+'TUSD BF'!$AM$11+'TUSD CVA'!$AM$11)*1*(1-0.02)</f>
        <v>1619.5733401074451</v>
      </c>
      <c r="AA219" s="52">
        <f>('TE BE'!$AB$5+'TE BF'!$AB$5+'TE CVA'!$AB$5)*1*(1-0.02)</f>
        <v>246.88600565553992</v>
      </c>
      <c r="AB219" s="6">
        <f>$K$219*$V$219</f>
        <v>0</v>
      </c>
      <c r="AC219" s="6">
        <f>$M$219*$W$219</f>
        <v>8119.8122495999987</v>
      </c>
      <c r="AD219" s="6">
        <f>$O$219*$X$219</f>
        <v>1397.8234175999999</v>
      </c>
      <c r="AE219" s="6">
        <f>$K$219*$Y$219</f>
        <v>0</v>
      </c>
      <c r="AF219" s="6">
        <f ca="1">$M$219*$Z$219</f>
        <v>9349.7968924402794</v>
      </c>
      <c r="AG219" s="6">
        <f>$O$219*$AA$219</f>
        <v>1425.2729106494319</v>
      </c>
    </row>
    <row r="220" spans="1:33" ht="11.25" customHeight="1" x14ac:dyDescent="0.25">
      <c r="A220" s="4" t="s">
        <v>21</v>
      </c>
      <c r="B220" s="4" t="s">
        <v>35</v>
      </c>
      <c r="C220" s="4" t="s">
        <v>36</v>
      </c>
      <c r="D220" s="4" t="s">
        <v>41</v>
      </c>
      <c r="E220" s="4" t="s">
        <v>49</v>
      </c>
      <c r="F220" s="4" t="s">
        <v>25</v>
      </c>
      <c r="G220" s="4" t="s">
        <v>25</v>
      </c>
      <c r="H220" s="4" t="s">
        <v>37</v>
      </c>
      <c r="I220" s="5">
        <v>44682</v>
      </c>
      <c r="J220" s="6">
        <v>0</v>
      </c>
      <c r="K220" s="52">
        <v>0</v>
      </c>
      <c r="L220" s="6">
        <v>5.4539999999999997</v>
      </c>
      <c r="M220" s="52">
        <v>5.4539999999999997</v>
      </c>
      <c r="N220" s="6">
        <v>5.4539999999999997</v>
      </c>
      <c r="O220" s="52">
        <v>5.4539999999999997</v>
      </c>
      <c r="P220" s="6">
        <v>0</v>
      </c>
      <c r="Q220" s="4" t="s">
        <v>26</v>
      </c>
      <c r="R220" s="4">
        <v>0</v>
      </c>
      <c r="S220" s="6">
        <v>0</v>
      </c>
      <c r="T220" s="6">
        <v>7</v>
      </c>
      <c r="U220" s="6">
        <v>41</v>
      </c>
      <c r="V220" s="52">
        <f>IF(ISERROR(VLOOKUP($S$220,'TAR FIN'!$A$1:$O$88,15,0)),0,VLOOKUP($S$220,'TAR FIN'!$A$1:$O$88,15,0))</f>
        <v>0</v>
      </c>
      <c r="W220" s="52">
        <f>IF(ISERROR(VLOOKUP($T$220,'TAR FIN'!$A$1:$O$88,15,0)),0,VLOOKUP($T$220,'TAR FIN'!$A$1:$O$88,15,0))*(1-0.04)</f>
        <v>1406.5151999999998</v>
      </c>
      <c r="X220" s="52">
        <f>IF(ISERROR(VLOOKUP($U$220,'TAR FIN'!$A$1:$O$88,15,0)),0,VLOOKUP($U$220,'TAR FIN'!$A$1:$O$88,15,0))*(1-0.04)</f>
        <v>242.13119999999998</v>
      </c>
      <c r="Y220" s="52"/>
      <c r="Z220" s="52">
        <f ca="1">('TUSD BE'!$AM$11+'TUSD BF'!$AM$11+'TUSD CVA'!$AM$11)*1*(1-0.02)</f>
        <v>1619.5733401074451</v>
      </c>
      <c r="AA220" s="52">
        <f>('TE BE'!$AB$5+'TE BF'!$AB$5+'TE CVA'!$AB$5)*1*(1-0.02)</f>
        <v>246.88600565553992</v>
      </c>
      <c r="AB220" s="6">
        <f>$K$220*$V$220</f>
        <v>0</v>
      </c>
      <c r="AC220" s="6">
        <f>$M$220*$W$220</f>
        <v>7671.1339007999986</v>
      </c>
      <c r="AD220" s="6">
        <f>$O$220*$X$220</f>
        <v>1320.5835647999997</v>
      </c>
      <c r="AE220" s="6">
        <f>$K$220*$Y$220</f>
        <v>0</v>
      </c>
      <c r="AF220" s="6">
        <f ca="1">$M$220*$Z$220</f>
        <v>8833.1529969460044</v>
      </c>
      <c r="AG220" s="6">
        <f>$O$220*$AA$220</f>
        <v>1346.5162748453147</v>
      </c>
    </row>
    <row r="221" spans="1:33" ht="11.25" customHeight="1" x14ac:dyDescent="0.25">
      <c r="A221" s="4" t="s">
        <v>21</v>
      </c>
      <c r="B221" s="4" t="s">
        <v>35</v>
      </c>
      <c r="C221" s="4" t="s">
        <v>36</v>
      </c>
      <c r="D221" s="4" t="s">
        <v>41</v>
      </c>
      <c r="E221" s="4" t="s">
        <v>49</v>
      </c>
      <c r="F221" s="4" t="s">
        <v>25</v>
      </c>
      <c r="G221" s="4" t="s">
        <v>25</v>
      </c>
      <c r="H221" s="4" t="s">
        <v>37</v>
      </c>
      <c r="I221" s="5">
        <v>44713</v>
      </c>
      <c r="J221" s="6">
        <v>0</v>
      </c>
      <c r="K221" s="52">
        <v>0</v>
      </c>
      <c r="L221" s="6">
        <v>3.14</v>
      </c>
      <c r="M221" s="52">
        <v>3.14</v>
      </c>
      <c r="N221" s="6">
        <v>3.14</v>
      </c>
      <c r="O221" s="52">
        <v>3.14</v>
      </c>
      <c r="P221" s="6">
        <v>0</v>
      </c>
      <c r="Q221" s="4" t="s">
        <v>26</v>
      </c>
      <c r="R221" s="4">
        <v>0</v>
      </c>
      <c r="S221" s="6">
        <v>0</v>
      </c>
      <c r="T221" s="6">
        <v>7</v>
      </c>
      <c r="U221" s="6">
        <v>41</v>
      </c>
      <c r="V221" s="52">
        <f>IF(ISERROR(VLOOKUP($S$221,'TAR FIN'!$A$1:$O$88,15,0)),0,VLOOKUP($S$221,'TAR FIN'!$A$1:$O$88,15,0))</f>
        <v>0</v>
      </c>
      <c r="W221" s="52">
        <f>IF(ISERROR(VLOOKUP($T$221,'TAR FIN'!$A$1:$O$88,15,0)),0,VLOOKUP($T$221,'TAR FIN'!$A$1:$O$88,15,0))*(1-0.04)</f>
        <v>1406.5151999999998</v>
      </c>
      <c r="X221" s="52">
        <f>IF(ISERROR(VLOOKUP($U$221,'TAR FIN'!$A$1:$O$88,15,0)),0,VLOOKUP($U$221,'TAR FIN'!$A$1:$O$88,15,0))*(1-0.04)</f>
        <v>242.13119999999998</v>
      </c>
      <c r="Y221" s="52"/>
      <c r="Z221" s="52">
        <f ca="1">('TUSD BE'!$AM$11+'TUSD BF'!$AM$11+'TUSD CVA'!$AM$11)*1*(1-0.02)</f>
        <v>1619.5733401074451</v>
      </c>
      <c r="AA221" s="52">
        <f>('TE BE'!$AB$5+'TE BF'!$AB$5+'TE CVA'!$AB$5)*1*(1-0.02)</f>
        <v>246.88600565553992</v>
      </c>
      <c r="AB221" s="6">
        <f>$K$221*$V$221</f>
        <v>0</v>
      </c>
      <c r="AC221" s="6">
        <f>$M$221*$W$221</f>
        <v>4416.4577279999994</v>
      </c>
      <c r="AD221" s="6">
        <f>$O$221*$X$221</f>
        <v>760.291968</v>
      </c>
      <c r="AE221" s="6">
        <f>$K$221*$Y$221</f>
        <v>0</v>
      </c>
      <c r="AF221" s="6">
        <f ca="1">$M$221*$Z$221</f>
        <v>5085.4602879373779</v>
      </c>
      <c r="AG221" s="6">
        <f>$O$221*$AA$221</f>
        <v>775.22205775839541</v>
      </c>
    </row>
    <row r="222" spans="1:33" ht="11.25" customHeight="1" x14ac:dyDescent="0.25">
      <c r="A222" s="4" t="s">
        <v>21</v>
      </c>
      <c r="B222" s="4" t="s">
        <v>35</v>
      </c>
      <c r="C222" s="4" t="s">
        <v>36</v>
      </c>
      <c r="D222" s="4" t="s">
        <v>41</v>
      </c>
      <c r="E222" s="4" t="s">
        <v>25</v>
      </c>
      <c r="F222" s="4" t="s">
        <v>25</v>
      </c>
      <c r="G222" s="4" t="s">
        <v>25</v>
      </c>
      <c r="H222" s="4" t="s">
        <v>38</v>
      </c>
      <c r="I222" s="5">
        <v>44378</v>
      </c>
      <c r="J222" s="6">
        <v>0</v>
      </c>
      <c r="K222" s="52">
        <v>0</v>
      </c>
      <c r="L222" s="6">
        <v>26.263000000000002</v>
      </c>
      <c r="M222" s="52">
        <v>26.263000000000002</v>
      </c>
      <c r="N222" s="6">
        <v>26.263000000000002</v>
      </c>
      <c r="O222" s="52">
        <v>26.263000000000002</v>
      </c>
      <c r="P222" s="6">
        <v>0</v>
      </c>
      <c r="Q222" s="4" t="s">
        <v>26</v>
      </c>
      <c r="R222" s="4">
        <v>0</v>
      </c>
      <c r="S222" s="6">
        <v>0</v>
      </c>
      <c r="T222" s="6">
        <v>15</v>
      </c>
      <c r="U222" s="6">
        <v>28</v>
      </c>
      <c r="V222" s="52">
        <f>IF(ISERROR(VLOOKUP($S$222,'TAR FIN'!$A$1:$O$88,15,0)),0,VLOOKUP($S$222,'TAR FIN'!$A$1:$O$88,15,0))</f>
        <v>0</v>
      </c>
      <c r="W222" s="52">
        <f>IF(ISERROR(VLOOKUP($T$222,'TAR FIN'!$A$1:$O$88,15,0)),0,VLOOKUP($T$222,'TAR FIN'!$A$1:$O$88,15,0))*(1-0.04)</f>
        <v>76.147199999999984</v>
      </c>
      <c r="X222" s="52">
        <f>IF(ISERROR(VLOOKUP($U$222,'TAR FIN'!$A$1:$O$88,15,0)),0,VLOOKUP($U$222,'TAR FIN'!$A$1:$O$88,15,0))*(1-0.04)</f>
        <v>242.13119999999998</v>
      </c>
      <c r="Y222" s="52"/>
      <c r="Z222" s="52">
        <f ca="1">('TUSD BE'!$AM$12+'TUSD BF'!$AM$12+'TUSD CVA'!$AM$12)*1*(1-0.02)</f>
        <v>100.66205186369288</v>
      </c>
      <c r="AA222" s="52">
        <f>('TE BE'!$AB$6+'TE BF'!$AB$6+'TE CVA'!$AB$6)*1*(1-0.02)</f>
        <v>246.88600565553992</v>
      </c>
      <c r="AB222" s="6">
        <f>$K$222*$V$222</f>
        <v>0</v>
      </c>
      <c r="AC222" s="6">
        <f>$M$222*$W$222</f>
        <v>1999.8539135999997</v>
      </c>
      <c r="AD222" s="6">
        <f>$O$222*$X$222</f>
        <v>6359.0917055999998</v>
      </c>
      <c r="AE222" s="6">
        <f>$K$222*$Y$222</f>
        <v>0</v>
      </c>
      <c r="AF222" s="6">
        <f ca="1">$M$222*$Z$222</f>
        <v>2643.6874680961664</v>
      </c>
      <c r="AG222" s="6">
        <f>$O$222*$AA$222</f>
        <v>6483.9671665314454</v>
      </c>
    </row>
    <row r="223" spans="1:33" ht="11.25" customHeight="1" x14ac:dyDescent="0.25">
      <c r="A223" s="4" t="s">
        <v>28</v>
      </c>
      <c r="B223" s="4" t="s">
        <v>35</v>
      </c>
      <c r="C223" s="4" t="s">
        <v>36</v>
      </c>
      <c r="D223" s="4" t="s">
        <v>41</v>
      </c>
      <c r="E223" s="4" t="s">
        <v>25</v>
      </c>
      <c r="F223" s="4" t="s">
        <v>25</v>
      </c>
      <c r="G223" s="4" t="s">
        <v>25</v>
      </c>
      <c r="H223" s="4" t="s">
        <v>38</v>
      </c>
      <c r="I223" s="5">
        <v>44378</v>
      </c>
      <c r="J223" s="6">
        <v>0</v>
      </c>
      <c r="K223" s="52">
        <v>0</v>
      </c>
      <c r="L223" s="6">
        <v>-48.38</v>
      </c>
      <c r="M223" s="52">
        <v>-48.38</v>
      </c>
      <c r="N223" s="6">
        <v>-48.38</v>
      </c>
      <c r="O223" s="52">
        <v>-48.38</v>
      </c>
      <c r="P223" s="6">
        <v>0</v>
      </c>
      <c r="Q223" s="4" t="s">
        <v>26</v>
      </c>
      <c r="R223" s="4">
        <v>0</v>
      </c>
      <c r="S223" s="6">
        <v>0</v>
      </c>
      <c r="T223" s="6">
        <v>15</v>
      </c>
      <c r="U223" s="6">
        <v>28</v>
      </c>
      <c r="V223" s="52">
        <f>IF(ISERROR(VLOOKUP($S$223,'TAR FIN'!$A$1:$O$88,15,0)),0,VLOOKUP($S$223,'TAR FIN'!$A$1:$O$88,15,0))</f>
        <v>0</v>
      </c>
      <c r="W223" s="52">
        <f>IF(ISERROR(VLOOKUP($T$223,'TAR FIN'!$A$1:$O$88,15,0)),0,VLOOKUP($T$223,'TAR FIN'!$A$1:$O$88,15,0))*(1-0.04)</f>
        <v>76.147199999999984</v>
      </c>
      <c r="X223" s="52">
        <f>IF(ISERROR(VLOOKUP($U$223,'TAR FIN'!$A$1:$O$88,15,0)),0,VLOOKUP($U$223,'TAR FIN'!$A$1:$O$88,15,0))*(1-0.04)</f>
        <v>242.13119999999998</v>
      </c>
      <c r="Y223" s="52"/>
      <c r="Z223" s="52">
        <f ca="1">('TUSD BE'!$AM$12+'TUSD BF'!$AM$12+'TUSD CVA'!$AM$12)*1*(1-0.02)</f>
        <v>100.66205186369288</v>
      </c>
      <c r="AA223" s="52">
        <f>('TE BE'!$AB$6+'TE BF'!$AB$6+'TE CVA'!$AB$6)*1*(1-0.02)</f>
        <v>246.88600565553992</v>
      </c>
      <c r="AB223" s="6">
        <f>$K$223*$V$223</f>
        <v>0</v>
      </c>
      <c r="AC223" s="6">
        <f>$M$223*$W$223</f>
        <v>-3684.0015359999993</v>
      </c>
      <c r="AD223" s="6">
        <f>$O$223*$X$223</f>
        <v>-11714.307456</v>
      </c>
      <c r="AE223" s="6">
        <f>$K$223*$Y$223</f>
        <v>0</v>
      </c>
      <c r="AF223" s="6">
        <f ca="1">$M$223*$Z$223</f>
        <v>-4870.030069165462</v>
      </c>
      <c r="AG223" s="6">
        <f>$O$223*$AA$223</f>
        <v>-11944.344953615022</v>
      </c>
    </row>
    <row r="224" spans="1:33" ht="11.25" customHeight="1" x14ac:dyDescent="0.25">
      <c r="A224" s="4" t="s">
        <v>21</v>
      </c>
      <c r="B224" s="4" t="s">
        <v>35</v>
      </c>
      <c r="C224" s="4" t="s">
        <v>36</v>
      </c>
      <c r="D224" s="4" t="s">
        <v>41</v>
      </c>
      <c r="E224" s="4" t="s">
        <v>25</v>
      </c>
      <c r="F224" s="4" t="s">
        <v>25</v>
      </c>
      <c r="G224" s="4" t="s">
        <v>25</v>
      </c>
      <c r="H224" s="4" t="s">
        <v>38</v>
      </c>
      <c r="I224" s="5">
        <v>44409</v>
      </c>
      <c r="J224" s="6">
        <v>0</v>
      </c>
      <c r="K224" s="52">
        <v>0</v>
      </c>
      <c r="L224" s="6">
        <v>28.582999999999998</v>
      </c>
      <c r="M224" s="52">
        <v>28.582999999999998</v>
      </c>
      <c r="N224" s="6">
        <v>28.582999999999998</v>
      </c>
      <c r="O224" s="52">
        <v>28.582999999999998</v>
      </c>
      <c r="P224" s="6">
        <v>0</v>
      </c>
      <c r="Q224" s="4" t="s">
        <v>26</v>
      </c>
      <c r="R224" s="4">
        <v>0</v>
      </c>
      <c r="S224" s="6">
        <v>0</v>
      </c>
      <c r="T224" s="6">
        <v>15</v>
      </c>
      <c r="U224" s="6">
        <v>28</v>
      </c>
      <c r="V224" s="52">
        <f>IF(ISERROR(VLOOKUP($S$224,'TAR FIN'!$A$1:$O$88,15,0)),0,VLOOKUP($S$224,'TAR FIN'!$A$1:$O$88,15,0))</f>
        <v>0</v>
      </c>
      <c r="W224" s="52">
        <f>IF(ISERROR(VLOOKUP($T$224,'TAR FIN'!$A$1:$O$88,15,0)),0,VLOOKUP($T$224,'TAR FIN'!$A$1:$O$88,15,0))*(1-0.04)</f>
        <v>76.147199999999984</v>
      </c>
      <c r="X224" s="52">
        <f>IF(ISERROR(VLOOKUP($U$224,'TAR FIN'!$A$1:$O$88,15,0)),0,VLOOKUP($U$224,'TAR FIN'!$A$1:$O$88,15,0))*(1-0.04)</f>
        <v>242.13119999999998</v>
      </c>
      <c r="Y224" s="52"/>
      <c r="Z224" s="52">
        <f ca="1">('TUSD BE'!$AM$12+'TUSD BF'!$AM$12+'TUSD CVA'!$AM$12)*1*(1-0.02)</f>
        <v>100.66205186369288</v>
      </c>
      <c r="AA224" s="52">
        <f>('TE BE'!$AB$6+'TE BF'!$AB$6+'TE CVA'!$AB$6)*1*(1-0.02)</f>
        <v>246.88600565553992</v>
      </c>
      <c r="AB224" s="6">
        <f>$K$224*$V$224</f>
        <v>0</v>
      </c>
      <c r="AC224" s="6">
        <f>$M$224*$W$224</f>
        <v>2176.5154175999996</v>
      </c>
      <c r="AD224" s="6">
        <f>$O$224*$X$224</f>
        <v>6920.8360895999986</v>
      </c>
      <c r="AE224" s="6">
        <f>$K$224*$Y$224</f>
        <v>0</v>
      </c>
      <c r="AF224" s="6">
        <f ca="1">$M$224*$Z$224</f>
        <v>2877.2234284199335</v>
      </c>
      <c r="AG224" s="6">
        <f>$O$224*$AA$224</f>
        <v>7056.7426996522972</v>
      </c>
    </row>
    <row r="225" spans="1:33" ht="11.25" customHeight="1" x14ac:dyDescent="0.25">
      <c r="A225" s="4" t="s">
        <v>21</v>
      </c>
      <c r="B225" s="4" t="s">
        <v>35</v>
      </c>
      <c r="C225" s="4" t="s">
        <v>36</v>
      </c>
      <c r="D225" s="4" t="s">
        <v>41</v>
      </c>
      <c r="E225" s="4" t="s">
        <v>25</v>
      </c>
      <c r="F225" s="4" t="s">
        <v>25</v>
      </c>
      <c r="G225" s="4" t="s">
        <v>25</v>
      </c>
      <c r="H225" s="4" t="s">
        <v>38</v>
      </c>
      <c r="I225" s="5">
        <v>44440</v>
      </c>
      <c r="J225" s="6">
        <v>0</v>
      </c>
      <c r="K225" s="52">
        <v>0</v>
      </c>
      <c r="L225" s="6">
        <v>25.841999999999999</v>
      </c>
      <c r="M225" s="52">
        <v>25.841999999999999</v>
      </c>
      <c r="N225" s="6">
        <v>25.841999999999999</v>
      </c>
      <c r="O225" s="52">
        <v>25.841999999999999</v>
      </c>
      <c r="P225" s="6">
        <v>0</v>
      </c>
      <c r="Q225" s="4" t="s">
        <v>26</v>
      </c>
      <c r="R225" s="4">
        <v>0</v>
      </c>
      <c r="S225" s="6">
        <v>0</v>
      </c>
      <c r="T225" s="6">
        <v>15</v>
      </c>
      <c r="U225" s="6">
        <v>28</v>
      </c>
      <c r="V225" s="52">
        <f>IF(ISERROR(VLOOKUP($S$225,'TAR FIN'!$A$1:$O$88,15,0)),0,VLOOKUP($S$225,'TAR FIN'!$A$1:$O$88,15,0))</f>
        <v>0</v>
      </c>
      <c r="W225" s="52">
        <f>IF(ISERROR(VLOOKUP($T$225,'TAR FIN'!$A$1:$O$88,15,0)),0,VLOOKUP($T$225,'TAR FIN'!$A$1:$O$88,15,0))*(1-0.04)</f>
        <v>76.147199999999984</v>
      </c>
      <c r="X225" s="52">
        <f>IF(ISERROR(VLOOKUP($U$225,'TAR FIN'!$A$1:$O$88,15,0)),0,VLOOKUP($U$225,'TAR FIN'!$A$1:$O$88,15,0))*(1-0.04)</f>
        <v>242.13119999999998</v>
      </c>
      <c r="Y225" s="52"/>
      <c r="Z225" s="52">
        <f ca="1">('TUSD BE'!$AM$12+'TUSD BF'!$AM$12+'TUSD CVA'!$AM$12)*1*(1-0.02)</f>
        <v>100.66205186369288</v>
      </c>
      <c r="AA225" s="52">
        <f>('TE BE'!$AB$6+'TE BF'!$AB$6+'TE CVA'!$AB$6)*1*(1-0.02)</f>
        <v>246.88600565553992</v>
      </c>
      <c r="AB225" s="6">
        <f>$K$225*$V$225</f>
        <v>0</v>
      </c>
      <c r="AC225" s="6">
        <f>$M$225*$W$225</f>
        <v>1967.7959423999994</v>
      </c>
      <c r="AD225" s="6">
        <f>$O$225*$X$225</f>
        <v>6257.1544703999989</v>
      </c>
      <c r="AE225" s="6">
        <f>$K$225*$Y$225</f>
        <v>0</v>
      </c>
      <c r="AF225" s="6">
        <f ca="1">$M$225*$Z$225</f>
        <v>2601.3087442615515</v>
      </c>
      <c r="AG225" s="6">
        <f>$O$225*$AA$225</f>
        <v>6380.0281581504623</v>
      </c>
    </row>
    <row r="226" spans="1:33" ht="11.25" customHeight="1" x14ac:dyDescent="0.25">
      <c r="A226" s="4" t="s">
        <v>21</v>
      </c>
      <c r="B226" s="4" t="s">
        <v>35</v>
      </c>
      <c r="C226" s="4" t="s">
        <v>36</v>
      </c>
      <c r="D226" s="4" t="s">
        <v>41</v>
      </c>
      <c r="E226" s="4" t="s">
        <v>25</v>
      </c>
      <c r="F226" s="4" t="s">
        <v>25</v>
      </c>
      <c r="G226" s="4" t="s">
        <v>25</v>
      </c>
      <c r="H226" s="4" t="s">
        <v>38</v>
      </c>
      <c r="I226" s="5">
        <v>44470</v>
      </c>
      <c r="J226" s="6">
        <v>0</v>
      </c>
      <c r="K226" s="52">
        <v>0</v>
      </c>
      <c r="L226" s="6">
        <v>28.277999999999999</v>
      </c>
      <c r="M226" s="52">
        <v>28.277999999999999</v>
      </c>
      <c r="N226" s="6">
        <v>28.277999999999999</v>
      </c>
      <c r="O226" s="52">
        <v>28.277999999999999</v>
      </c>
      <c r="P226" s="6">
        <v>0</v>
      </c>
      <c r="Q226" s="4" t="s">
        <v>26</v>
      </c>
      <c r="R226" s="4">
        <v>0</v>
      </c>
      <c r="S226" s="6">
        <v>0</v>
      </c>
      <c r="T226" s="6">
        <v>15</v>
      </c>
      <c r="U226" s="6">
        <v>28</v>
      </c>
      <c r="V226" s="52">
        <f>IF(ISERROR(VLOOKUP($S$226,'TAR FIN'!$A$1:$O$88,15,0)),0,VLOOKUP($S$226,'TAR FIN'!$A$1:$O$88,15,0))</f>
        <v>0</v>
      </c>
      <c r="W226" s="52">
        <f>IF(ISERROR(VLOOKUP($T$226,'TAR FIN'!$A$1:$O$88,15,0)),0,VLOOKUP($T$226,'TAR FIN'!$A$1:$O$88,15,0))*(1-0.04)</f>
        <v>76.147199999999984</v>
      </c>
      <c r="X226" s="52">
        <f>IF(ISERROR(VLOOKUP($U$226,'TAR FIN'!$A$1:$O$88,15,0)),0,VLOOKUP($U$226,'TAR FIN'!$A$1:$O$88,15,0))*(1-0.04)</f>
        <v>242.13119999999998</v>
      </c>
      <c r="Y226" s="52"/>
      <c r="Z226" s="52">
        <f ca="1">('TUSD BE'!$AM$12+'TUSD BF'!$AM$12+'TUSD CVA'!$AM$12)*1*(1-0.02)</f>
        <v>100.66205186369288</v>
      </c>
      <c r="AA226" s="52">
        <f>('TE BE'!$AB$6+'TE BF'!$AB$6+'TE CVA'!$AB$6)*1*(1-0.02)</f>
        <v>246.88600565553992</v>
      </c>
      <c r="AB226" s="6">
        <f>$K$226*$V$226</f>
        <v>0</v>
      </c>
      <c r="AC226" s="6">
        <f>$M$226*$W$226</f>
        <v>2153.2905215999995</v>
      </c>
      <c r="AD226" s="6">
        <f>$O$226*$X$226</f>
        <v>6846.9860735999991</v>
      </c>
      <c r="AE226" s="6">
        <f>$K$226*$Y$226</f>
        <v>0</v>
      </c>
      <c r="AF226" s="6">
        <f ca="1">$M$226*$Z$226</f>
        <v>2846.5215026015071</v>
      </c>
      <c r="AG226" s="6">
        <f>$O$226*$AA$226</f>
        <v>6981.4424679273579</v>
      </c>
    </row>
    <row r="227" spans="1:33" ht="11.25" customHeight="1" x14ac:dyDescent="0.25">
      <c r="A227" s="4" t="s">
        <v>21</v>
      </c>
      <c r="B227" s="4" t="s">
        <v>35</v>
      </c>
      <c r="C227" s="4" t="s">
        <v>36</v>
      </c>
      <c r="D227" s="4" t="s">
        <v>41</v>
      </c>
      <c r="E227" s="4" t="s">
        <v>25</v>
      </c>
      <c r="F227" s="4" t="s">
        <v>25</v>
      </c>
      <c r="G227" s="4" t="s">
        <v>25</v>
      </c>
      <c r="H227" s="4" t="s">
        <v>38</v>
      </c>
      <c r="I227" s="5">
        <v>44501</v>
      </c>
      <c r="J227" s="6">
        <v>0</v>
      </c>
      <c r="K227" s="52">
        <v>0</v>
      </c>
      <c r="L227" s="6">
        <v>33.890999999999998</v>
      </c>
      <c r="M227" s="52">
        <v>33.890999999999998</v>
      </c>
      <c r="N227" s="6">
        <v>33.890999999999998</v>
      </c>
      <c r="O227" s="52">
        <v>33.890999999999998</v>
      </c>
      <c r="P227" s="6">
        <v>0</v>
      </c>
      <c r="Q227" s="4" t="s">
        <v>26</v>
      </c>
      <c r="R227" s="4">
        <v>0</v>
      </c>
      <c r="S227" s="6">
        <v>0</v>
      </c>
      <c r="T227" s="6">
        <v>15</v>
      </c>
      <c r="U227" s="6">
        <v>28</v>
      </c>
      <c r="V227" s="52">
        <f>IF(ISERROR(VLOOKUP($S$227,'TAR FIN'!$A$1:$O$88,15,0)),0,VLOOKUP($S$227,'TAR FIN'!$A$1:$O$88,15,0))</f>
        <v>0</v>
      </c>
      <c r="W227" s="52">
        <f>IF(ISERROR(VLOOKUP($T$227,'TAR FIN'!$A$1:$O$88,15,0)),0,VLOOKUP($T$227,'TAR FIN'!$A$1:$O$88,15,0))*(1-0.04)</f>
        <v>76.147199999999984</v>
      </c>
      <c r="X227" s="52">
        <f>IF(ISERROR(VLOOKUP($U$227,'TAR FIN'!$A$1:$O$88,15,0)),0,VLOOKUP($U$227,'TAR FIN'!$A$1:$O$88,15,0))*(1-0.04)</f>
        <v>242.13119999999998</v>
      </c>
      <c r="Y227" s="52"/>
      <c r="Z227" s="52">
        <f ca="1">('TUSD BE'!$AM$12+'TUSD BF'!$AM$12+'TUSD CVA'!$AM$12)*1*(1-0.02)</f>
        <v>100.66205186369288</v>
      </c>
      <c r="AA227" s="52">
        <f>('TE BE'!$AB$6+'TE BF'!$AB$6+'TE CVA'!$AB$6)*1*(1-0.02)</f>
        <v>246.88600565553992</v>
      </c>
      <c r="AB227" s="6">
        <f>$K$227*$V$227</f>
        <v>0</v>
      </c>
      <c r="AC227" s="6">
        <f>$M$227*$W$227</f>
        <v>2580.7047551999995</v>
      </c>
      <c r="AD227" s="6">
        <f>$O$227*$X$227</f>
        <v>8206.0684991999988</v>
      </c>
      <c r="AE227" s="6">
        <f>$K$227*$Y$227</f>
        <v>0</v>
      </c>
      <c r="AF227" s="6">
        <f ca="1">$M$227*$Z$227</f>
        <v>3411.5375997124152</v>
      </c>
      <c r="AG227" s="6">
        <f>$O$227*$AA$227</f>
        <v>8367.2136176719032</v>
      </c>
    </row>
    <row r="228" spans="1:33" ht="11.25" customHeight="1" x14ac:dyDescent="0.25">
      <c r="A228" s="4" t="s">
        <v>21</v>
      </c>
      <c r="B228" s="4" t="s">
        <v>35</v>
      </c>
      <c r="C228" s="4" t="s">
        <v>36</v>
      </c>
      <c r="D228" s="4" t="s">
        <v>41</v>
      </c>
      <c r="E228" s="4" t="s">
        <v>25</v>
      </c>
      <c r="F228" s="4" t="s">
        <v>25</v>
      </c>
      <c r="G228" s="4" t="s">
        <v>25</v>
      </c>
      <c r="H228" s="4" t="s">
        <v>38</v>
      </c>
      <c r="I228" s="5">
        <v>44531</v>
      </c>
      <c r="J228" s="6">
        <v>0</v>
      </c>
      <c r="K228" s="52">
        <v>0</v>
      </c>
      <c r="L228" s="6">
        <v>31.939</v>
      </c>
      <c r="M228" s="52">
        <v>31.939</v>
      </c>
      <c r="N228" s="6">
        <v>31.939</v>
      </c>
      <c r="O228" s="52">
        <v>31.939</v>
      </c>
      <c r="P228" s="6">
        <v>0</v>
      </c>
      <c r="Q228" s="4" t="s">
        <v>26</v>
      </c>
      <c r="R228" s="4">
        <v>0</v>
      </c>
      <c r="S228" s="6">
        <v>0</v>
      </c>
      <c r="T228" s="6">
        <v>15</v>
      </c>
      <c r="U228" s="6">
        <v>28</v>
      </c>
      <c r="V228" s="52">
        <f>IF(ISERROR(VLOOKUP($S$228,'TAR FIN'!$A$1:$O$88,15,0)),0,VLOOKUP($S$228,'TAR FIN'!$A$1:$O$88,15,0))</f>
        <v>0</v>
      </c>
      <c r="W228" s="52">
        <f>IF(ISERROR(VLOOKUP($T$228,'TAR FIN'!$A$1:$O$88,15,0)),0,VLOOKUP($T$228,'TAR FIN'!$A$1:$O$88,15,0))*(1-0.04)</f>
        <v>76.147199999999984</v>
      </c>
      <c r="X228" s="52">
        <f>IF(ISERROR(VLOOKUP($U$228,'TAR FIN'!$A$1:$O$88,15,0)),0,VLOOKUP($U$228,'TAR FIN'!$A$1:$O$88,15,0))*(1-0.04)</f>
        <v>242.13119999999998</v>
      </c>
      <c r="Y228" s="52"/>
      <c r="Z228" s="52">
        <f ca="1">('TUSD BE'!$AM$12+'TUSD BF'!$AM$12+'TUSD CVA'!$AM$12)*1*(1-0.02)</f>
        <v>100.66205186369288</v>
      </c>
      <c r="AA228" s="52">
        <f>('TE BE'!$AB$6+'TE BF'!$AB$6+'TE CVA'!$AB$6)*1*(1-0.02)</f>
        <v>246.88600565553992</v>
      </c>
      <c r="AB228" s="6">
        <f>$K$228*$V$228</f>
        <v>0</v>
      </c>
      <c r="AC228" s="6">
        <f>$M$228*$W$228</f>
        <v>2432.0654207999996</v>
      </c>
      <c r="AD228" s="6">
        <f>$O$228*$X$228</f>
        <v>7733.4283967999991</v>
      </c>
      <c r="AE228" s="6">
        <f>$K$228*$Y$228</f>
        <v>0</v>
      </c>
      <c r="AF228" s="6">
        <f ca="1">$M$228*$Z$228</f>
        <v>3215.0452744744871</v>
      </c>
      <c r="AG228" s="6">
        <f>$O$228*$AA$228</f>
        <v>7885.2921346322892</v>
      </c>
    </row>
    <row r="229" spans="1:33" ht="11.25" customHeight="1" x14ac:dyDescent="0.25">
      <c r="A229" s="4" t="s">
        <v>21</v>
      </c>
      <c r="B229" s="4" t="s">
        <v>35</v>
      </c>
      <c r="C229" s="4" t="s">
        <v>36</v>
      </c>
      <c r="D229" s="4" t="s">
        <v>41</v>
      </c>
      <c r="E229" s="4" t="s">
        <v>25</v>
      </c>
      <c r="F229" s="4" t="s">
        <v>25</v>
      </c>
      <c r="G229" s="4" t="s">
        <v>25</v>
      </c>
      <c r="H229" s="4" t="s">
        <v>38</v>
      </c>
      <c r="I229" s="5">
        <v>44562</v>
      </c>
      <c r="J229" s="6">
        <v>0</v>
      </c>
      <c r="K229" s="52">
        <v>0</v>
      </c>
      <c r="L229" s="6">
        <v>38.256</v>
      </c>
      <c r="M229" s="52">
        <v>38.256</v>
      </c>
      <c r="N229" s="6">
        <v>38.256</v>
      </c>
      <c r="O229" s="52">
        <v>38.256</v>
      </c>
      <c r="P229" s="6">
        <v>0</v>
      </c>
      <c r="Q229" s="4" t="s">
        <v>26</v>
      </c>
      <c r="R229" s="4">
        <v>0</v>
      </c>
      <c r="S229" s="6">
        <v>0</v>
      </c>
      <c r="T229" s="6">
        <v>15</v>
      </c>
      <c r="U229" s="6">
        <v>28</v>
      </c>
      <c r="V229" s="52">
        <f>IF(ISERROR(VLOOKUP($S$229,'TAR FIN'!$A$1:$O$88,15,0)),0,VLOOKUP($S$229,'TAR FIN'!$A$1:$O$88,15,0))</f>
        <v>0</v>
      </c>
      <c r="W229" s="52">
        <f>IF(ISERROR(VLOOKUP($T$229,'TAR FIN'!$A$1:$O$88,15,0)),0,VLOOKUP($T$229,'TAR FIN'!$A$1:$O$88,15,0))*(1-0.04)</f>
        <v>76.147199999999984</v>
      </c>
      <c r="X229" s="52">
        <f>IF(ISERROR(VLOOKUP($U$229,'TAR FIN'!$A$1:$O$88,15,0)),0,VLOOKUP($U$229,'TAR FIN'!$A$1:$O$88,15,0))*(1-0.04)</f>
        <v>242.13119999999998</v>
      </c>
      <c r="Y229" s="52"/>
      <c r="Z229" s="52">
        <f ca="1">('TUSD BE'!$AM$12+'TUSD BF'!$AM$12+'TUSD CVA'!$AM$12)*1*(1-0.02)</f>
        <v>100.66205186369288</v>
      </c>
      <c r="AA229" s="52">
        <f>('TE BE'!$AB$6+'TE BF'!$AB$6+'TE CVA'!$AB$6)*1*(1-0.02)</f>
        <v>246.88600565553992</v>
      </c>
      <c r="AB229" s="6">
        <f>$K$229*$V$229</f>
        <v>0</v>
      </c>
      <c r="AC229" s="6">
        <f>$M$229*$W$229</f>
        <v>2913.0872831999995</v>
      </c>
      <c r="AD229" s="6">
        <f>$O$229*$X$229</f>
        <v>9262.9711871999989</v>
      </c>
      <c r="AE229" s="6">
        <f>$K$229*$Y$229</f>
        <v>0</v>
      </c>
      <c r="AF229" s="6">
        <f ca="1">$M$229*$Z$229</f>
        <v>3850.927456097435</v>
      </c>
      <c r="AG229" s="6">
        <f>$O$229*$AA$229</f>
        <v>9444.8710323583346</v>
      </c>
    </row>
    <row r="230" spans="1:33" ht="11.25" customHeight="1" x14ac:dyDescent="0.25">
      <c r="A230" s="4" t="s">
        <v>21</v>
      </c>
      <c r="B230" s="4" t="s">
        <v>35</v>
      </c>
      <c r="C230" s="4" t="s">
        <v>36</v>
      </c>
      <c r="D230" s="4" t="s">
        <v>41</v>
      </c>
      <c r="E230" s="4" t="s">
        <v>25</v>
      </c>
      <c r="F230" s="4" t="s">
        <v>25</v>
      </c>
      <c r="G230" s="4" t="s">
        <v>25</v>
      </c>
      <c r="H230" s="4" t="s">
        <v>38</v>
      </c>
      <c r="I230" s="5">
        <v>44593</v>
      </c>
      <c r="J230" s="6">
        <v>0</v>
      </c>
      <c r="K230" s="52">
        <v>0</v>
      </c>
      <c r="L230" s="6">
        <v>32.28</v>
      </c>
      <c r="M230" s="52">
        <v>32.28</v>
      </c>
      <c r="N230" s="6">
        <v>32.28</v>
      </c>
      <c r="O230" s="52">
        <v>32.28</v>
      </c>
      <c r="P230" s="6">
        <v>0</v>
      </c>
      <c r="Q230" s="4" t="s">
        <v>26</v>
      </c>
      <c r="R230" s="4">
        <v>0</v>
      </c>
      <c r="S230" s="6">
        <v>0</v>
      </c>
      <c r="T230" s="6">
        <v>15</v>
      </c>
      <c r="U230" s="6">
        <v>28</v>
      </c>
      <c r="V230" s="52">
        <f>IF(ISERROR(VLOOKUP($S$230,'TAR FIN'!$A$1:$O$88,15,0)),0,VLOOKUP($S$230,'TAR FIN'!$A$1:$O$88,15,0))</f>
        <v>0</v>
      </c>
      <c r="W230" s="52">
        <f>IF(ISERROR(VLOOKUP($T$230,'TAR FIN'!$A$1:$O$88,15,0)),0,VLOOKUP($T$230,'TAR FIN'!$A$1:$O$88,15,0))*(1-0.04)</f>
        <v>76.147199999999984</v>
      </c>
      <c r="X230" s="52">
        <f>IF(ISERROR(VLOOKUP($U$230,'TAR FIN'!$A$1:$O$88,15,0)),0,VLOOKUP($U$230,'TAR FIN'!$A$1:$O$88,15,0))*(1-0.04)</f>
        <v>242.13119999999998</v>
      </c>
      <c r="Y230" s="52"/>
      <c r="Z230" s="52">
        <f ca="1">('TUSD BE'!$AM$12+'TUSD BF'!$AM$12+'TUSD CVA'!$AM$12)*1*(1-0.02)</f>
        <v>100.66205186369288</v>
      </c>
      <c r="AA230" s="52">
        <f>('TE BE'!$AB$6+'TE BF'!$AB$6+'TE CVA'!$AB$6)*1*(1-0.02)</f>
        <v>246.88600565553992</v>
      </c>
      <c r="AB230" s="6">
        <f>$K$230*$V$230</f>
        <v>0</v>
      </c>
      <c r="AC230" s="6">
        <f>$M$230*$W$230</f>
        <v>2458.0316159999998</v>
      </c>
      <c r="AD230" s="6">
        <f>$O$230*$X$230</f>
        <v>7815.9951359999995</v>
      </c>
      <c r="AE230" s="6">
        <f>$K$230*$Y$230</f>
        <v>0</v>
      </c>
      <c r="AF230" s="6">
        <f ca="1">$M$230*$Z$230</f>
        <v>3249.3710341600063</v>
      </c>
      <c r="AG230" s="6">
        <f>$O$230*$AA$230</f>
        <v>7969.480262560829</v>
      </c>
    </row>
    <row r="231" spans="1:33" ht="11.25" customHeight="1" x14ac:dyDescent="0.25">
      <c r="A231" s="4" t="s">
        <v>21</v>
      </c>
      <c r="B231" s="4" t="s">
        <v>35</v>
      </c>
      <c r="C231" s="4" t="s">
        <v>36</v>
      </c>
      <c r="D231" s="4" t="s">
        <v>41</v>
      </c>
      <c r="E231" s="4" t="s">
        <v>25</v>
      </c>
      <c r="F231" s="4" t="s">
        <v>25</v>
      </c>
      <c r="G231" s="4" t="s">
        <v>25</v>
      </c>
      <c r="H231" s="4" t="s">
        <v>38</v>
      </c>
      <c r="I231" s="5">
        <v>44621</v>
      </c>
      <c r="J231" s="6">
        <v>0</v>
      </c>
      <c r="K231" s="52">
        <v>0</v>
      </c>
      <c r="L231" s="6">
        <v>80.394999999999996</v>
      </c>
      <c r="M231" s="52">
        <v>80.394999999999996</v>
      </c>
      <c r="N231" s="6">
        <v>80.394999999999996</v>
      </c>
      <c r="O231" s="52">
        <v>80.394999999999996</v>
      </c>
      <c r="P231" s="6">
        <v>0</v>
      </c>
      <c r="Q231" s="4" t="s">
        <v>26</v>
      </c>
      <c r="R231" s="4">
        <v>0</v>
      </c>
      <c r="S231" s="6">
        <v>0</v>
      </c>
      <c r="T231" s="6">
        <v>15</v>
      </c>
      <c r="U231" s="6">
        <v>28</v>
      </c>
      <c r="V231" s="52">
        <f>IF(ISERROR(VLOOKUP($S$231,'TAR FIN'!$A$1:$O$88,15,0)),0,VLOOKUP($S$231,'TAR FIN'!$A$1:$O$88,15,0))</f>
        <v>0</v>
      </c>
      <c r="W231" s="52">
        <f>IF(ISERROR(VLOOKUP($T$231,'TAR FIN'!$A$1:$O$88,15,0)),0,VLOOKUP($T$231,'TAR FIN'!$A$1:$O$88,15,0))*(1-0.04)</f>
        <v>76.147199999999984</v>
      </c>
      <c r="X231" s="52">
        <f>IF(ISERROR(VLOOKUP($U$231,'TAR FIN'!$A$1:$O$88,15,0)),0,VLOOKUP($U$231,'TAR FIN'!$A$1:$O$88,15,0))*(1-0.04)</f>
        <v>242.13119999999998</v>
      </c>
      <c r="Y231" s="52"/>
      <c r="Z231" s="52">
        <f ca="1">('TUSD BE'!$AM$12+'TUSD BF'!$AM$12+'TUSD CVA'!$AM$12)*1*(1-0.02)</f>
        <v>100.66205186369288</v>
      </c>
      <c r="AA231" s="52">
        <f>('TE BE'!$AB$6+'TE BF'!$AB$6+'TE CVA'!$AB$6)*1*(1-0.02)</f>
        <v>246.88600565553992</v>
      </c>
      <c r="AB231" s="6">
        <f>$K$231*$V$231</f>
        <v>0</v>
      </c>
      <c r="AC231" s="6">
        <f>$M$231*$W$231</f>
        <v>6121.8541439999981</v>
      </c>
      <c r="AD231" s="6">
        <f>$O$231*$X$231</f>
        <v>19466.137823999998</v>
      </c>
      <c r="AE231" s="6">
        <f>$K$231*$Y$231</f>
        <v>0</v>
      </c>
      <c r="AF231" s="6">
        <f ca="1">$M$231*$Z$231</f>
        <v>8092.7256595815888</v>
      </c>
      <c r="AG231" s="6">
        <f>$O$231*$AA$231</f>
        <v>19848.400424677129</v>
      </c>
    </row>
    <row r="232" spans="1:33" ht="11.25" customHeight="1" x14ac:dyDescent="0.25">
      <c r="A232" s="4" t="s">
        <v>21</v>
      </c>
      <c r="B232" s="4" t="s">
        <v>35</v>
      </c>
      <c r="C232" s="4" t="s">
        <v>36</v>
      </c>
      <c r="D232" s="4" t="s">
        <v>41</v>
      </c>
      <c r="E232" s="4" t="s">
        <v>25</v>
      </c>
      <c r="F232" s="4" t="s">
        <v>25</v>
      </c>
      <c r="G232" s="4" t="s">
        <v>25</v>
      </c>
      <c r="H232" s="4" t="s">
        <v>38</v>
      </c>
      <c r="I232" s="5">
        <v>44652</v>
      </c>
      <c r="J232" s="6">
        <v>0</v>
      </c>
      <c r="K232" s="52">
        <v>0</v>
      </c>
      <c r="L232" s="6">
        <v>71.855000000000004</v>
      </c>
      <c r="M232" s="52">
        <v>71.855000000000004</v>
      </c>
      <c r="N232" s="6">
        <v>71.855000000000004</v>
      </c>
      <c r="O232" s="52">
        <v>71.855000000000004</v>
      </c>
      <c r="P232" s="6">
        <v>0</v>
      </c>
      <c r="Q232" s="4" t="s">
        <v>26</v>
      </c>
      <c r="R232" s="4">
        <v>0</v>
      </c>
      <c r="S232" s="6">
        <v>0</v>
      </c>
      <c r="T232" s="6">
        <v>15</v>
      </c>
      <c r="U232" s="6">
        <v>28</v>
      </c>
      <c r="V232" s="52">
        <f>IF(ISERROR(VLOOKUP($S$232,'TAR FIN'!$A$1:$O$88,15,0)),0,VLOOKUP($S$232,'TAR FIN'!$A$1:$O$88,15,0))</f>
        <v>0</v>
      </c>
      <c r="W232" s="52">
        <f>IF(ISERROR(VLOOKUP($T$232,'TAR FIN'!$A$1:$O$88,15,0)),0,VLOOKUP($T$232,'TAR FIN'!$A$1:$O$88,15,0))*(1-0.04)</f>
        <v>76.147199999999984</v>
      </c>
      <c r="X232" s="52">
        <f>IF(ISERROR(VLOOKUP($U$232,'TAR FIN'!$A$1:$O$88,15,0)),0,VLOOKUP($U$232,'TAR FIN'!$A$1:$O$88,15,0))*(1-0.04)</f>
        <v>242.13119999999998</v>
      </c>
      <c r="Y232" s="52"/>
      <c r="Z232" s="52">
        <f ca="1">('TUSD BE'!$AM$12+'TUSD BF'!$AM$12+'TUSD CVA'!$AM$12)*1*(1-0.02)</f>
        <v>100.66205186369288</v>
      </c>
      <c r="AA232" s="52">
        <f>('TE BE'!$AB$6+'TE BF'!$AB$6+'TE CVA'!$AB$6)*1*(1-0.02)</f>
        <v>246.88600565553992</v>
      </c>
      <c r="AB232" s="6">
        <f>$K$232*$V$232</f>
        <v>0</v>
      </c>
      <c r="AC232" s="6">
        <f>$M$232*$W$232</f>
        <v>5471.5570559999987</v>
      </c>
      <c r="AD232" s="6">
        <f>$O$232*$X$232</f>
        <v>17398.337375999999</v>
      </c>
      <c r="AE232" s="6">
        <f>$K$232*$Y$232</f>
        <v>0</v>
      </c>
      <c r="AF232" s="6">
        <f ca="1">$M$232*$Z$232</f>
        <v>7233.0717366656527</v>
      </c>
      <c r="AG232" s="6">
        <f>$O$232*$AA$232</f>
        <v>17739.993936378822</v>
      </c>
    </row>
    <row r="233" spans="1:33" ht="11.25" customHeight="1" x14ac:dyDescent="0.25">
      <c r="A233" s="4" t="s">
        <v>21</v>
      </c>
      <c r="B233" s="4" t="s">
        <v>35</v>
      </c>
      <c r="C233" s="4" t="s">
        <v>36</v>
      </c>
      <c r="D233" s="4" t="s">
        <v>41</v>
      </c>
      <c r="E233" s="4" t="s">
        <v>25</v>
      </c>
      <c r="F233" s="4" t="s">
        <v>25</v>
      </c>
      <c r="G233" s="4" t="s">
        <v>25</v>
      </c>
      <c r="H233" s="4" t="s">
        <v>38</v>
      </c>
      <c r="I233" s="5">
        <v>44682</v>
      </c>
      <c r="J233" s="6">
        <v>0</v>
      </c>
      <c r="K233" s="52">
        <v>0</v>
      </c>
      <c r="L233" s="6">
        <v>51.518000000000001</v>
      </c>
      <c r="M233" s="52">
        <v>51.518000000000001</v>
      </c>
      <c r="N233" s="6">
        <v>51.518000000000001</v>
      </c>
      <c r="O233" s="52">
        <v>51.518000000000001</v>
      </c>
      <c r="P233" s="6">
        <v>0</v>
      </c>
      <c r="Q233" s="4" t="s">
        <v>26</v>
      </c>
      <c r="R233" s="4">
        <v>0</v>
      </c>
      <c r="S233" s="6">
        <v>0</v>
      </c>
      <c r="T233" s="6">
        <v>15</v>
      </c>
      <c r="U233" s="6">
        <v>28</v>
      </c>
      <c r="V233" s="52">
        <f>IF(ISERROR(VLOOKUP($S$233,'TAR FIN'!$A$1:$O$88,15,0)),0,VLOOKUP($S$233,'TAR FIN'!$A$1:$O$88,15,0))</f>
        <v>0</v>
      </c>
      <c r="W233" s="52">
        <f>IF(ISERROR(VLOOKUP($T$233,'TAR FIN'!$A$1:$O$88,15,0)),0,VLOOKUP($T$233,'TAR FIN'!$A$1:$O$88,15,0))*(1-0.04)</f>
        <v>76.147199999999984</v>
      </c>
      <c r="X233" s="52">
        <f>IF(ISERROR(VLOOKUP($U$233,'TAR FIN'!$A$1:$O$88,15,0)),0,VLOOKUP($U$233,'TAR FIN'!$A$1:$O$88,15,0))*(1-0.04)</f>
        <v>242.13119999999998</v>
      </c>
      <c r="Y233" s="52"/>
      <c r="Z233" s="52">
        <f ca="1">('TUSD BE'!$AM$12+'TUSD BF'!$AM$12+'TUSD CVA'!$AM$12)*1*(1-0.02)</f>
        <v>100.66205186369288</v>
      </c>
      <c r="AA233" s="52">
        <f>('TE BE'!$AB$6+'TE BF'!$AB$6+'TE CVA'!$AB$6)*1*(1-0.02)</f>
        <v>246.88600565553992</v>
      </c>
      <c r="AB233" s="6">
        <f>$K$233*$V$233</f>
        <v>0</v>
      </c>
      <c r="AC233" s="6">
        <f>$M$233*$W$233</f>
        <v>3922.9514495999993</v>
      </c>
      <c r="AD233" s="6">
        <f>$O$233*$X$233</f>
        <v>12474.115161599999</v>
      </c>
      <c r="AE233" s="6">
        <f>$K$233*$Y$233</f>
        <v>0</v>
      </c>
      <c r="AF233" s="6">
        <f ca="1">$M$233*$Z$233</f>
        <v>5185.9075879137299</v>
      </c>
      <c r="AG233" s="6">
        <f>$O$233*$AA$233</f>
        <v>12719.073239362106</v>
      </c>
    </row>
    <row r="234" spans="1:33" ht="11.25" customHeight="1" x14ac:dyDescent="0.25">
      <c r="A234" s="4" t="s">
        <v>28</v>
      </c>
      <c r="B234" s="4" t="s">
        <v>35</v>
      </c>
      <c r="C234" s="4" t="s">
        <v>36</v>
      </c>
      <c r="D234" s="4" t="s">
        <v>41</v>
      </c>
      <c r="E234" s="4" t="s">
        <v>25</v>
      </c>
      <c r="F234" s="4" t="s">
        <v>25</v>
      </c>
      <c r="G234" s="4" t="s">
        <v>25</v>
      </c>
      <c r="H234" s="4" t="s">
        <v>38</v>
      </c>
      <c r="I234" s="5">
        <v>44682</v>
      </c>
      <c r="J234" s="6">
        <v>0</v>
      </c>
      <c r="K234" s="52">
        <v>0</v>
      </c>
      <c r="L234" s="6">
        <v>11.651</v>
      </c>
      <c r="M234" s="52">
        <v>11.651</v>
      </c>
      <c r="N234" s="6">
        <v>11.651</v>
      </c>
      <c r="O234" s="52">
        <v>11.651</v>
      </c>
      <c r="P234" s="6">
        <v>0</v>
      </c>
      <c r="Q234" s="4" t="s">
        <v>26</v>
      </c>
      <c r="R234" s="4">
        <v>0</v>
      </c>
      <c r="S234" s="6">
        <v>0</v>
      </c>
      <c r="T234" s="6">
        <v>15</v>
      </c>
      <c r="U234" s="6">
        <v>28</v>
      </c>
      <c r="V234" s="52">
        <f>IF(ISERROR(VLOOKUP($S$234,'TAR FIN'!$A$1:$O$88,15,0)),0,VLOOKUP($S$234,'TAR FIN'!$A$1:$O$88,15,0))</f>
        <v>0</v>
      </c>
      <c r="W234" s="52">
        <f>IF(ISERROR(VLOOKUP($T$234,'TAR FIN'!$A$1:$O$88,15,0)),0,VLOOKUP($T$234,'TAR FIN'!$A$1:$O$88,15,0))*(1-0.04)</f>
        <v>76.147199999999984</v>
      </c>
      <c r="X234" s="52">
        <f>IF(ISERROR(VLOOKUP($U$234,'TAR FIN'!$A$1:$O$88,15,0)),0,VLOOKUP($U$234,'TAR FIN'!$A$1:$O$88,15,0))*(1-0.04)</f>
        <v>242.13119999999998</v>
      </c>
      <c r="Y234" s="52"/>
      <c r="Z234" s="52">
        <f ca="1">('TUSD BE'!$AM$12+'TUSD BF'!$AM$12+'TUSD CVA'!$AM$12)*1*(1-0.02)</f>
        <v>100.66205186369288</v>
      </c>
      <c r="AA234" s="52">
        <f>('TE BE'!$AB$6+'TE BF'!$AB$6+'TE CVA'!$AB$6)*1*(1-0.02)</f>
        <v>246.88600565553992</v>
      </c>
      <c r="AB234" s="6">
        <f>$K$234*$V$234</f>
        <v>0</v>
      </c>
      <c r="AC234" s="6">
        <f>$M$234*$W$234</f>
        <v>887.19102719999978</v>
      </c>
      <c r="AD234" s="6">
        <f>$O$234*$X$234</f>
        <v>2821.0706111999998</v>
      </c>
      <c r="AE234" s="6">
        <f>$K$234*$Y$234</f>
        <v>0</v>
      </c>
      <c r="AF234" s="6">
        <f ca="1">$M$234*$Z$234</f>
        <v>1172.8135662638858</v>
      </c>
      <c r="AG234" s="6">
        <f>$O$234*$AA$234</f>
        <v>2876.4688518926955</v>
      </c>
    </row>
    <row r="235" spans="1:33" ht="11.25" customHeight="1" x14ac:dyDescent="0.25">
      <c r="A235" s="4" t="s">
        <v>21</v>
      </c>
      <c r="B235" s="4" t="s">
        <v>35</v>
      </c>
      <c r="C235" s="4" t="s">
        <v>36</v>
      </c>
      <c r="D235" s="4" t="s">
        <v>41</v>
      </c>
      <c r="E235" s="4" t="s">
        <v>25</v>
      </c>
      <c r="F235" s="4" t="s">
        <v>25</v>
      </c>
      <c r="G235" s="4" t="s">
        <v>25</v>
      </c>
      <c r="H235" s="4" t="s">
        <v>38</v>
      </c>
      <c r="I235" s="5">
        <v>44713</v>
      </c>
      <c r="J235" s="6">
        <v>0</v>
      </c>
      <c r="K235" s="52">
        <v>0</v>
      </c>
      <c r="L235" s="6">
        <v>41.88</v>
      </c>
      <c r="M235" s="52">
        <v>41.88</v>
      </c>
      <c r="N235" s="6">
        <v>41.88</v>
      </c>
      <c r="O235" s="52">
        <v>41.88</v>
      </c>
      <c r="P235" s="6">
        <v>0</v>
      </c>
      <c r="Q235" s="4" t="s">
        <v>26</v>
      </c>
      <c r="R235" s="4">
        <v>0</v>
      </c>
      <c r="S235" s="6">
        <v>0</v>
      </c>
      <c r="T235" s="6">
        <v>15</v>
      </c>
      <c r="U235" s="6">
        <v>28</v>
      </c>
      <c r="V235" s="52">
        <f>IF(ISERROR(VLOOKUP($S$235,'TAR FIN'!$A$1:$O$88,15,0)),0,VLOOKUP($S$235,'TAR FIN'!$A$1:$O$88,15,0))</f>
        <v>0</v>
      </c>
      <c r="W235" s="52">
        <f>IF(ISERROR(VLOOKUP($T$235,'TAR FIN'!$A$1:$O$88,15,0)),0,VLOOKUP($T$235,'TAR FIN'!$A$1:$O$88,15,0))*(1-0.04)</f>
        <v>76.147199999999984</v>
      </c>
      <c r="X235" s="52">
        <f>IF(ISERROR(VLOOKUP($U$235,'TAR FIN'!$A$1:$O$88,15,0)),0,VLOOKUP($U$235,'TAR FIN'!$A$1:$O$88,15,0))*(1-0.04)</f>
        <v>242.13119999999998</v>
      </c>
      <c r="Y235" s="52"/>
      <c r="Z235" s="52">
        <f ca="1">('TUSD BE'!$AM$12+'TUSD BF'!$AM$12+'TUSD CVA'!$AM$12)*1*(1-0.02)</f>
        <v>100.66205186369288</v>
      </c>
      <c r="AA235" s="52">
        <f>('TE BE'!$AB$6+'TE BF'!$AB$6+'TE CVA'!$AB$6)*1*(1-0.02)</f>
        <v>246.88600565553992</v>
      </c>
      <c r="AB235" s="6">
        <f>$K$235*$V$235</f>
        <v>0</v>
      </c>
      <c r="AC235" s="6">
        <f>$M$235*$W$235</f>
        <v>3189.0447359999994</v>
      </c>
      <c r="AD235" s="6">
        <f>$O$235*$X$235</f>
        <v>10140.454656</v>
      </c>
      <c r="AE235" s="6">
        <f>$K$235*$Y$235</f>
        <v>0</v>
      </c>
      <c r="AF235" s="6">
        <f ca="1">$M$235*$Z$235</f>
        <v>4215.7267320514584</v>
      </c>
      <c r="AG235" s="6">
        <f>$O$235*$AA$235</f>
        <v>10339.585916854012</v>
      </c>
    </row>
    <row r="236" spans="1:33" ht="11.25" customHeight="1" x14ac:dyDescent="0.25">
      <c r="A236" s="4" t="s">
        <v>28</v>
      </c>
      <c r="B236" s="4" t="s">
        <v>35</v>
      </c>
      <c r="C236" s="4" t="s">
        <v>36</v>
      </c>
      <c r="D236" s="4" t="s">
        <v>41</v>
      </c>
      <c r="E236" s="4" t="s">
        <v>25</v>
      </c>
      <c r="F236" s="4" t="s">
        <v>25</v>
      </c>
      <c r="G236" s="4" t="s">
        <v>25</v>
      </c>
      <c r="H236" s="4" t="s">
        <v>38</v>
      </c>
      <c r="I236" s="5">
        <v>44713</v>
      </c>
      <c r="J236" s="6">
        <v>0</v>
      </c>
      <c r="K236" s="52">
        <v>0</v>
      </c>
      <c r="L236" s="6">
        <v>44.261000000000003</v>
      </c>
      <c r="M236" s="52">
        <v>44.261000000000003</v>
      </c>
      <c r="N236" s="6">
        <v>44.261000000000003</v>
      </c>
      <c r="O236" s="52">
        <v>44.261000000000003</v>
      </c>
      <c r="P236" s="6">
        <v>0</v>
      </c>
      <c r="Q236" s="4" t="s">
        <v>26</v>
      </c>
      <c r="R236" s="4">
        <v>0</v>
      </c>
      <c r="S236" s="6">
        <v>0</v>
      </c>
      <c r="T236" s="6">
        <v>15</v>
      </c>
      <c r="U236" s="6">
        <v>28</v>
      </c>
      <c r="V236" s="52">
        <f>IF(ISERROR(VLOOKUP($S$236,'TAR FIN'!$A$1:$O$88,15,0)),0,VLOOKUP($S$236,'TAR FIN'!$A$1:$O$88,15,0))</f>
        <v>0</v>
      </c>
      <c r="W236" s="52">
        <f>IF(ISERROR(VLOOKUP($T$236,'TAR FIN'!$A$1:$O$88,15,0)),0,VLOOKUP($T$236,'TAR FIN'!$A$1:$O$88,15,0))*(1-0.04)</f>
        <v>76.147199999999984</v>
      </c>
      <c r="X236" s="52">
        <f>IF(ISERROR(VLOOKUP($U$236,'TAR FIN'!$A$1:$O$88,15,0)),0,VLOOKUP($U$236,'TAR FIN'!$A$1:$O$88,15,0))*(1-0.04)</f>
        <v>242.13119999999998</v>
      </c>
      <c r="Y236" s="52"/>
      <c r="Z236" s="52">
        <f ca="1">('TUSD BE'!$AM$12+'TUSD BF'!$AM$12+'TUSD CVA'!$AM$12)*1*(1-0.02)</f>
        <v>100.66205186369288</v>
      </c>
      <c r="AA236" s="52">
        <f>('TE BE'!$AB$6+'TE BF'!$AB$6+'TE CVA'!$AB$6)*1*(1-0.02)</f>
        <v>246.88600565553992</v>
      </c>
      <c r="AB236" s="6">
        <f>$K$236*$V$236</f>
        <v>0</v>
      </c>
      <c r="AC236" s="6">
        <f>$M$236*$W$236</f>
        <v>3370.3512191999994</v>
      </c>
      <c r="AD236" s="6">
        <f>$O$236*$X$236</f>
        <v>10716.969043199999</v>
      </c>
      <c r="AE236" s="6">
        <f>$K$236*$Y$236</f>
        <v>0</v>
      </c>
      <c r="AF236" s="6">
        <f ca="1">$M$236*$Z$236</f>
        <v>4455.403077538911</v>
      </c>
      <c r="AG236" s="6">
        <f>$O$236*$AA$236</f>
        <v>10927.421496319854</v>
      </c>
    </row>
    <row r="237" spans="1:33" ht="11.25" customHeight="1" x14ac:dyDescent="0.25">
      <c r="A237" s="4" t="s">
        <v>21</v>
      </c>
      <c r="B237" s="4" t="s">
        <v>35</v>
      </c>
      <c r="C237" s="4" t="s">
        <v>36</v>
      </c>
      <c r="D237" s="4" t="s">
        <v>41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44378</v>
      </c>
      <c r="J237" s="6">
        <v>198</v>
      </c>
      <c r="K237" s="52">
        <v>198</v>
      </c>
      <c r="L237" s="6">
        <v>0</v>
      </c>
      <c r="M237" s="52">
        <v>0</v>
      </c>
      <c r="N237" s="6">
        <v>0</v>
      </c>
      <c r="O237" s="52">
        <v>0</v>
      </c>
      <c r="P237" s="6">
        <v>2</v>
      </c>
      <c r="Q237" s="4" t="s">
        <v>26</v>
      </c>
      <c r="R237" s="4">
        <v>0</v>
      </c>
      <c r="S237" s="6">
        <v>11</v>
      </c>
      <c r="T237" s="6">
        <v>0</v>
      </c>
      <c r="U237" s="6">
        <v>0</v>
      </c>
      <c r="V237" s="52">
        <f>IF(ISERROR(VLOOKUP($S$237,'TAR FIN'!$A$1:$O$88,15,0)),0,VLOOKUP($S$237,'TAR FIN'!$A$1:$O$88,15,0))*(1-0.04)</f>
        <v>43.603200000000001</v>
      </c>
      <c r="W237" s="52">
        <f>IF(ISERROR(VLOOKUP($T$237,'TAR FIN'!$A$1:$O$88,15,0)),0,VLOOKUP($T$237,'TAR FIN'!$A$1:$O$88,15,0))</f>
        <v>0</v>
      </c>
      <c r="X237" s="52">
        <f>IF(ISERROR(VLOOKUP($U$237,'TAR FIN'!$A$1:$O$88,15,0)),0,VLOOKUP($U$237,'TAR FIN'!$A$1:$O$88,15,0))</f>
        <v>0</v>
      </c>
      <c r="Y237" s="52">
        <f ca="1">('TUSD BE'!$AM$10+'TUSD BF'!$AM$10+'TUSD CVA'!$AM$10)*1*(1-0.02)</f>
        <v>50.510684974163915</v>
      </c>
      <c r="Z237" s="52"/>
      <c r="AA237" s="52"/>
      <c r="AB237" s="6">
        <f>$K$237*$V$237</f>
        <v>8633.4336000000003</v>
      </c>
      <c r="AC237" s="6">
        <f>$M$237*$W$237</f>
        <v>0</v>
      </c>
      <c r="AD237" s="6">
        <f>$O$237*$X$237</f>
        <v>0</v>
      </c>
      <c r="AE237" s="6">
        <f ca="1">$K$237*$Y$237</f>
        <v>10001.115624884455</v>
      </c>
      <c r="AF237" s="6">
        <f>$M$237*$Z$237</f>
        <v>0</v>
      </c>
      <c r="AG237" s="6">
        <f>$O$237*$AA$237</f>
        <v>0</v>
      </c>
    </row>
    <row r="238" spans="1:33" ht="11.25" customHeight="1" x14ac:dyDescent="0.25">
      <c r="A238" s="4" t="s">
        <v>28</v>
      </c>
      <c r="B238" s="4" t="s">
        <v>35</v>
      </c>
      <c r="C238" s="4" t="s">
        <v>36</v>
      </c>
      <c r="D238" s="4" t="s">
        <v>41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44378</v>
      </c>
      <c r="J238" s="6">
        <v>315</v>
      </c>
      <c r="K238" s="52">
        <v>315</v>
      </c>
      <c r="L238" s="6">
        <v>0</v>
      </c>
      <c r="M238" s="52">
        <v>0</v>
      </c>
      <c r="N238" s="6">
        <v>0</v>
      </c>
      <c r="O238" s="52">
        <v>0</v>
      </c>
      <c r="P238" s="6">
        <v>3</v>
      </c>
      <c r="Q238" s="4" t="s">
        <v>26</v>
      </c>
      <c r="R238" s="4">
        <v>0</v>
      </c>
      <c r="S238" s="6">
        <v>11</v>
      </c>
      <c r="T238" s="6">
        <v>0</v>
      </c>
      <c r="U238" s="6">
        <v>0</v>
      </c>
      <c r="V238" s="52">
        <f>IF(ISERROR(VLOOKUP($S$238,'TAR FIN'!$A$1:$O$88,15,0)),0,VLOOKUP($S$238,'TAR FIN'!$A$1:$O$88,15,0))*(1-0.04)</f>
        <v>43.603200000000001</v>
      </c>
      <c r="W238" s="52">
        <f>IF(ISERROR(VLOOKUP($T$238,'TAR FIN'!$A$1:$O$88,15,0)),0,VLOOKUP($T$238,'TAR FIN'!$A$1:$O$88,15,0))</f>
        <v>0</v>
      </c>
      <c r="X238" s="52">
        <f>IF(ISERROR(VLOOKUP($U$238,'TAR FIN'!$A$1:$O$88,15,0)),0,VLOOKUP($U$238,'TAR FIN'!$A$1:$O$88,15,0))</f>
        <v>0</v>
      </c>
      <c r="Y238" s="52">
        <f ca="1">('TUSD BE'!$AM$10+'TUSD BF'!$AM$10+'TUSD CVA'!$AM$10)*1*(1-0.02)</f>
        <v>50.510684974163915</v>
      </c>
      <c r="Z238" s="52"/>
      <c r="AA238" s="52"/>
      <c r="AB238" s="6">
        <f>$K$238*$V$238</f>
        <v>13735.008</v>
      </c>
      <c r="AC238" s="6">
        <f>$M$238*$W$238</f>
        <v>0</v>
      </c>
      <c r="AD238" s="6">
        <f>$O$238*$X$238</f>
        <v>0</v>
      </c>
      <c r="AE238" s="6">
        <f ca="1">$K$238*$Y$238</f>
        <v>15910.865766861632</v>
      </c>
      <c r="AF238" s="6">
        <f>$M$238*$Z$238</f>
        <v>0</v>
      </c>
      <c r="AG238" s="6">
        <f>$O$238*$AA$238</f>
        <v>0</v>
      </c>
    </row>
    <row r="239" spans="1:33" ht="11.25" customHeight="1" x14ac:dyDescent="0.25">
      <c r="A239" s="4" t="s">
        <v>21</v>
      </c>
      <c r="B239" s="4" t="s">
        <v>35</v>
      </c>
      <c r="C239" s="4" t="s">
        <v>36</v>
      </c>
      <c r="D239" s="4" t="s">
        <v>41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44409</v>
      </c>
      <c r="J239" s="6">
        <v>241</v>
      </c>
      <c r="K239" s="52">
        <v>241</v>
      </c>
      <c r="L239" s="6">
        <v>0</v>
      </c>
      <c r="M239" s="52">
        <v>0</v>
      </c>
      <c r="N239" s="6">
        <v>0</v>
      </c>
      <c r="O239" s="52">
        <v>0</v>
      </c>
      <c r="P239" s="6">
        <v>2</v>
      </c>
      <c r="Q239" s="4" t="s">
        <v>26</v>
      </c>
      <c r="R239" s="4">
        <v>0</v>
      </c>
      <c r="S239" s="6">
        <v>11</v>
      </c>
      <c r="T239" s="6">
        <v>0</v>
      </c>
      <c r="U239" s="6">
        <v>0</v>
      </c>
      <c r="V239" s="52">
        <f>IF(ISERROR(VLOOKUP($S$239,'TAR FIN'!$A$1:$O$88,15,0)),0,VLOOKUP($S$239,'TAR FIN'!$A$1:$O$88,15,0))*(1-0.04)</f>
        <v>43.603200000000001</v>
      </c>
      <c r="W239" s="52">
        <f>IF(ISERROR(VLOOKUP($T$239,'TAR FIN'!$A$1:$O$88,15,0)),0,VLOOKUP($T$239,'TAR FIN'!$A$1:$O$88,15,0))</f>
        <v>0</v>
      </c>
      <c r="X239" s="52">
        <f>IF(ISERROR(VLOOKUP($U$239,'TAR FIN'!$A$1:$O$88,15,0)),0,VLOOKUP($U$239,'TAR FIN'!$A$1:$O$88,15,0))</f>
        <v>0</v>
      </c>
      <c r="Y239" s="52">
        <f ca="1">('TUSD BE'!$AM$10+'TUSD BF'!$AM$10+'TUSD CVA'!$AM$10)*1*(1-0.02)</f>
        <v>50.510684974163915</v>
      </c>
      <c r="Z239" s="52"/>
      <c r="AA239" s="52"/>
      <c r="AB239" s="6">
        <f>$K$239*$V$239</f>
        <v>10508.3712</v>
      </c>
      <c r="AC239" s="6">
        <f>$M$239*$W$239</f>
        <v>0</v>
      </c>
      <c r="AD239" s="6">
        <f>$O$239*$X$239</f>
        <v>0</v>
      </c>
      <c r="AE239" s="6">
        <f ca="1">$K$239*$Y$239</f>
        <v>12173.075078773503</v>
      </c>
      <c r="AF239" s="6">
        <f>$M$239*$Z$239</f>
        <v>0</v>
      </c>
      <c r="AG239" s="6">
        <f>$O$239*$AA$239</f>
        <v>0</v>
      </c>
    </row>
    <row r="240" spans="1:33" ht="11.25" customHeight="1" x14ac:dyDescent="0.25">
      <c r="A240" s="4" t="s">
        <v>28</v>
      </c>
      <c r="B240" s="4" t="s">
        <v>35</v>
      </c>
      <c r="C240" s="4" t="s">
        <v>36</v>
      </c>
      <c r="D240" s="4" t="s">
        <v>41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44409</v>
      </c>
      <c r="J240" s="6">
        <v>317</v>
      </c>
      <c r="K240" s="52">
        <v>317</v>
      </c>
      <c r="L240" s="6">
        <v>0</v>
      </c>
      <c r="M240" s="52">
        <v>0</v>
      </c>
      <c r="N240" s="6">
        <v>0</v>
      </c>
      <c r="O240" s="52">
        <v>0</v>
      </c>
      <c r="P240" s="6">
        <v>4</v>
      </c>
      <c r="Q240" s="4" t="s">
        <v>26</v>
      </c>
      <c r="R240" s="4">
        <v>0</v>
      </c>
      <c r="S240" s="6">
        <v>11</v>
      </c>
      <c r="T240" s="6">
        <v>0</v>
      </c>
      <c r="U240" s="6">
        <v>0</v>
      </c>
      <c r="V240" s="52">
        <f>IF(ISERROR(VLOOKUP($S$240,'TAR FIN'!$A$1:$O$88,15,0)),0,VLOOKUP($S$240,'TAR FIN'!$A$1:$O$88,15,0))*(1-0.04)</f>
        <v>43.603200000000001</v>
      </c>
      <c r="W240" s="52">
        <f>IF(ISERROR(VLOOKUP($T$240,'TAR FIN'!$A$1:$O$88,15,0)),0,VLOOKUP($T$240,'TAR FIN'!$A$1:$O$88,15,0))</f>
        <v>0</v>
      </c>
      <c r="X240" s="52">
        <f>IF(ISERROR(VLOOKUP($U$240,'TAR FIN'!$A$1:$O$88,15,0)),0,VLOOKUP($U$240,'TAR FIN'!$A$1:$O$88,15,0))</f>
        <v>0</v>
      </c>
      <c r="Y240" s="52">
        <f ca="1">('TUSD BE'!$AM$10+'TUSD BF'!$AM$10+'TUSD CVA'!$AM$10)*1*(1-0.02)</f>
        <v>50.510684974163915</v>
      </c>
      <c r="Z240" s="52"/>
      <c r="AA240" s="52"/>
      <c r="AB240" s="6">
        <f>$K$240*$V$240</f>
        <v>13822.214400000001</v>
      </c>
      <c r="AC240" s="6">
        <f>$M$240*$W$240</f>
        <v>0</v>
      </c>
      <c r="AD240" s="6">
        <f>$O$240*$X$240</f>
        <v>0</v>
      </c>
      <c r="AE240" s="6">
        <f ca="1">$K$240*$Y$240</f>
        <v>16011.887136809961</v>
      </c>
      <c r="AF240" s="6">
        <f>$M$240*$Z$240</f>
        <v>0</v>
      </c>
      <c r="AG240" s="6">
        <f>$O$240*$AA$240</f>
        <v>0</v>
      </c>
    </row>
    <row r="241" spans="1:33" ht="11.25" customHeight="1" x14ac:dyDescent="0.25">
      <c r="A241" s="4" t="s">
        <v>21</v>
      </c>
      <c r="B241" s="4" t="s">
        <v>35</v>
      </c>
      <c r="C241" s="4" t="s">
        <v>36</v>
      </c>
      <c r="D241" s="4" t="s">
        <v>41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44440</v>
      </c>
      <c r="J241" s="6">
        <v>139</v>
      </c>
      <c r="K241" s="52">
        <v>139</v>
      </c>
      <c r="L241" s="6">
        <v>0</v>
      </c>
      <c r="M241" s="52">
        <v>0</v>
      </c>
      <c r="N241" s="6">
        <v>0</v>
      </c>
      <c r="O241" s="52">
        <v>0</v>
      </c>
      <c r="P241" s="6">
        <v>2</v>
      </c>
      <c r="Q241" s="4" t="s">
        <v>26</v>
      </c>
      <c r="R241" s="4">
        <v>0</v>
      </c>
      <c r="S241" s="6">
        <v>11</v>
      </c>
      <c r="T241" s="6">
        <v>0</v>
      </c>
      <c r="U241" s="6">
        <v>0</v>
      </c>
      <c r="V241" s="52">
        <f>IF(ISERROR(VLOOKUP($S$241,'TAR FIN'!$A$1:$O$88,15,0)),0,VLOOKUP($S$241,'TAR FIN'!$A$1:$O$88,15,0))*(1-0.04)</f>
        <v>43.603200000000001</v>
      </c>
      <c r="W241" s="52">
        <f>IF(ISERROR(VLOOKUP($T$241,'TAR FIN'!$A$1:$O$88,15,0)),0,VLOOKUP($T$241,'TAR FIN'!$A$1:$O$88,15,0))</f>
        <v>0</v>
      </c>
      <c r="X241" s="52">
        <f>IF(ISERROR(VLOOKUP($U$241,'TAR FIN'!$A$1:$O$88,15,0)),0,VLOOKUP($U$241,'TAR FIN'!$A$1:$O$88,15,0))</f>
        <v>0</v>
      </c>
      <c r="Y241" s="52">
        <f ca="1">('TUSD BE'!$AM$10+'TUSD BF'!$AM$10+'TUSD CVA'!$AM$10)*1*(1-0.02)</f>
        <v>50.510684974163915</v>
      </c>
      <c r="Z241" s="52"/>
      <c r="AA241" s="52"/>
      <c r="AB241" s="6">
        <f>$K$241*$V$241</f>
        <v>6060.8447999999999</v>
      </c>
      <c r="AC241" s="6">
        <f>$M$241*$W$241</f>
        <v>0</v>
      </c>
      <c r="AD241" s="6">
        <f>$O$241*$X$241</f>
        <v>0</v>
      </c>
      <c r="AE241" s="6">
        <f ca="1">$K$241*$Y$241</f>
        <v>7020.9852114087844</v>
      </c>
      <c r="AF241" s="6">
        <f>$M$241*$Z$241</f>
        <v>0</v>
      </c>
      <c r="AG241" s="6">
        <f>$O$241*$AA$241</f>
        <v>0</v>
      </c>
    </row>
    <row r="242" spans="1:33" ht="11.25" customHeight="1" x14ac:dyDescent="0.25">
      <c r="A242" s="4" t="s">
        <v>28</v>
      </c>
      <c r="B242" s="4" t="s">
        <v>35</v>
      </c>
      <c r="C242" s="4" t="s">
        <v>36</v>
      </c>
      <c r="D242" s="4" t="s">
        <v>41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44440</v>
      </c>
      <c r="J242" s="6">
        <v>415</v>
      </c>
      <c r="K242" s="52">
        <v>415</v>
      </c>
      <c r="L242" s="6">
        <v>0</v>
      </c>
      <c r="M242" s="52">
        <v>0</v>
      </c>
      <c r="N242" s="6">
        <v>0</v>
      </c>
      <c r="O242" s="52">
        <v>0</v>
      </c>
      <c r="P242" s="6">
        <v>4</v>
      </c>
      <c r="Q242" s="4" t="s">
        <v>26</v>
      </c>
      <c r="R242" s="4">
        <v>0</v>
      </c>
      <c r="S242" s="6">
        <v>11</v>
      </c>
      <c r="T242" s="6">
        <v>0</v>
      </c>
      <c r="U242" s="6">
        <v>0</v>
      </c>
      <c r="V242" s="52">
        <f>IF(ISERROR(VLOOKUP($S$242,'TAR FIN'!$A$1:$O$88,15,0)),0,VLOOKUP($S$242,'TAR FIN'!$A$1:$O$88,15,0))*(1-0.04)</f>
        <v>43.603200000000001</v>
      </c>
      <c r="W242" s="52">
        <f>IF(ISERROR(VLOOKUP($T$242,'TAR FIN'!$A$1:$O$88,15,0)),0,VLOOKUP($T$242,'TAR FIN'!$A$1:$O$88,15,0))</f>
        <v>0</v>
      </c>
      <c r="X242" s="52">
        <f>IF(ISERROR(VLOOKUP($U$242,'TAR FIN'!$A$1:$O$88,15,0)),0,VLOOKUP($U$242,'TAR FIN'!$A$1:$O$88,15,0))</f>
        <v>0</v>
      </c>
      <c r="Y242" s="52">
        <f ca="1">('TUSD BE'!$AM$10+'TUSD BF'!$AM$10+'TUSD CVA'!$AM$10)*1*(1-0.02)</f>
        <v>50.510684974163915</v>
      </c>
      <c r="Z242" s="52"/>
      <c r="AA242" s="52"/>
      <c r="AB242" s="6">
        <f>$K$242*$V$242</f>
        <v>18095.328000000001</v>
      </c>
      <c r="AC242" s="6">
        <f>$M$242*$W$242</f>
        <v>0</v>
      </c>
      <c r="AD242" s="6">
        <f>$O$242*$X$242</f>
        <v>0</v>
      </c>
      <c r="AE242" s="6">
        <f ca="1">$K$242*$Y$242</f>
        <v>20961.934264278025</v>
      </c>
      <c r="AF242" s="6">
        <f>$M$242*$Z$242</f>
        <v>0</v>
      </c>
      <c r="AG242" s="6">
        <f>$O$242*$AA$242</f>
        <v>0</v>
      </c>
    </row>
    <row r="243" spans="1:33" ht="11.25" customHeight="1" x14ac:dyDescent="0.25">
      <c r="A243" s="4" t="s">
        <v>21</v>
      </c>
      <c r="B243" s="4" t="s">
        <v>35</v>
      </c>
      <c r="C243" s="4" t="s">
        <v>36</v>
      </c>
      <c r="D243" s="4" t="s">
        <v>41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44470</v>
      </c>
      <c r="J243" s="6">
        <v>176</v>
      </c>
      <c r="K243" s="52">
        <v>176</v>
      </c>
      <c r="L243" s="6">
        <v>0</v>
      </c>
      <c r="M243" s="52">
        <v>0</v>
      </c>
      <c r="N243" s="6">
        <v>0</v>
      </c>
      <c r="O243" s="52">
        <v>0</v>
      </c>
      <c r="P243" s="6">
        <v>2</v>
      </c>
      <c r="Q243" s="4" t="s">
        <v>26</v>
      </c>
      <c r="R243" s="4">
        <v>0</v>
      </c>
      <c r="S243" s="6">
        <v>11</v>
      </c>
      <c r="T243" s="6">
        <v>0</v>
      </c>
      <c r="U243" s="6">
        <v>0</v>
      </c>
      <c r="V243" s="52">
        <f>IF(ISERROR(VLOOKUP($S$243,'TAR FIN'!$A$1:$O$88,15,0)),0,VLOOKUP($S$243,'TAR FIN'!$A$1:$O$88,15,0))*(1-0.04)</f>
        <v>43.603200000000001</v>
      </c>
      <c r="W243" s="52">
        <f>IF(ISERROR(VLOOKUP($T$243,'TAR FIN'!$A$1:$O$88,15,0)),0,VLOOKUP($T$243,'TAR FIN'!$A$1:$O$88,15,0))</f>
        <v>0</v>
      </c>
      <c r="X243" s="52">
        <f>IF(ISERROR(VLOOKUP($U$243,'TAR FIN'!$A$1:$O$88,15,0)),0,VLOOKUP($U$243,'TAR FIN'!$A$1:$O$88,15,0))</f>
        <v>0</v>
      </c>
      <c r="Y243" s="52">
        <f ca="1">('TUSD BE'!$AM$10+'TUSD BF'!$AM$10+'TUSD CVA'!$AM$10)*1*(1-0.02)</f>
        <v>50.510684974163915</v>
      </c>
      <c r="Z243" s="52"/>
      <c r="AA243" s="52"/>
      <c r="AB243" s="6">
        <f>$K$243*$V$243</f>
        <v>7674.1632</v>
      </c>
      <c r="AC243" s="6">
        <f>$M$243*$W$243</f>
        <v>0</v>
      </c>
      <c r="AD243" s="6">
        <f>$O$243*$X$243</f>
        <v>0</v>
      </c>
      <c r="AE243" s="6">
        <f ca="1">$K$243*$Y$243</f>
        <v>8889.8805554528499</v>
      </c>
      <c r="AF243" s="6">
        <f>$M$243*$Z$243</f>
        <v>0</v>
      </c>
      <c r="AG243" s="6">
        <f>$O$243*$AA$243</f>
        <v>0</v>
      </c>
    </row>
    <row r="244" spans="1:33" ht="11.25" customHeight="1" x14ac:dyDescent="0.25">
      <c r="A244" s="4" t="s">
        <v>28</v>
      </c>
      <c r="B244" s="4" t="s">
        <v>35</v>
      </c>
      <c r="C244" s="4" t="s">
        <v>36</v>
      </c>
      <c r="D244" s="4" t="s">
        <v>41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44470</v>
      </c>
      <c r="J244" s="6">
        <v>491</v>
      </c>
      <c r="K244" s="52">
        <v>491</v>
      </c>
      <c r="L244" s="6">
        <v>0</v>
      </c>
      <c r="M244" s="52">
        <v>0</v>
      </c>
      <c r="N244" s="6">
        <v>0</v>
      </c>
      <c r="O244" s="52">
        <v>0</v>
      </c>
      <c r="P244" s="6">
        <v>4</v>
      </c>
      <c r="Q244" s="4" t="s">
        <v>26</v>
      </c>
      <c r="R244" s="4">
        <v>0</v>
      </c>
      <c r="S244" s="6">
        <v>11</v>
      </c>
      <c r="T244" s="6">
        <v>0</v>
      </c>
      <c r="U244" s="6">
        <v>0</v>
      </c>
      <c r="V244" s="52">
        <f>IF(ISERROR(VLOOKUP($S$244,'TAR FIN'!$A$1:$O$88,15,0)),0,VLOOKUP($S$244,'TAR FIN'!$A$1:$O$88,15,0))*(1-0.04)</f>
        <v>43.603200000000001</v>
      </c>
      <c r="W244" s="52">
        <f>IF(ISERROR(VLOOKUP($T$244,'TAR FIN'!$A$1:$O$88,15,0)),0,VLOOKUP($T$244,'TAR FIN'!$A$1:$O$88,15,0))</f>
        <v>0</v>
      </c>
      <c r="X244" s="52">
        <f>IF(ISERROR(VLOOKUP($U$244,'TAR FIN'!$A$1:$O$88,15,0)),0,VLOOKUP($U$244,'TAR FIN'!$A$1:$O$88,15,0))</f>
        <v>0</v>
      </c>
      <c r="Y244" s="52">
        <f ca="1">('TUSD BE'!$AM$10+'TUSD BF'!$AM$10+'TUSD CVA'!$AM$10)*1*(1-0.02)</f>
        <v>50.510684974163915</v>
      </c>
      <c r="Z244" s="52"/>
      <c r="AA244" s="52"/>
      <c r="AB244" s="6">
        <f>$K$244*$V$244</f>
        <v>21409.171200000001</v>
      </c>
      <c r="AC244" s="6">
        <f>$M$244*$W$244</f>
        <v>0</v>
      </c>
      <c r="AD244" s="6">
        <f>$O$244*$X$244</f>
        <v>0</v>
      </c>
      <c r="AE244" s="6">
        <f ca="1">$K$244*$Y$244</f>
        <v>24800.746322314484</v>
      </c>
      <c r="AF244" s="6">
        <f>$M$244*$Z$244</f>
        <v>0</v>
      </c>
      <c r="AG244" s="6">
        <f>$O$244*$AA$244</f>
        <v>0</v>
      </c>
    </row>
    <row r="245" spans="1:33" ht="11.25" customHeight="1" x14ac:dyDescent="0.25">
      <c r="A245" s="4" t="s">
        <v>21</v>
      </c>
      <c r="B245" s="4" t="s">
        <v>35</v>
      </c>
      <c r="C245" s="4" t="s">
        <v>36</v>
      </c>
      <c r="D245" s="4" t="s">
        <v>41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44501</v>
      </c>
      <c r="J245" s="6">
        <v>201</v>
      </c>
      <c r="K245" s="52">
        <v>201</v>
      </c>
      <c r="L245" s="6">
        <v>0</v>
      </c>
      <c r="M245" s="52">
        <v>0</v>
      </c>
      <c r="N245" s="6">
        <v>0</v>
      </c>
      <c r="O245" s="52">
        <v>0</v>
      </c>
      <c r="P245" s="6">
        <v>2</v>
      </c>
      <c r="Q245" s="4" t="s">
        <v>26</v>
      </c>
      <c r="R245" s="4">
        <v>0</v>
      </c>
      <c r="S245" s="6">
        <v>11</v>
      </c>
      <c r="T245" s="6">
        <v>0</v>
      </c>
      <c r="U245" s="6">
        <v>0</v>
      </c>
      <c r="V245" s="52">
        <f>IF(ISERROR(VLOOKUP($S$245,'TAR FIN'!$A$1:$O$88,15,0)),0,VLOOKUP($S$245,'TAR FIN'!$A$1:$O$88,15,0))*(1-0.04)</f>
        <v>43.603200000000001</v>
      </c>
      <c r="W245" s="52">
        <f>IF(ISERROR(VLOOKUP($T$245,'TAR FIN'!$A$1:$O$88,15,0)),0,VLOOKUP($T$245,'TAR FIN'!$A$1:$O$88,15,0))</f>
        <v>0</v>
      </c>
      <c r="X245" s="52">
        <f>IF(ISERROR(VLOOKUP($U$245,'TAR FIN'!$A$1:$O$88,15,0)),0,VLOOKUP($U$245,'TAR FIN'!$A$1:$O$88,15,0))</f>
        <v>0</v>
      </c>
      <c r="Y245" s="52">
        <f ca="1">('TUSD BE'!$AM$10+'TUSD BF'!$AM$10+'TUSD CVA'!$AM$10)*1*(1-0.02)</f>
        <v>50.510684974163915</v>
      </c>
      <c r="Z245" s="52"/>
      <c r="AA245" s="52"/>
      <c r="AB245" s="6">
        <f>$K$245*$V$245</f>
        <v>8764.2432000000008</v>
      </c>
      <c r="AC245" s="6">
        <f>$M$245*$W$245</f>
        <v>0</v>
      </c>
      <c r="AD245" s="6">
        <f>$O$245*$X$245</f>
        <v>0</v>
      </c>
      <c r="AE245" s="6">
        <f ca="1">$K$245*$Y$245</f>
        <v>10152.647679806947</v>
      </c>
      <c r="AF245" s="6">
        <f>$M$245*$Z$245</f>
        <v>0</v>
      </c>
      <c r="AG245" s="6">
        <f>$O$245*$AA$245</f>
        <v>0</v>
      </c>
    </row>
    <row r="246" spans="1:33" ht="11.25" customHeight="1" x14ac:dyDescent="0.25">
      <c r="A246" s="4" t="s">
        <v>28</v>
      </c>
      <c r="B246" s="4" t="s">
        <v>35</v>
      </c>
      <c r="C246" s="4" t="s">
        <v>36</v>
      </c>
      <c r="D246" s="4" t="s">
        <v>41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44501</v>
      </c>
      <c r="J246" s="6">
        <v>527</v>
      </c>
      <c r="K246" s="52">
        <v>527</v>
      </c>
      <c r="L246" s="6">
        <v>0</v>
      </c>
      <c r="M246" s="52">
        <v>0</v>
      </c>
      <c r="N246" s="6">
        <v>0</v>
      </c>
      <c r="O246" s="52">
        <v>0</v>
      </c>
      <c r="P246" s="6">
        <v>4</v>
      </c>
      <c r="Q246" s="4" t="s">
        <v>26</v>
      </c>
      <c r="R246" s="4">
        <v>0</v>
      </c>
      <c r="S246" s="6">
        <v>11</v>
      </c>
      <c r="T246" s="6">
        <v>0</v>
      </c>
      <c r="U246" s="6">
        <v>0</v>
      </c>
      <c r="V246" s="52">
        <f>IF(ISERROR(VLOOKUP($S$246,'TAR FIN'!$A$1:$O$88,15,0)),0,VLOOKUP($S$246,'TAR FIN'!$A$1:$O$88,15,0))*(1-0.04)</f>
        <v>43.603200000000001</v>
      </c>
      <c r="W246" s="52">
        <f>IF(ISERROR(VLOOKUP($T$246,'TAR FIN'!$A$1:$O$88,15,0)),0,VLOOKUP($T$246,'TAR FIN'!$A$1:$O$88,15,0))</f>
        <v>0</v>
      </c>
      <c r="X246" s="52">
        <f>IF(ISERROR(VLOOKUP($U$246,'TAR FIN'!$A$1:$O$88,15,0)),0,VLOOKUP($U$246,'TAR FIN'!$A$1:$O$88,15,0))</f>
        <v>0</v>
      </c>
      <c r="Y246" s="52">
        <f ca="1">('TUSD BE'!$AM$10+'TUSD BF'!$AM$10+'TUSD CVA'!$AM$10)*1*(1-0.02)</f>
        <v>50.510684974163915</v>
      </c>
      <c r="Z246" s="52"/>
      <c r="AA246" s="52"/>
      <c r="AB246" s="6">
        <f>$K$246*$V$246</f>
        <v>22978.886399999999</v>
      </c>
      <c r="AC246" s="6">
        <f>$M$246*$W$246</f>
        <v>0</v>
      </c>
      <c r="AD246" s="6">
        <f>$O$246*$X$246</f>
        <v>0</v>
      </c>
      <c r="AE246" s="6">
        <f ca="1">$K$246*$Y$246</f>
        <v>26619.130981384384</v>
      </c>
      <c r="AF246" s="6">
        <f>$M$246*$Z$246</f>
        <v>0</v>
      </c>
      <c r="AG246" s="6">
        <f>$O$246*$AA$246</f>
        <v>0</v>
      </c>
    </row>
    <row r="247" spans="1:33" ht="11.25" customHeight="1" x14ac:dyDescent="0.25">
      <c r="A247" s="4" t="s">
        <v>21</v>
      </c>
      <c r="B247" s="4" t="s">
        <v>35</v>
      </c>
      <c r="C247" s="4" t="s">
        <v>36</v>
      </c>
      <c r="D247" s="4" t="s">
        <v>41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44531</v>
      </c>
      <c r="J247" s="6">
        <v>138</v>
      </c>
      <c r="K247" s="52">
        <v>138</v>
      </c>
      <c r="L247" s="6">
        <v>0</v>
      </c>
      <c r="M247" s="52">
        <v>0</v>
      </c>
      <c r="N247" s="6">
        <v>0</v>
      </c>
      <c r="O247" s="52">
        <v>0</v>
      </c>
      <c r="P247" s="6">
        <v>2</v>
      </c>
      <c r="Q247" s="4" t="s">
        <v>26</v>
      </c>
      <c r="R247" s="4">
        <v>0</v>
      </c>
      <c r="S247" s="6">
        <v>11</v>
      </c>
      <c r="T247" s="6">
        <v>0</v>
      </c>
      <c r="U247" s="6">
        <v>0</v>
      </c>
      <c r="V247" s="52">
        <f>IF(ISERROR(VLOOKUP($S$247,'TAR FIN'!$A$1:$O$88,15,0)),0,VLOOKUP($S$247,'TAR FIN'!$A$1:$O$88,15,0))*(1-0.04)</f>
        <v>43.603200000000001</v>
      </c>
      <c r="W247" s="52">
        <f>IF(ISERROR(VLOOKUP($T$247,'TAR FIN'!$A$1:$O$88,15,0)),0,VLOOKUP($T$247,'TAR FIN'!$A$1:$O$88,15,0))</f>
        <v>0</v>
      </c>
      <c r="X247" s="52">
        <f>IF(ISERROR(VLOOKUP($U$247,'TAR FIN'!$A$1:$O$88,15,0)),0,VLOOKUP($U$247,'TAR FIN'!$A$1:$O$88,15,0))</f>
        <v>0</v>
      </c>
      <c r="Y247" s="52">
        <f ca="1">('TUSD BE'!$AM$10+'TUSD BF'!$AM$10+'TUSD CVA'!$AM$10)*1*(1-0.02)</f>
        <v>50.510684974163915</v>
      </c>
      <c r="Z247" s="52"/>
      <c r="AA247" s="52"/>
      <c r="AB247" s="6">
        <f>$K$247*$V$247</f>
        <v>6017.2416000000003</v>
      </c>
      <c r="AC247" s="6">
        <f>$M$247*$W$247</f>
        <v>0</v>
      </c>
      <c r="AD247" s="6">
        <f>$O$247*$X$247</f>
        <v>0</v>
      </c>
      <c r="AE247" s="6">
        <f ca="1">$K$247*$Y$247</f>
        <v>6970.4745264346202</v>
      </c>
      <c r="AF247" s="6">
        <f>$M$247*$Z$247</f>
        <v>0</v>
      </c>
      <c r="AG247" s="6">
        <f>$O$247*$AA$247</f>
        <v>0</v>
      </c>
    </row>
    <row r="248" spans="1:33" ht="11.25" customHeight="1" x14ac:dyDescent="0.25">
      <c r="A248" s="4" t="s">
        <v>28</v>
      </c>
      <c r="B248" s="4" t="s">
        <v>35</v>
      </c>
      <c r="C248" s="4" t="s">
        <v>36</v>
      </c>
      <c r="D248" s="4" t="s">
        <v>41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44531</v>
      </c>
      <c r="J248" s="6">
        <v>331</v>
      </c>
      <c r="K248" s="52">
        <v>331</v>
      </c>
      <c r="L248" s="6">
        <v>0</v>
      </c>
      <c r="M248" s="52">
        <v>0</v>
      </c>
      <c r="N248" s="6">
        <v>0</v>
      </c>
      <c r="O248" s="52">
        <v>0</v>
      </c>
      <c r="P248" s="6">
        <v>4</v>
      </c>
      <c r="Q248" s="4" t="s">
        <v>26</v>
      </c>
      <c r="R248" s="4">
        <v>0</v>
      </c>
      <c r="S248" s="6">
        <v>11</v>
      </c>
      <c r="T248" s="6">
        <v>0</v>
      </c>
      <c r="U248" s="6">
        <v>0</v>
      </c>
      <c r="V248" s="52">
        <f>IF(ISERROR(VLOOKUP($S$248,'TAR FIN'!$A$1:$O$88,15,0)),0,VLOOKUP($S$248,'TAR FIN'!$A$1:$O$88,15,0))*(1-0.04)</f>
        <v>43.603200000000001</v>
      </c>
      <c r="W248" s="52">
        <f>IF(ISERROR(VLOOKUP($T$248,'TAR FIN'!$A$1:$O$88,15,0)),0,VLOOKUP($T$248,'TAR FIN'!$A$1:$O$88,15,0))</f>
        <v>0</v>
      </c>
      <c r="X248" s="52">
        <f>IF(ISERROR(VLOOKUP($U$248,'TAR FIN'!$A$1:$O$88,15,0)),0,VLOOKUP($U$248,'TAR FIN'!$A$1:$O$88,15,0))</f>
        <v>0</v>
      </c>
      <c r="Y248" s="52">
        <f ca="1">('TUSD BE'!$AM$10+'TUSD BF'!$AM$10+'TUSD CVA'!$AM$10)*1*(1-0.02)</f>
        <v>50.510684974163915</v>
      </c>
      <c r="Z248" s="52"/>
      <c r="AA248" s="52"/>
      <c r="AB248" s="6">
        <f>$K$248*$V$248</f>
        <v>14432.6592</v>
      </c>
      <c r="AC248" s="6">
        <f>$M$248*$W$248</f>
        <v>0</v>
      </c>
      <c r="AD248" s="6">
        <f>$O$248*$X$248</f>
        <v>0</v>
      </c>
      <c r="AE248" s="6">
        <f ca="1">$K$248*$Y$248</f>
        <v>16719.036726448256</v>
      </c>
      <c r="AF248" s="6">
        <f>$M$248*$Z$248</f>
        <v>0</v>
      </c>
      <c r="AG248" s="6">
        <f>$O$248*$AA$248</f>
        <v>0</v>
      </c>
    </row>
    <row r="249" spans="1:33" ht="11.25" customHeight="1" x14ac:dyDescent="0.25">
      <c r="A249" s="4" t="s">
        <v>21</v>
      </c>
      <c r="B249" s="4" t="s">
        <v>35</v>
      </c>
      <c r="C249" s="4" t="s">
        <v>36</v>
      </c>
      <c r="D249" s="4" t="s">
        <v>41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44562</v>
      </c>
      <c r="J249" s="6">
        <v>140</v>
      </c>
      <c r="K249" s="52">
        <v>140</v>
      </c>
      <c r="L249" s="6">
        <v>0</v>
      </c>
      <c r="M249" s="52">
        <v>0</v>
      </c>
      <c r="N249" s="6">
        <v>0</v>
      </c>
      <c r="O249" s="52">
        <v>0</v>
      </c>
      <c r="P249" s="6">
        <v>2</v>
      </c>
      <c r="Q249" s="4" t="s">
        <v>26</v>
      </c>
      <c r="R249" s="4">
        <v>0</v>
      </c>
      <c r="S249" s="6">
        <v>11</v>
      </c>
      <c r="T249" s="6">
        <v>0</v>
      </c>
      <c r="U249" s="6">
        <v>0</v>
      </c>
      <c r="V249" s="52">
        <f>IF(ISERROR(VLOOKUP($S$249,'TAR FIN'!$A$1:$O$88,15,0)),0,VLOOKUP($S$249,'TAR FIN'!$A$1:$O$88,15,0))*(1-0.04)</f>
        <v>43.603200000000001</v>
      </c>
      <c r="W249" s="52">
        <f>IF(ISERROR(VLOOKUP($T$249,'TAR FIN'!$A$1:$O$88,15,0)),0,VLOOKUP($T$249,'TAR FIN'!$A$1:$O$88,15,0))</f>
        <v>0</v>
      </c>
      <c r="X249" s="52">
        <f>IF(ISERROR(VLOOKUP($U$249,'TAR FIN'!$A$1:$O$88,15,0)),0,VLOOKUP($U$249,'TAR FIN'!$A$1:$O$88,15,0))</f>
        <v>0</v>
      </c>
      <c r="Y249" s="52">
        <f ca="1">('TUSD BE'!$AM$10+'TUSD BF'!$AM$10+'TUSD CVA'!$AM$10)*1*(1-0.02)</f>
        <v>50.510684974163915</v>
      </c>
      <c r="Z249" s="52"/>
      <c r="AA249" s="52"/>
      <c r="AB249" s="6">
        <f>$K$249*$V$249</f>
        <v>6104.4480000000003</v>
      </c>
      <c r="AC249" s="6">
        <f>$M$249*$W$249</f>
        <v>0</v>
      </c>
      <c r="AD249" s="6">
        <f>$O$249*$X$249</f>
        <v>0</v>
      </c>
      <c r="AE249" s="6">
        <f ca="1">$K$249*$Y$249</f>
        <v>7071.4958963829486</v>
      </c>
      <c r="AF249" s="6">
        <f>$M$249*$Z$249</f>
        <v>0</v>
      </c>
      <c r="AG249" s="6">
        <f>$O$249*$AA$249</f>
        <v>0</v>
      </c>
    </row>
    <row r="250" spans="1:33" ht="11.25" customHeight="1" x14ac:dyDescent="0.25">
      <c r="A250" s="4" t="s">
        <v>28</v>
      </c>
      <c r="B250" s="4" t="s">
        <v>35</v>
      </c>
      <c r="C250" s="4" t="s">
        <v>36</v>
      </c>
      <c r="D250" s="4" t="s">
        <v>41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44562</v>
      </c>
      <c r="J250" s="6">
        <v>399</v>
      </c>
      <c r="K250" s="52">
        <v>399</v>
      </c>
      <c r="L250" s="6">
        <v>0</v>
      </c>
      <c r="M250" s="52">
        <v>0</v>
      </c>
      <c r="N250" s="6">
        <v>0</v>
      </c>
      <c r="O250" s="52">
        <v>0</v>
      </c>
      <c r="P250" s="6">
        <v>4</v>
      </c>
      <c r="Q250" s="4" t="s">
        <v>26</v>
      </c>
      <c r="R250" s="4">
        <v>0</v>
      </c>
      <c r="S250" s="6">
        <v>11</v>
      </c>
      <c r="T250" s="6">
        <v>0</v>
      </c>
      <c r="U250" s="6">
        <v>0</v>
      </c>
      <c r="V250" s="52">
        <f>IF(ISERROR(VLOOKUP($S$250,'TAR FIN'!$A$1:$O$88,15,0)),0,VLOOKUP($S$250,'TAR FIN'!$A$1:$O$88,15,0))*(1-0.04)</f>
        <v>43.603200000000001</v>
      </c>
      <c r="W250" s="52">
        <f>IF(ISERROR(VLOOKUP($T$250,'TAR FIN'!$A$1:$O$88,15,0)),0,VLOOKUP($T$250,'TAR FIN'!$A$1:$O$88,15,0))</f>
        <v>0</v>
      </c>
      <c r="X250" s="52">
        <f>IF(ISERROR(VLOOKUP($U$250,'TAR FIN'!$A$1:$O$88,15,0)),0,VLOOKUP($U$250,'TAR FIN'!$A$1:$O$88,15,0))</f>
        <v>0</v>
      </c>
      <c r="Y250" s="52">
        <f ca="1">('TUSD BE'!$AM$10+'TUSD BF'!$AM$10+'TUSD CVA'!$AM$10)*1*(1-0.02)</f>
        <v>50.510684974163915</v>
      </c>
      <c r="Z250" s="52"/>
      <c r="AA250" s="52"/>
      <c r="AB250" s="6">
        <f>$K$250*$V$250</f>
        <v>17397.676800000001</v>
      </c>
      <c r="AC250" s="6">
        <f>$M$250*$W$250</f>
        <v>0</v>
      </c>
      <c r="AD250" s="6">
        <f>$O$250*$X$250</f>
        <v>0</v>
      </c>
      <c r="AE250" s="6">
        <f ca="1">$K$250*$Y$250</f>
        <v>20153.763304691402</v>
      </c>
      <c r="AF250" s="6">
        <f>$M$250*$Z$250</f>
        <v>0</v>
      </c>
      <c r="AG250" s="6">
        <f>$O$250*$AA$250</f>
        <v>0</v>
      </c>
    </row>
    <row r="251" spans="1:33" ht="11.25" customHeight="1" x14ac:dyDescent="0.25">
      <c r="A251" s="4" t="s">
        <v>21</v>
      </c>
      <c r="B251" s="4" t="s">
        <v>35</v>
      </c>
      <c r="C251" s="4" t="s">
        <v>36</v>
      </c>
      <c r="D251" s="4" t="s">
        <v>41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44593</v>
      </c>
      <c r="J251" s="6">
        <v>106</v>
      </c>
      <c r="K251" s="52">
        <v>106</v>
      </c>
      <c r="L251" s="6">
        <v>0</v>
      </c>
      <c r="M251" s="52">
        <v>0</v>
      </c>
      <c r="N251" s="6">
        <v>0</v>
      </c>
      <c r="O251" s="52">
        <v>0</v>
      </c>
      <c r="P251" s="6">
        <v>2</v>
      </c>
      <c r="Q251" s="4" t="s">
        <v>26</v>
      </c>
      <c r="R251" s="4">
        <v>0</v>
      </c>
      <c r="S251" s="6">
        <v>11</v>
      </c>
      <c r="T251" s="6">
        <v>0</v>
      </c>
      <c r="U251" s="6">
        <v>0</v>
      </c>
      <c r="V251" s="52">
        <f>IF(ISERROR(VLOOKUP($S$251,'TAR FIN'!$A$1:$O$88,15,0)),0,VLOOKUP($S$251,'TAR FIN'!$A$1:$O$88,15,0))*(1-0.04)</f>
        <v>43.603200000000001</v>
      </c>
      <c r="W251" s="52">
        <f>IF(ISERROR(VLOOKUP($T$251,'TAR FIN'!$A$1:$O$88,15,0)),0,VLOOKUP($T$251,'TAR FIN'!$A$1:$O$88,15,0))</f>
        <v>0</v>
      </c>
      <c r="X251" s="52">
        <f>IF(ISERROR(VLOOKUP($U$251,'TAR FIN'!$A$1:$O$88,15,0)),0,VLOOKUP($U$251,'TAR FIN'!$A$1:$O$88,15,0))</f>
        <v>0</v>
      </c>
      <c r="Y251" s="52">
        <f ca="1">('TUSD BE'!$AM$10+'TUSD BF'!$AM$10+'TUSD CVA'!$AM$10)*1*(1-0.02)</f>
        <v>50.510684974163915</v>
      </c>
      <c r="Z251" s="52"/>
      <c r="AA251" s="52"/>
      <c r="AB251" s="6">
        <f>$K$251*$V$251</f>
        <v>4621.9391999999998</v>
      </c>
      <c r="AC251" s="6">
        <f>$M$251*$W$251</f>
        <v>0</v>
      </c>
      <c r="AD251" s="6">
        <f>$O$251*$X$251</f>
        <v>0</v>
      </c>
      <c r="AE251" s="6">
        <f ca="1">$K$251*$Y$251</f>
        <v>5354.1326072613747</v>
      </c>
      <c r="AF251" s="6">
        <f>$M$251*$Z$251</f>
        <v>0</v>
      </c>
      <c r="AG251" s="6">
        <f>$O$251*$AA$251</f>
        <v>0</v>
      </c>
    </row>
    <row r="252" spans="1:33" ht="11.25" customHeight="1" x14ac:dyDescent="0.25">
      <c r="A252" s="4" t="s">
        <v>28</v>
      </c>
      <c r="B252" s="4" t="s">
        <v>35</v>
      </c>
      <c r="C252" s="4" t="s">
        <v>36</v>
      </c>
      <c r="D252" s="4" t="s">
        <v>41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44593</v>
      </c>
      <c r="J252" s="6">
        <v>333</v>
      </c>
      <c r="K252" s="52">
        <v>333</v>
      </c>
      <c r="L252" s="6">
        <v>0</v>
      </c>
      <c r="M252" s="52">
        <v>0</v>
      </c>
      <c r="N252" s="6">
        <v>0</v>
      </c>
      <c r="O252" s="52">
        <v>0</v>
      </c>
      <c r="P252" s="6">
        <v>3</v>
      </c>
      <c r="Q252" s="4" t="s">
        <v>26</v>
      </c>
      <c r="R252" s="4">
        <v>0</v>
      </c>
      <c r="S252" s="6">
        <v>11</v>
      </c>
      <c r="T252" s="6">
        <v>0</v>
      </c>
      <c r="U252" s="6">
        <v>0</v>
      </c>
      <c r="V252" s="52">
        <f>IF(ISERROR(VLOOKUP($S$252,'TAR FIN'!$A$1:$O$88,15,0)),0,VLOOKUP($S$252,'TAR FIN'!$A$1:$O$88,15,0))*(1-0.04)</f>
        <v>43.603200000000001</v>
      </c>
      <c r="W252" s="52">
        <f>IF(ISERROR(VLOOKUP($T$252,'TAR FIN'!$A$1:$O$88,15,0)),0,VLOOKUP($T$252,'TAR FIN'!$A$1:$O$88,15,0))</f>
        <v>0</v>
      </c>
      <c r="X252" s="52">
        <f>IF(ISERROR(VLOOKUP($U$252,'TAR FIN'!$A$1:$O$88,15,0)),0,VLOOKUP($U$252,'TAR FIN'!$A$1:$O$88,15,0))</f>
        <v>0</v>
      </c>
      <c r="Y252" s="52">
        <f ca="1">('TUSD BE'!$AM$10+'TUSD BF'!$AM$10+'TUSD CVA'!$AM$10)*1*(1-0.02)</f>
        <v>50.510684974163915</v>
      </c>
      <c r="Z252" s="52"/>
      <c r="AA252" s="52"/>
      <c r="AB252" s="6">
        <f>$K$252*$V$252</f>
        <v>14519.865600000001</v>
      </c>
      <c r="AC252" s="6">
        <f>$M$252*$W$252</f>
        <v>0</v>
      </c>
      <c r="AD252" s="6">
        <f>$O$252*$X$252</f>
        <v>0</v>
      </c>
      <c r="AE252" s="6">
        <f ca="1">$K$252*$Y$252</f>
        <v>16820.058096396584</v>
      </c>
      <c r="AF252" s="6">
        <f>$M$252*$Z$252</f>
        <v>0</v>
      </c>
      <c r="AG252" s="6">
        <f>$O$252*$AA$252</f>
        <v>0</v>
      </c>
    </row>
    <row r="253" spans="1:33" ht="11.25" customHeight="1" x14ac:dyDescent="0.25">
      <c r="A253" s="4" t="s">
        <v>21</v>
      </c>
      <c r="B253" s="4" t="s">
        <v>35</v>
      </c>
      <c r="C253" s="4" t="s">
        <v>36</v>
      </c>
      <c r="D253" s="4" t="s">
        <v>41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44621</v>
      </c>
      <c r="J253" s="6">
        <v>284</v>
      </c>
      <c r="K253" s="52">
        <v>284</v>
      </c>
      <c r="L253" s="6">
        <v>0</v>
      </c>
      <c r="M253" s="52">
        <v>0</v>
      </c>
      <c r="N253" s="6">
        <v>0</v>
      </c>
      <c r="O253" s="52">
        <v>0</v>
      </c>
      <c r="P253" s="6">
        <v>3</v>
      </c>
      <c r="Q253" s="4" t="s">
        <v>26</v>
      </c>
      <c r="R253" s="4">
        <v>0</v>
      </c>
      <c r="S253" s="6">
        <v>11</v>
      </c>
      <c r="T253" s="6">
        <v>0</v>
      </c>
      <c r="U253" s="6">
        <v>0</v>
      </c>
      <c r="V253" s="52">
        <f>IF(ISERROR(VLOOKUP($S$253,'TAR FIN'!$A$1:$O$88,15,0)),0,VLOOKUP($S$253,'TAR FIN'!$A$1:$O$88,15,0))*(1-0.04)</f>
        <v>43.603200000000001</v>
      </c>
      <c r="W253" s="52">
        <f>IF(ISERROR(VLOOKUP($T$253,'TAR FIN'!$A$1:$O$88,15,0)),0,VLOOKUP($T$253,'TAR FIN'!$A$1:$O$88,15,0))</f>
        <v>0</v>
      </c>
      <c r="X253" s="52">
        <f>IF(ISERROR(VLOOKUP($U$253,'TAR FIN'!$A$1:$O$88,15,0)),0,VLOOKUP($U$253,'TAR FIN'!$A$1:$O$88,15,0))</f>
        <v>0</v>
      </c>
      <c r="Y253" s="52">
        <f ca="1">('TUSD BE'!$AM$10+'TUSD BF'!$AM$10+'TUSD CVA'!$AM$10)*1*(1-0.02)</f>
        <v>50.510684974163915</v>
      </c>
      <c r="Z253" s="52"/>
      <c r="AA253" s="52"/>
      <c r="AB253" s="6">
        <f>$K$253*$V$253</f>
        <v>12383.308800000001</v>
      </c>
      <c r="AC253" s="6">
        <f>$M$253*$W$253</f>
        <v>0</v>
      </c>
      <c r="AD253" s="6">
        <f>$O$253*$X$253</f>
        <v>0</v>
      </c>
      <c r="AE253" s="6">
        <f ca="1">$K$253*$Y$253</f>
        <v>14345.034532662552</v>
      </c>
      <c r="AF253" s="6">
        <f>$M$253*$Z$253</f>
        <v>0</v>
      </c>
      <c r="AG253" s="6">
        <f>$O$253*$AA$253</f>
        <v>0</v>
      </c>
    </row>
    <row r="254" spans="1:33" ht="11.25" customHeight="1" x14ac:dyDescent="0.25">
      <c r="A254" s="4" t="s">
        <v>28</v>
      </c>
      <c r="B254" s="4" t="s">
        <v>35</v>
      </c>
      <c r="C254" s="4" t="s">
        <v>36</v>
      </c>
      <c r="D254" s="4" t="s">
        <v>41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44621</v>
      </c>
      <c r="J254" s="6">
        <v>378</v>
      </c>
      <c r="K254" s="52">
        <v>378</v>
      </c>
      <c r="L254" s="6">
        <v>0</v>
      </c>
      <c r="M254" s="52">
        <v>0</v>
      </c>
      <c r="N254" s="6">
        <v>0</v>
      </c>
      <c r="O254" s="52">
        <v>0</v>
      </c>
      <c r="P254" s="6">
        <v>3</v>
      </c>
      <c r="Q254" s="4" t="s">
        <v>26</v>
      </c>
      <c r="R254" s="4">
        <v>0</v>
      </c>
      <c r="S254" s="6">
        <v>11</v>
      </c>
      <c r="T254" s="6">
        <v>0</v>
      </c>
      <c r="U254" s="6">
        <v>0</v>
      </c>
      <c r="V254" s="52">
        <f>IF(ISERROR(VLOOKUP($S$254,'TAR FIN'!$A$1:$O$88,15,0)),0,VLOOKUP($S$254,'TAR FIN'!$A$1:$O$88,15,0))*(1-0.04)</f>
        <v>43.603200000000001</v>
      </c>
      <c r="W254" s="52">
        <f>IF(ISERROR(VLOOKUP($T$254,'TAR FIN'!$A$1:$O$88,15,0)),0,VLOOKUP($T$254,'TAR FIN'!$A$1:$O$88,15,0))</f>
        <v>0</v>
      </c>
      <c r="X254" s="52">
        <f>IF(ISERROR(VLOOKUP($U$254,'TAR FIN'!$A$1:$O$88,15,0)),0,VLOOKUP($U$254,'TAR FIN'!$A$1:$O$88,15,0))</f>
        <v>0</v>
      </c>
      <c r="Y254" s="52">
        <f ca="1">('TUSD BE'!$AM$10+'TUSD BF'!$AM$10+'TUSD CVA'!$AM$10)*1*(1-0.02)</f>
        <v>50.510684974163915</v>
      </c>
      <c r="Z254" s="52"/>
      <c r="AA254" s="52"/>
      <c r="AB254" s="6">
        <f>$K$254*$V$254</f>
        <v>16482.009600000001</v>
      </c>
      <c r="AC254" s="6">
        <f>$M$254*$W$254</f>
        <v>0</v>
      </c>
      <c r="AD254" s="6">
        <f>$O$254*$X$254</f>
        <v>0</v>
      </c>
      <c r="AE254" s="6">
        <f ca="1">$K$254*$Y$254</f>
        <v>19093.038920233961</v>
      </c>
      <c r="AF254" s="6">
        <f>$M$254*$Z$254</f>
        <v>0</v>
      </c>
      <c r="AG254" s="6">
        <f>$O$254*$AA$254</f>
        <v>0</v>
      </c>
    </row>
    <row r="255" spans="1:33" ht="11.25" customHeight="1" x14ac:dyDescent="0.25">
      <c r="A255" s="4" t="s">
        <v>28</v>
      </c>
      <c r="B255" s="4" t="s">
        <v>35</v>
      </c>
      <c r="C255" s="4" t="s">
        <v>36</v>
      </c>
      <c r="D255" s="4" t="s">
        <v>41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44621</v>
      </c>
      <c r="J255" s="6">
        <v>-3</v>
      </c>
      <c r="K255" s="52">
        <v>-3</v>
      </c>
      <c r="L255" s="6">
        <v>0</v>
      </c>
      <c r="M255" s="52">
        <v>0</v>
      </c>
      <c r="N255" s="6">
        <v>0</v>
      </c>
      <c r="O255" s="52">
        <v>0</v>
      </c>
      <c r="P255" s="6">
        <v>2</v>
      </c>
      <c r="Q255" s="4" t="s">
        <v>26</v>
      </c>
      <c r="R255" s="4">
        <v>0</v>
      </c>
      <c r="S255" s="6">
        <v>11</v>
      </c>
      <c r="T255" s="6">
        <v>0</v>
      </c>
      <c r="U255" s="6">
        <v>0</v>
      </c>
      <c r="V255" s="52">
        <f>IF(ISERROR(VLOOKUP($S$255,'TAR FIN'!$A$1:$O$88,15,0)),0,VLOOKUP($S$255,'TAR FIN'!$A$1:$O$88,15,0))*(1-0.04)</f>
        <v>43.603200000000001</v>
      </c>
      <c r="W255" s="52">
        <f>IF(ISERROR(VLOOKUP($T$255,'TAR FIN'!$A$1:$O$88,15,0)),0,VLOOKUP($T$255,'TAR FIN'!$A$1:$O$88,15,0))</f>
        <v>0</v>
      </c>
      <c r="X255" s="52">
        <f>IF(ISERROR(VLOOKUP($U$255,'TAR FIN'!$A$1:$O$88,15,0)),0,VLOOKUP($U$255,'TAR FIN'!$A$1:$O$88,15,0))</f>
        <v>0</v>
      </c>
      <c r="Y255" s="52">
        <f ca="1">('TUSD BE'!$AM$10+'TUSD BF'!$AM$10+'TUSD CVA'!$AM$10)*1*(1-0.02)</f>
        <v>50.510684974163915</v>
      </c>
      <c r="Z255" s="52"/>
      <c r="AA255" s="52"/>
      <c r="AB255" s="6">
        <f>$K$255*$V$255</f>
        <v>-130.80959999999999</v>
      </c>
      <c r="AC255" s="6">
        <f>$M$255*$W$255</f>
        <v>0</v>
      </c>
      <c r="AD255" s="6">
        <f>$O$255*$X$255</f>
        <v>0</v>
      </c>
      <c r="AE255" s="6">
        <f ca="1">$K$255*$Y$255</f>
        <v>-151.53205492249174</v>
      </c>
      <c r="AF255" s="6">
        <f>$M$255*$Z$255</f>
        <v>0</v>
      </c>
      <c r="AG255" s="6">
        <f>$O$255*$AA$255</f>
        <v>0</v>
      </c>
    </row>
    <row r="256" spans="1:33" ht="11.25" customHeight="1" x14ac:dyDescent="0.25">
      <c r="A256" s="4" t="s">
        <v>21</v>
      </c>
      <c r="B256" s="4" t="s">
        <v>35</v>
      </c>
      <c r="C256" s="4" t="s">
        <v>36</v>
      </c>
      <c r="D256" s="4" t="s">
        <v>41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44652</v>
      </c>
      <c r="J256" s="6">
        <v>319</v>
      </c>
      <c r="K256" s="52">
        <v>319</v>
      </c>
      <c r="L256" s="6">
        <v>0</v>
      </c>
      <c r="M256" s="52">
        <v>0</v>
      </c>
      <c r="N256" s="6">
        <v>0</v>
      </c>
      <c r="O256" s="52">
        <v>0</v>
      </c>
      <c r="P256" s="6">
        <v>3</v>
      </c>
      <c r="Q256" s="4" t="s">
        <v>26</v>
      </c>
      <c r="R256" s="4">
        <v>0</v>
      </c>
      <c r="S256" s="6">
        <v>11</v>
      </c>
      <c r="T256" s="6">
        <v>0</v>
      </c>
      <c r="U256" s="6">
        <v>0</v>
      </c>
      <c r="V256" s="52">
        <f>IF(ISERROR(VLOOKUP($S$256,'TAR FIN'!$A$1:$O$88,15,0)),0,VLOOKUP($S$256,'TAR FIN'!$A$1:$O$88,15,0))*(1-0.04)</f>
        <v>43.603200000000001</v>
      </c>
      <c r="W256" s="52">
        <f>IF(ISERROR(VLOOKUP($T$256,'TAR FIN'!$A$1:$O$88,15,0)),0,VLOOKUP($T$256,'TAR FIN'!$A$1:$O$88,15,0))</f>
        <v>0</v>
      </c>
      <c r="X256" s="52">
        <f>IF(ISERROR(VLOOKUP($U$256,'TAR FIN'!$A$1:$O$88,15,0)),0,VLOOKUP($U$256,'TAR FIN'!$A$1:$O$88,15,0))</f>
        <v>0</v>
      </c>
      <c r="Y256" s="52">
        <f ca="1">('TUSD BE'!$AM$10+'TUSD BF'!$AM$10+'TUSD CVA'!$AM$10)*1*(1-0.02)</f>
        <v>50.510684974163915</v>
      </c>
      <c r="Z256" s="52"/>
      <c r="AA256" s="52"/>
      <c r="AB256" s="6">
        <f>$K$256*$V$256</f>
        <v>13909.4208</v>
      </c>
      <c r="AC256" s="6">
        <f>$M$256*$W$256</f>
        <v>0</v>
      </c>
      <c r="AD256" s="6">
        <f>$O$256*$X$256</f>
        <v>0</v>
      </c>
      <c r="AE256" s="6">
        <f ca="1">$K$256*$Y$256</f>
        <v>16112.908506758289</v>
      </c>
      <c r="AF256" s="6">
        <f>$M$256*$Z$256</f>
        <v>0</v>
      </c>
      <c r="AG256" s="6">
        <f>$O$256*$AA$256</f>
        <v>0</v>
      </c>
    </row>
    <row r="257" spans="1:33" ht="11.25" customHeight="1" x14ac:dyDescent="0.25">
      <c r="A257" s="4" t="s">
        <v>28</v>
      </c>
      <c r="B257" s="4" t="s">
        <v>35</v>
      </c>
      <c r="C257" s="4" t="s">
        <v>36</v>
      </c>
      <c r="D257" s="4" t="s">
        <v>41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44652</v>
      </c>
      <c r="J257" s="6">
        <v>812</v>
      </c>
      <c r="K257" s="52">
        <v>812</v>
      </c>
      <c r="L257" s="6">
        <v>0</v>
      </c>
      <c r="M257" s="52">
        <v>0</v>
      </c>
      <c r="N257" s="6">
        <v>0</v>
      </c>
      <c r="O257" s="52">
        <v>0</v>
      </c>
      <c r="P257" s="6">
        <v>3</v>
      </c>
      <c r="Q257" s="4" t="s">
        <v>26</v>
      </c>
      <c r="R257" s="4">
        <v>0</v>
      </c>
      <c r="S257" s="6">
        <v>11</v>
      </c>
      <c r="T257" s="6">
        <v>0</v>
      </c>
      <c r="U257" s="6">
        <v>0</v>
      </c>
      <c r="V257" s="52">
        <f>IF(ISERROR(VLOOKUP($S$257,'TAR FIN'!$A$1:$O$88,15,0)),0,VLOOKUP($S$257,'TAR FIN'!$A$1:$O$88,15,0))*(1-0.04)</f>
        <v>43.603200000000001</v>
      </c>
      <c r="W257" s="52">
        <f>IF(ISERROR(VLOOKUP($T$257,'TAR FIN'!$A$1:$O$88,15,0)),0,VLOOKUP($T$257,'TAR FIN'!$A$1:$O$88,15,0))</f>
        <v>0</v>
      </c>
      <c r="X257" s="52">
        <f>IF(ISERROR(VLOOKUP($U$257,'TAR FIN'!$A$1:$O$88,15,0)),0,VLOOKUP($U$257,'TAR FIN'!$A$1:$O$88,15,0))</f>
        <v>0</v>
      </c>
      <c r="Y257" s="52">
        <f ca="1">('TUSD BE'!$AM$10+'TUSD BF'!$AM$10+'TUSD CVA'!$AM$10)*1*(1-0.02)</f>
        <v>50.510684974163915</v>
      </c>
      <c r="Z257" s="52"/>
      <c r="AA257" s="52"/>
      <c r="AB257" s="6">
        <f>$K$257*$V$257</f>
        <v>35405.7984</v>
      </c>
      <c r="AC257" s="6">
        <f>$M$257*$W$257</f>
        <v>0</v>
      </c>
      <c r="AD257" s="6">
        <f>$O$257*$X$257</f>
        <v>0</v>
      </c>
      <c r="AE257" s="6">
        <f ca="1">$K$257*$Y$257</f>
        <v>41014.676199021102</v>
      </c>
      <c r="AF257" s="6">
        <f>$M$257*$Z$257</f>
        <v>0</v>
      </c>
      <c r="AG257" s="6">
        <f>$O$257*$AA$257</f>
        <v>0</v>
      </c>
    </row>
    <row r="258" spans="1:33" ht="11.25" customHeight="1" x14ac:dyDescent="0.25">
      <c r="A258" s="4" t="s">
        <v>21</v>
      </c>
      <c r="B258" s="4" t="s">
        <v>35</v>
      </c>
      <c r="C258" s="4" t="s">
        <v>36</v>
      </c>
      <c r="D258" s="4" t="s">
        <v>41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44682</v>
      </c>
      <c r="J258" s="6">
        <v>380</v>
      </c>
      <c r="K258" s="52">
        <v>380</v>
      </c>
      <c r="L258" s="6">
        <v>0</v>
      </c>
      <c r="M258" s="52">
        <v>0</v>
      </c>
      <c r="N258" s="6">
        <v>0</v>
      </c>
      <c r="O258" s="52">
        <v>0</v>
      </c>
      <c r="P258" s="6">
        <v>3</v>
      </c>
      <c r="Q258" s="4" t="s">
        <v>26</v>
      </c>
      <c r="R258" s="4">
        <v>0</v>
      </c>
      <c r="S258" s="6">
        <v>11</v>
      </c>
      <c r="T258" s="6">
        <v>0</v>
      </c>
      <c r="U258" s="6">
        <v>0</v>
      </c>
      <c r="V258" s="52">
        <f>IF(ISERROR(VLOOKUP($S$258,'TAR FIN'!$A$1:$O$88,15,0)),0,VLOOKUP($S$258,'TAR FIN'!$A$1:$O$88,15,0))*(1-0.04)</f>
        <v>43.603200000000001</v>
      </c>
      <c r="W258" s="52">
        <f>IF(ISERROR(VLOOKUP($T$258,'TAR FIN'!$A$1:$O$88,15,0)),0,VLOOKUP($T$258,'TAR FIN'!$A$1:$O$88,15,0))</f>
        <v>0</v>
      </c>
      <c r="X258" s="52">
        <f>IF(ISERROR(VLOOKUP($U$258,'TAR FIN'!$A$1:$O$88,15,0)),0,VLOOKUP($U$258,'TAR FIN'!$A$1:$O$88,15,0))</f>
        <v>0</v>
      </c>
      <c r="Y258" s="52">
        <f ca="1">('TUSD BE'!$AM$10+'TUSD BF'!$AM$10+'TUSD CVA'!$AM$10)*1*(1-0.02)</f>
        <v>50.510684974163915</v>
      </c>
      <c r="Z258" s="52"/>
      <c r="AA258" s="52"/>
      <c r="AB258" s="6">
        <f>$K$258*$V$258</f>
        <v>16569.216</v>
      </c>
      <c r="AC258" s="6">
        <f>$M$258*$W$258</f>
        <v>0</v>
      </c>
      <c r="AD258" s="6">
        <f>$O$258*$X$258</f>
        <v>0</v>
      </c>
      <c r="AE258" s="6">
        <f ca="1">$K$258*$Y$258</f>
        <v>19194.060290182289</v>
      </c>
      <c r="AF258" s="6">
        <f>$M$258*$Z$258</f>
        <v>0</v>
      </c>
      <c r="AG258" s="6">
        <f>$O$258*$AA$258</f>
        <v>0</v>
      </c>
    </row>
    <row r="259" spans="1:33" ht="11.25" customHeight="1" x14ac:dyDescent="0.25">
      <c r="A259" s="4" t="s">
        <v>28</v>
      </c>
      <c r="B259" s="4" t="s">
        <v>35</v>
      </c>
      <c r="C259" s="4" t="s">
        <v>36</v>
      </c>
      <c r="D259" s="4" t="s">
        <v>41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44682</v>
      </c>
      <c r="J259" s="6">
        <v>768</v>
      </c>
      <c r="K259" s="52">
        <v>768</v>
      </c>
      <c r="L259" s="6">
        <v>0</v>
      </c>
      <c r="M259" s="52">
        <v>0</v>
      </c>
      <c r="N259" s="6">
        <v>0</v>
      </c>
      <c r="O259" s="52">
        <v>0</v>
      </c>
      <c r="P259" s="6">
        <v>3</v>
      </c>
      <c r="Q259" s="4" t="s">
        <v>26</v>
      </c>
      <c r="R259" s="4">
        <v>0</v>
      </c>
      <c r="S259" s="6">
        <v>11</v>
      </c>
      <c r="T259" s="6">
        <v>0</v>
      </c>
      <c r="U259" s="6">
        <v>0</v>
      </c>
      <c r="V259" s="52">
        <f>IF(ISERROR(VLOOKUP($S$259,'TAR FIN'!$A$1:$O$88,15,0)),0,VLOOKUP($S$259,'TAR FIN'!$A$1:$O$88,15,0))*(1-0.04)</f>
        <v>43.603200000000001</v>
      </c>
      <c r="W259" s="52">
        <f>IF(ISERROR(VLOOKUP($T$259,'TAR FIN'!$A$1:$O$88,15,0)),0,VLOOKUP($T$259,'TAR FIN'!$A$1:$O$88,15,0))</f>
        <v>0</v>
      </c>
      <c r="X259" s="52">
        <f>IF(ISERROR(VLOOKUP($U$259,'TAR FIN'!$A$1:$O$88,15,0)),0,VLOOKUP($U$259,'TAR FIN'!$A$1:$O$88,15,0))</f>
        <v>0</v>
      </c>
      <c r="Y259" s="52">
        <f ca="1">('TUSD BE'!$AM$10+'TUSD BF'!$AM$10+'TUSD CVA'!$AM$10)*1*(1-0.02)</f>
        <v>50.510684974163915</v>
      </c>
      <c r="Z259" s="52"/>
      <c r="AA259" s="52"/>
      <c r="AB259" s="6">
        <f>$K$259*$V$259</f>
        <v>33487.257599999997</v>
      </c>
      <c r="AC259" s="6">
        <f>$M$259*$W$259</f>
        <v>0</v>
      </c>
      <c r="AD259" s="6">
        <f>$O$259*$X$259</f>
        <v>0</v>
      </c>
      <c r="AE259" s="6">
        <f ca="1">$K$259*$Y$259</f>
        <v>38792.206060157885</v>
      </c>
      <c r="AF259" s="6">
        <f>$M$259*$Z$259</f>
        <v>0</v>
      </c>
      <c r="AG259" s="6">
        <f>$O$259*$AA$259</f>
        <v>0</v>
      </c>
    </row>
    <row r="260" spans="1:33" ht="11.25" customHeight="1" x14ac:dyDescent="0.25">
      <c r="A260" s="4" t="s">
        <v>21</v>
      </c>
      <c r="B260" s="4" t="s">
        <v>35</v>
      </c>
      <c r="C260" s="4" t="s">
        <v>36</v>
      </c>
      <c r="D260" s="4" t="s">
        <v>41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44713</v>
      </c>
      <c r="J260" s="6">
        <v>437</v>
      </c>
      <c r="K260" s="52">
        <v>437</v>
      </c>
      <c r="L260" s="6">
        <v>0</v>
      </c>
      <c r="M260" s="52">
        <v>0</v>
      </c>
      <c r="N260" s="6">
        <v>0</v>
      </c>
      <c r="O260" s="52">
        <v>0</v>
      </c>
      <c r="P260" s="6">
        <v>3</v>
      </c>
      <c r="Q260" s="4" t="s">
        <v>26</v>
      </c>
      <c r="R260" s="4">
        <v>0</v>
      </c>
      <c r="S260" s="6">
        <v>11</v>
      </c>
      <c r="T260" s="6">
        <v>0</v>
      </c>
      <c r="U260" s="6">
        <v>0</v>
      </c>
      <c r="V260" s="52">
        <f>IF(ISERROR(VLOOKUP($S$260,'TAR FIN'!$A$1:$O$88,15,0)),0,VLOOKUP($S$260,'TAR FIN'!$A$1:$O$88,15,0))*(1-0.04)</f>
        <v>43.603200000000001</v>
      </c>
      <c r="W260" s="52">
        <f>IF(ISERROR(VLOOKUP($T$260,'TAR FIN'!$A$1:$O$88,15,0)),0,VLOOKUP($T$260,'TAR FIN'!$A$1:$O$88,15,0))</f>
        <v>0</v>
      </c>
      <c r="X260" s="52">
        <f>IF(ISERROR(VLOOKUP($U$260,'TAR FIN'!$A$1:$O$88,15,0)),0,VLOOKUP($U$260,'TAR FIN'!$A$1:$O$88,15,0))</f>
        <v>0</v>
      </c>
      <c r="Y260" s="52">
        <f ca="1">('TUSD BE'!$AM$10+'TUSD BF'!$AM$10+'TUSD CVA'!$AM$10)*1*(1-0.02)</f>
        <v>50.510684974163915</v>
      </c>
      <c r="Z260" s="52"/>
      <c r="AA260" s="52"/>
      <c r="AB260" s="6">
        <f>$K$260*$V$260</f>
        <v>19054.598399999999</v>
      </c>
      <c r="AC260" s="6">
        <f>$M$260*$W$260</f>
        <v>0</v>
      </c>
      <c r="AD260" s="6">
        <f>$O$260*$X$260</f>
        <v>0</v>
      </c>
      <c r="AE260" s="6">
        <f ca="1">$K$260*$Y$260</f>
        <v>22073.169333709629</v>
      </c>
      <c r="AF260" s="6">
        <f>$M$260*$Z$260</f>
        <v>0</v>
      </c>
      <c r="AG260" s="6">
        <f>$O$260*$AA$260</f>
        <v>0</v>
      </c>
    </row>
    <row r="261" spans="1:33" ht="11.25" customHeight="1" x14ac:dyDescent="0.25">
      <c r="A261" s="4" t="s">
        <v>28</v>
      </c>
      <c r="B261" s="4" t="s">
        <v>35</v>
      </c>
      <c r="C261" s="4" t="s">
        <v>36</v>
      </c>
      <c r="D261" s="4" t="s">
        <v>41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44713</v>
      </c>
      <c r="J261" s="6">
        <v>700</v>
      </c>
      <c r="K261" s="52">
        <v>700</v>
      </c>
      <c r="L261" s="6">
        <v>0</v>
      </c>
      <c r="M261" s="52">
        <v>0</v>
      </c>
      <c r="N261" s="6">
        <v>0</v>
      </c>
      <c r="O261" s="52">
        <v>0</v>
      </c>
      <c r="P261" s="6">
        <v>3</v>
      </c>
      <c r="Q261" s="4" t="s">
        <v>26</v>
      </c>
      <c r="R261" s="4">
        <v>0</v>
      </c>
      <c r="S261" s="6">
        <v>11</v>
      </c>
      <c r="T261" s="6">
        <v>0</v>
      </c>
      <c r="U261" s="6">
        <v>0</v>
      </c>
      <c r="V261" s="52">
        <f>IF(ISERROR(VLOOKUP($S$261,'TAR FIN'!$A$1:$O$88,15,0)),0,VLOOKUP($S$261,'TAR FIN'!$A$1:$O$88,15,0))*(1-0.04)</f>
        <v>43.603200000000001</v>
      </c>
      <c r="W261" s="52">
        <f>IF(ISERROR(VLOOKUP($T$261,'TAR FIN'!$A$1:$O$88,15,0)),0,VLOOKUP($T$261,'TAR FIN'!$A$1:$O$88,15,0))</f>
        <v>0</v>
      </c>
      <c r="X261" s="52">
        <f>IF(ISERROR(VLOOKUP($U$261,'TAR FIN'!$A$1:$O$88,15,0)),0,VLOOKUP($U$261,'TAR FIN'!$A$1:$O$88,15,0))</f>
        <v>0</v>
      </c>
      <c r="Y261" s="52">
        <f ca="1">('TUSD BE'!$AM$10+'TUSD BF'!$AM$10+'TUSD CVA'!$AM$10)*1*(1-0.02)</f>
        <v>50.510684974163915</v>
      </c>
      <c r="Z261" s="52"/>
      <c r="AA261" s="52"/>
      <c r="AB261" s="6">
        <f>$K$261*$V$261</f>
        <v>30522.240000000002</v>
      </c>
      <c r="AC261" s="6">
        <f>$M$261*$W$261</f>
        <v>0</v>
      </c>
      <c r="AD261" s="6">
        <f>$O$261*$X$261</f>
        <v>0</v>
      </c>
      <c r="AE261" s="6">
        <f ca="1">$K$261*$Y$261</f>
        <v>35357.479481914743</v>
      </c>
      <c r="AF261" s="6">
        <f>$M$261*$Z$261</f>
        <v>0</v>
      </c>
      <c r="AG261" s="6">
        <f>$O$261*$AA$261</f>
        <v>0</v>
      </c>
    </row>
    <row r="262" spans="1:33" ht="11.25" customHeight="1" x14ac:dyDescent="0.25">
      <c r="A262" s="4" t="s">
        <v>21</v>
      </c>
      <c r="B262" s="4" t="s">
        <v>35</v>
      </c>
      <c r="C262" s="4" t="s">
        <v>36</v>
      </c>
      <c r="D262" s="4" t="s">
        <v>41</v>
      </c>
      <c r="E262" s="4" t="s">
        <v>25</v>
      </c>
      <c r="F262" s="4" t="s">
        <v>25</v>
      </c>
      <c r="G262" s="4" t="s">
        <v>25</v>
      </c>
      <c r="H262" s="4" t="s">
        <v>37</v>
      </c>
      <c r="I262" s="5">
        <v>44378</v>
      </c>
      <c r="J262" s="6">
        <v>0</v>
      </c>
      <c r="K262" s="52">
        <v>0</v>
      </c>
      <c r="L262" s="6">
        <v>2.3250000000000002</v>
      </c>
      <c r="M262" s="52">
        <v>2.3250000000000002</v>
      </c>
      <c r="N262" s="6">
        <v>2.3250000000000002</v>
      </c>
      <c r="O262" s="52">
        <v>2.3250000000000002</v>
      </c>
      <c r="P262" s="6">
        <v>0</v>
      </c>
      <c r="Q262" s="4" t="s">
        <v>26</v>
      </c>
      <c r="R262" s="4">
        <v>0</v>
      </c>
      <c r="S262" s="6">
        <v>0</v>
      </c>
      <c r="T262" s="6">
        <v>7</v>
      </c>
      <c r="U262" s="6">
        <v>41</v>
      </c>
      <c r="V262" s="52">
        <f>IF(ISERROR(VLOOKUP($S$262,'TAR FIN'!$A$1:$O$88,15,0)),0,VLOOKUP($S$262,'TAR FIN'!$A$1:$O$88,15,0))</f>
        <v>0</v>
      </c>
      <c r="W262" s="52">
        <f>IF(ISERROR(VLOOKUP($T$262,'TAR FIN'!$A$1:$O$88,15,0)),0,VLOOKUP($T$262,'TAR FIN'!$A$1:$O$88,15,0))*(1-0.04)</f>
        <v>1406.5151999999998</v>
      </c>
      <c r="X262" s="52">
        <f>IF(ISERROR(VLOOKUP($U$262,'TAR FIN'!$A$1:$O$88,15,0)),0,VLOOKUP($U$262,'TAR FIN'!$A$1:$O$88,15,0))*(1-0.04)</f>
        <v>242.13119999999998</v>
      </c>
      <c r="Y262" s="52"/>
      <c r="Z262" s="52">
        <f ca="1">('TUSD BE'!$AM$11+'TUSD BF'!$AM$11+'TUSD CVA'!$AM$11)*1*(1-0.02)</f>
        <v>1619.5733401074451</v>
      </c>
      <c r="AA262" s="52">
        <f>('TE BE'!$AB$5+'TE BF'!$AB$5+'TE CVA'!$AB$5)*1*(1-0.02)</f>
        <v>246.88600565553992</v>
      </c>
      <c r="AB262" s="6">
        <f>$K$262*$V$262</f>
        <v>0</v>
      </c>
      <c r="AC262" s="6">
        <f>$M$262*$W$262</f>
        <v>3270.1478399999996</v>
      </c>
      <c r="AD262" s="6">
        <f>$O$262*$X$262</f>
        <v>562.95503999999994</v>
      </c>
      <c r="AE262" s="6">
        <f>$K$262*$Y$262</f>
        <v>0</v>
      </c>
      <c r="AF262" s="6">
        <f ca="1">$M$262*$Z$262</f>
        <v>3765.5080157498101</v>
      </c>
      <c r="AG262" s="6">
        <f>$O$262*$AA$262</f>
        <v>574.00996314913039</v>
      </c>
    </row>
    <row r="263" spans="1:33" ht="11.25" customHeight="1" x14ac:dyDescent="0.25">
      <c r="A263" s="4" t="s">
        <v>28</v>
      </c>
      <c r="B263" s="4" t="s">
        <v>35</v>
      </c>
      <c r="C263" s="4" t="s">
        <v>36</v>
      </c>
      <c r="D263" s="4" t="s">
        <v>41</v>
      </c>
      <c r="E263" s="4" t="s">
        <v>25</v>
      </c>
      <c r="F263" s="4" t="s">
        <v>25</v>
      </c>
      <c r="G263" s="4" t="s">
        <v>25</v>
      </c>
      <c r="H263" s="4" t="s">
        <v>37</v>
      </c>
      <c r="I263" s="5">
        <v>44378</v>
      </c>
      <c r="J263" s="6">
        <v>0</v>
      </c>
      <c r="K263" s="52">
        <v>0</v>
      </c>
      <c r="L263" s="6">
        <v>-11.004</v>
      </c>
      <c r="M263" s="52">
        <v>-11.004</v>
      </c>
      <c r="N263" s="6">
        <v>-11.004</v>
      </c>
      <c r="O263" s="52">
        <v>-11.004</v>
      </c>
      <c r="P263" s="6">
        <v>0</v>
      </c>
      <c r="Q263" s="4" t="s">
        <v>26</v>
      </c>
      <c r="R263" s="4">
        <v>0</v>
      </c>
      <c r="S263" s="6">
        <v>0</v>
      </c>
      <c r="T263" s="6">
        <v>7</v>
      </c>
      <c r="U263" s="6">
        <v>41</v>
      </c>
      <c r="V263" s="52">
        <f>IF(ISERROR(VLOOKUP($S$263,'TAR FIN'!$A$1:$O$88,15,0)),0,VLOOKUP($S$263,'TAR FIN'!$A$1:$O$88,15,0))</f>
        <v>0</v>
      </c>
      <c r="W263" s="52">
        <f>IF(ISERROR(VLOOKUP($T$263,'TAR FIN'!$A$1:$O$88,15,0)),0,VLOOKUP($T$263,'TAR FIN'!$A$1:$O$88,15,0))*(1-0.04)</f>
        <v>1406.5151999999998</v>
      </c>
      <c r="X263" s="52">
        <f>IF(ISERROR(VLOOKUP($U$263,'TAR FIN'!$A$1:$O$88,15,0)),0,VLOOKUP($U$263,'TAR FIN'!$A$1:$O$88,15,0))*(1-0.04)</f>
        <v>242.13119999999998</v>
      </c>
      <c r="Y263" s="52"/>
      <c r="Z263" s="52">
        <f ca="1">('TUSD BE'!$AM$11+'TUSD BF'!$AM$11+'TUSD CVA'!$AM$11)*1*(1-0.02)</f>
        <v>1619.5733401074451</v>
      </c>
      <c r="AA263" s="52">
        <f>('TE BE'!$AB$5+'TE BF'!$AB$5+'TE CVA'!$AB$5)*1*(1-0.02)</f>
        <v>246.88600565553992</v>
      </c>
      <c r="AB263" s="6">
        <f>$K$263*$V$263</f>
        <v>0</v>
      </c>
      <c r="AC263" s="6">
        <f>$M$263*$W$263</f>
        <v>-15477.293260799997</v>
      </c>
      <c r="AD263" s="6">
        <f>$O$263*$X$263</f>
        <v>-2664.4117247999998</v>
      </c>
      <c r="AE263" s="6">
        <f>$K$263*$Y$263</f>
        <v>0</v>
      </c>
      <c r="AF263" s="6">
        <f ca="1">$M$263*$Z$263</f>
        <v>-17821.785034542325</v>
      </c>
      <c r="AG263" s="6">
        <f>$O$263*$AA$263</f>
        <v>-2716.7336062335612</v>
      </c>
    </row>
    <row r="264" spans="1:33" ht="11.25" customHeight="1" x14ac:dyDescent="0.25">
      <c r="A264" s="4" t="s">
        <v>21</v>
      </c>
      <c r="B264" s="4" t="s">
        <v>35</v>
      </c>
      <c r="C264" s="4" t="s">
        <v>36</v>
      </c>
      <c r="D264" s="4" t="s">
        <v>41</v>
      </c>
      <c r="E264" s="4" t="s">
        <v>25</v>
      </c>
      <c r="F264" s="4" t="s">
        <v>25</v>
      </c>
      <c r="G264" s="4" t="s">
        <v>25</v>
      </c>
      <c r="H264" s="4" t="s">
        <v>37</v>
      </c>
      <c r="I264" s="5">
        <v>44409</v>
      </c>
      <c r="J264" s="6">
        <v>0</v>
      </c>
      <c r="K264" s="52">
        <v>0</v>
      </c>
      <c r="L264" s="6">
        <v>3.3759999999999999</v>
      </c>
      <c r="M264" s="52">
        <v>3.3759999999999999</v>
      </c>
      <c r="N264" s="6">
        <v>3.3759999999999999</v>
      </c>
      <c r="O264" s="52">
        <v>3.3759999999999999</v>
      </c>
      <c r="P264" s="6">
        <v>0</v>
      </c>
      <c r="Q264" s="4" t="s">
        <v>26</v>
      </c>
      <c r="R264" s="4">
        <v>0</v>
      </c>
      <c r="S264" s="6">
        <v>0</v>
      </c>
      <c r="T264" s="6">
        <v>7</v>
      </c>
      <c r="U264" s="6">
        <v>41</v>
      </c>
      <c r="V264" s="52">
        <f>IF(ISERROR(VLOOKUP($S$264,'TAR FIN'!$A$1:$O$88,15,0)),0,VLOOKUP($S$264,'TAR FIN'!$A$1:$O$88,15,0))</f>
        <v>0</v>
      </c>
      <c r="W264" s="52">
        <f>IF(ISERROR(VLOOKUP($T$264,'TAR FIN'!$A$1:$O$88,15,0)),0,VLOOKUP($T$264,'TAR FIN'!$A$1:$O$88,15,0))*(1-0.04)</f>
        <v>1406.5151999999998</v>
      </c>
      <c r="X264" s="52">
        <f>IF(ISERROR(VLOOKUP($U$264,'TAR FIN'!$A$1:$O$88,15,0)),0,VLOOKUP($U$264,'TAR FIN'!$A$1:$O$88,15,0))*(1-0.04)</f>
        <v>242.13119999999998</v>
      </c>
      <c r="Y264" s="52"/>
      <c r="Z264" s="52">
        <f ca="1">('TUSD BE'!$AM$11+'TUSD BF'!$AM$11+'TUSD CVA'!$AM$11)*1*(1-0.02)</f>
        <v>1619.5733401074451</v>
      </c>
      <c r="AA264" s="52">
        <f>('TE BE'!$AB$5+'TE BF'!$AB$5+'TE CVA'!$AB$5)*1*(1-0.02)</f>
        <v>246.88600565553992</v>
      </c>
      <c r="AB264" s="6">
        <f>$K$264*$V$264</f>
        <v>0</v>
      </c>
      <c r="AC264" s="6">
        <f>$M$264*$W$264</f>
        <v>4748.3953151999995</v>
      </c>
      <c r="AD264" s="6">
        <f>$O$264*$X$264</f>
        <v>817.43493119999994</v>
      </c>
      <c r="AE264" s="6">
        <f>$K$264*$Y$264</f>
        <v>0</v>
      </c>
      <c r="AF264" s="6">
        <f ca="1">$M$264*$Z$264</f>
        <v>5467.6795962027345</v>
      </c>
      <c r="AG264" s="6">
        <f>$O$264*$AA$264</f>
        <v>833.48715509310273</v>
      </c>
    </row>
    <row r="265" spans="1:33" ht="11.25" customHeight="1" x14ac:dyDescent="0.25">
      <c r="A265" s="4" t="s">
        <v>21</v>
      </c>
      <c r="B265" s="4" t="s">
        <v>35</v>
      </c>
      <c r="C265" s="4" t="s">
        <v>36</v>
      </c>
      <c r="D265" s="4" t="s">
        <v>41</v>
      </c>
      <c r="E265" s="4" t="s">
        <v>25</v>
      </c>
      <c r="F265" s="4" t="s">
        <v>25</v>
      </c>
      <c r="G265" s="4" t="s">
        <v>25</v>
      </c>
      <c r="H265" s="4" t="s">
        <v>37</v>
      </c>
      <c r="I265" s="5">
        <v>44440</v>
      </c>
      <c r="J265" s="6">
        <v>0</v>
      </c>
      <c r="K265" s="52">
        <v>0</v>
      </c>
      <c r="L265" s="6">
        <v>2.831</v>
      </c>
      <c r="M265" s="52">
        <v>2.831</v>
      </c>
      <c r="N265" s="6">
        <v>2.831</v>
      </c>
      <c r="O265" s="52">
        <v>2.831</v>
      </c>
      <c r="P265" s="6">
        <v>0</v>
      </c>
      <c r="Q265" s="4" t="s">
        <v>26</v>
      </c>
      <c r="R265" s="4">
        <v>0</v>
      </c>
      <c r="S265" s="6">
        <v>0</v>
      </c>
      <c r="T265" s="6">
        <v>7</v>
      </c>
      <c r="U265" s="6">
        <v>41</v>
      </c>
      <c r="V265" s="52">
        <f>IF(ISERROR(VLOOKUP($S$265,'TAR FIN'!$A$1:$O$88,15,0)),0,VLOOKUP($S$265,'TAR FIN'!$A$1:$O$88,15,0))</f>
        <v>0</v>
      </c>
      <c r="W265" s="52">
        <f>IF(ISERROR(VLOOKUP($T$265,'TAR FIN'!$A$1:$O$88,15,0)),0,VLOOKUP($T$265,'TAR FIN'!$A$1:$O$88,15,0))*(1-0.04)</f>
        <v>1406.5151999999998</v>
      </c>
      <c r="X265" s="52">
        <f>IF(ISERROR(VLOOKUP($U$265,'TAR FIN'!$A$1:$O$88,15,0)),0,VLOOKUP($U$265,'TAR FIN'!$A$1:$O$88,15,0))*(1-0.04)</f>
        <v>242.13119999999998</v>
      </c>
      <c r="Y265" s="52"/>
      <c r="Z265" s="52">
        <f ca="1">('TUSD BE'!$AM$11+'TUSD BF'!$AM$11+'TUSD CVA'!$AM$11)*1*(1-0.02)</f>
        <v>1619.5733401074451</v>
      </c>
      <c r="AA265" s="52">
        <f>('TE BE'!$AB$5+'TE BF'!$AB$5+'TE CVA'!$AB$5)*1*(1-0.02)</f>
        <v>246.88600565553992</v>
      </c>
      <c r="AB265" s="6">
        <f>$K$265*$V$265</f>
        <v>0</v>
      </c>
      <c r="AC265" s="6">
        <f>$M$265*$W$265</f>
        <v>3981.8445311999994</v>
      </c>
      <c r="AD265" s="6">
        <f>$O$265*$X$265</f>
        <v>685.47342719999995</v>
      </c>
      <c r="AE265" s="6">
        <f>$K$265*$Y$265</f>
        <v>0</v>
      </c>
      <c r="AF265" s="6">
        <f ca="1">$M$265*$Z$265</f>
        <v>4585.0121258441768</v>
      </c>
      <c r="AG265" s="6">
        <f>$O$265*$AA$265</f>
        <v>698.9342820108335</v>
      </c>
    </row>
    <row r="266" spans="1:33" ht="11.25" customHeight="1" x14ac:dyDescent="0.25">
      <c r="A266" s="4" t="s">
        <v>21</v>
      </c>
      <c r="B266" s="4" t="s">
        <v>35</v>
      </c>
      <c r="C266" s="4" t="s">
        <v>36</v>
      </c>
      <c r="D266" s="4" t="s">
        <v>41</v>
      </c>
      <c r="E266" s="4" t="s">
        <v>25</v>
      </c>
      <c r="F266" s="4" t="s">
        <v>25</v>
      </c>
      <c r="G266" s="4" t="s">
        <v>25</v>
      </c>
      <c r="H266" s="4" t="s">
        <v>37</v>
      </c>
      <c r="I266" s="5">
        <v>44470</v>
      </c>
      <c r="J266" s="6">
        <v>0</v>
      </c>
      <c r="K266" s="52">
        <v>0</v>
      </c>
      <c r="L266" s="6">
        <v>2.9790000000000001</v>
      </c>
      <c r="M266" s="52">
        <v>2.9790000000000001</v>
      </c>
      <c r="N266" s="6">
        <v>2.9790000000000001</v>
      </c>
      <c r="O266" s="52">
        <v>2.9790000000000001</v>
      </c>
      <c r="P266" s="6">
        <v>0</v>
      </c>
      <c r="Q266" s="4" t="s">
        <v>26</v>
      </c>
      <c r="R266" s="4">
        <v>0</v>
      </c>
      <c r="S266" s="6">
        <v>0</v>
      </c>
      <c r="T266" s="6">
        <v>7</v>
      </c>
      <c r="U266" s="6">
        <v>41</v>
      </c>
      <c r="V266" s="52">
        <f>IF(ISERROR(VLOOKUP($S$266,'TAR FIN'!$A$1:$O$88,15,0)),0,VLOOKUP($S$266,'TAR FIN'!$A$1:$O$88,15,0))</f>
        <v>0</v>
      </c>
      <c r="W266" s="52">
        <f>IF(ISERROR(VLOOKUP($T$266,'TAR FIN'!$A$1:$O$88,15,0)),0,VLOOKUP($T$266,'TAR FIN'!$A$1:$O$88,15,0))*(1-0.04)</f>
        <v>1406.5151999999998</v>
      </c>
      <c r="X266" s="52">
        <f>IF(ISERROR(VLOOKUP($U$266,'TAR FIN'!$A$1:$O$88,15,0)),0,VLOOKUP($U$266,'TAR FIN'!$A$1:$O$88,15,0))*(1-0.04)</f>
        <v>242.13119999999998</v>
      </c>
      <c r="Y266" s="52"/>
      <c r="Z266" s="52">
        <f ca="1">('TUSD BE'!$AM$11+'TUSD BF'!$AM$11+'TUSD CVA'!$AM$11)*1*(1-0.02)</f>
        <v>1619.5733401074451</v>
      </c>
      <c r="AA266" s="52">
        <f>('TE BE'!$AB$5+'TE BF'!$AB$5+'TE CVA'!$AB$5)*1*(1-0.02)</f>
        <v>246.88600565553992</v>
      </c>
      <c r="AB266" s="6">
        <f>$K$266*$V$266</f>
        <v>0</v>
      </c>
      <c r="AC266" s="6">
        <f>$M$266*$W$266</f>
        <v>4190.0087807999998</v>
      </c>
      <c r="AD266" s="6">
        <f>$O$266*$X$266</f>
        <v>721.30884479999997</v>
      </c>
      <c r="AE266" s="6">
        <f>$K$266*$Y$266</f>
        <v>0</v>
      </c>
      <c r="AF266" s="6">
        <f ca="1">$M$266*$Z$266</f>
        <v>4824.7089801800794</v>
      </c>
      <c r="AG266" s="6">
        <f>$O$266*$AA$266</f>
        <v>735.47341084785342</v>
      </c>
    </row>
    <row r="267" spans="1:33" ht="11.25" customHeight="1" x14ac:dyDescent="0.25">
      <c r="A267" s="4" t="s">
        <v>21</v>
      </c>
      <c r="B267" s="4" t="s">
        <v>35</v>
      </c>
      <c r="C267" s="4" t="s">
        <v>36</v>
      </c>
      <c r="D267" s="4" t="s">
        <v>41</v>
      </c>
      <c r="E267" s="4" t="s">
        <v>25</v>
      </c>
      <c r="F267" s="4" t="s">
        <v>25</v>
      </c>
      <c r="G267" s="4" t="s">
        <v>25</v>
      </c>
      <c r="H267" s="4" t="s">
        <v>37</v>
      </c>
      <c r="I267" s="5">
        <v>44501</v>
      </c>
      <c r="J267" s="6">
        <v>0</v>
      </c>
      <c r="K267" s="52">
        <v>0</v>
      </c>
      <c r="L267" s="6">
        <v>3.573</v>
      </c>
      <c r="M267" s="52">
        <v>3.573</v>
      </c>
      <c r="N267" s="6">
        <v>3.573</v>
      </c>
      <c r="O267" s="52">
        <v>3.573</v>
      </c>
      <c r="P267" s="6">
        <v>0</v>
      </c>
      <c r="Q267" s="4" t="s">
        <v>26</v>
      </c>
      <c r="R267" s="4">
        <v>0</v>
      </c>
      <c r="S267" s="6">
        <v>0</v>
      </c>
      <c r="T267" s="6">
        <v>7</v>
      </c>
      <c r="U267" s="6">
        <v>41</v>
      </c>
      <c r="V267" s="52">
        <f>IF(ISERROR(VLOOKUP($S$267,'TAR FIN'!$A$1:$O$88,15,0)),0,VLOOKUP($S$267,'TAR FIN'!$A$1:$O$88,15,0))</f>
        <v>0</v>
      </c>
      <c r="W267" s="52">
        <f>IF(ISERROR(VLOOKUP($T$267,'TAR FIN'!$A$1:$O$88,15,0)),0,VLOOKUP($T$267,'TAR FIN'!$A$1:$O$88,15,0))*(1-0.04)</f>
        <v>1406.5151999999998</v>
      </c>
      <c r="X267" s="52">
        <f>IF(ISERROR(VLOOKUP($U$267,'TAR FIN'!$A$1:$O$88,15,0)),0,VLOOKUP($U$267,'TAR FIN'!$A$1:$O$88,15,0))*(1-0.04)</f>
        <v>242.13119999999998</v>
      </c>
      <c r="Y267" s="52"/>
      <c r="Z267" s="52">
        <f ca="1">('TUSD BE'!$AM$11+'TUSD BF'!$AM$11+'TUSD CVA'!$AM$11)*1*(1-0.02)</f>
        <v>1619.5733401074451</v>
      </c>
      <c r="AA267" s="52">
        <f>('TE BE'!$AB$5+'TE BF'!$AB$5+'TE CVA'!$AB$5)*1*(1-0.02)</f>
        <v>246.88600565553992</v>
      </c>
      <c r="AB267" s="6">
        <f>$K$267*$V$267</f>
        <v>0</v>
      </c>
      <c r="AC267" s="6">
        <f>$M$267*$W$267</f>
        <v>5025.4788095999993</v>
      </c>
      <c r="AD267" s="6">
        <f>$O$267*$X$267</f>
        <v>865.13477759999989</v>
      </c>
      <c r="AE267" s="6">
        <f>$K$267*$Y$267</f>
        <v>0</v>
      </c>
      <c r="AF267" s="6">
        <f ca="1">$M$267*$Z$267</f>
        <v>5786.7355442039016</v>
      </c>
      <c r="AG267" s="6">
        <f>$O$267*$AA$267</f>
        <v>882.12369820724416</v>
      </c>
    </row>
    <row r="268" spans="1:33" ht="11.25" customHeight="1" x14ac:dyDescent="0.25">
      <c r="A268" s="4" t="s">
        <v>21</v>
      </c>
      <c r="B268" s="4" t="s">
        <v>35</v>
      </c>
      <c r="C268" s="4" t="s">
        <v>36</v>
      </c>
      <c r="D268" s="4" t="s">
        <v>41</v>
      </c>
      <c r="E268" s="4" t="s">
        <v>25</v>
      </c>
      <c r="F268" s="4" t="s">
        <v>25</v>
      </c>
      <c r="G268" s="4" t="s">
        <v>25</v>
      </c>
      <c r="H268" s="4" t="s">
        <v>37</v>
      </c>
      <c r="I268" s="5">
        <v>44531</v>
      </c>
      <c r="J268" s="6">
        <v>0</v>
      </c>
      <c r="K268" s="52">
        <v>0</v>
      </c>
      <c r="L268" s="6">
        <v>3.4940000000000002</v>
      </c>
      <c r="M268" s="52">
        <v>3.4940000000000002</v>
      </c>
      <c r="N268" s="6">
        <v>3.4940000000000002</v>
      </c>
      <c r="O268" s="52">
        <v>3.4940000000000002</v>
      </c>
      <c r="P268" s="6">
        <v>0</v>
      </c>
      <c r="Q268" s="4" t="s">
        <v>26</v>
      </c>
      <c r="R268" s="4">
        <v>0</v>
      </c>
      <c r="S268" s="6">
        <v>0</v>
      </c>
      <c r="T268" s="6">
        <v>7</v>
      </c>
      <c r="U268" s="6">
        <v>41</v>
      </c>
      <c r="V268" s="52">
        <f>IF(ISERROR(VLOOKUP($S$268,'TAR FIN'!$A$1:$O$88,15,0)),0,VLOOKUP($S$268,'TAR FIN'!$A$1:$O$88,15,0))</f>
        <v>0</v>
      </c>
      <c r="W268" s="52">
        <f>IF(ISERROR(VLOOKUP($T$268,'TAR FIN'!$A$1:$O$88,15,0)),0,VLOOKUP($T$268,'TAR FIN'!$A$1:$O$88,15,0))*(1-0.04)</f>
        <v>1406.5151999999998</v>
      </c>
      <c r="X268" s="52">
        <f>IF(ISERROR(VLOOKUP($U$268,'TAR FIN'!$A$1:$O$88,15,0)),0,VLOOKUP($U$268,'TAR FIN'!$A$1:$O$88,15,0))*(1-0.04)</f>
        <v>242.13119999999998</v>
      </c>
      <c r="Y268" s="52"/>
      <c r="Z268" s="52">
        <f ca="1">('TUSD BE'!$AM$11+'TUSD BF'!$AM$11+'TUSD CVA'!$AM$11)*1*(1-0.02)</f>
        <v>1619.5733401074451</v>
      </c>
      <c r="AA268" s="52">
        <f>('TE BE'!$AB$5+'TE BF'!$AB$5+'TE CVA'!$AB$5)*1*(1-0.02)</f>
        <v>246.88600565553992</v>
      </c>
      <c r="AB268" s="6">
        <f>$K$268*$V$268</f>
        <v>0</v>
      </c>
      <c r="AC268" s="6">
        <f>$M$268*$W$268</f>
        <v>4914.3641087999995</v>
      </c>
      <c r="AD268" s="6">
        <f>$O$268*$X$268</f>
        <v>846.00641280000002</v>
      </c>
      <c r="AE268" s="6">
        <f>$K$268*$Y$268</f>
        <v>0</v>
      </c>
      <c r="AF268" s="6">
        <f ca="1">$M$268*$Z$268</f>
        <v>5658.7892503354133</v>
      </c>
      <c r="AG268" s="6">
        <f>$O$268*$AA$268</f>
        <v>862.61970376045656</v>
      </c>
    </row>
    <row r="269" spans="1:33" ht="11.25" customHeight="1" x14ac:dyDescent="0.25">
      <c r="A269" s="4" t="s">
        <v>21</v>
      </c>
      <c r="B269" s="4" t="s">
        <v>35</v>
      </c>
      <c r="C269" s="4" t="s">
        <v>36</v>
      </c>
      <c r="D269" s="4" t="s">
        <v>41</v>
      </c>
      <c r="E269" s="4" t="s">
        <v>25</v>
      </c>
      <c r="F269" s="4" t="s">
        <v>25</v>
      </c>
      <c r="G269" s="4" t="s">
        <v>25</v>
      </c>
      <c r="H269" s="4" t="s">
        <v>37</v>
      </c>
      <c r="I269" s="5">
        <v>44562</v>
      </c>
      <c r="J269" s="6">
        <v>0</v>
      </c>
      <c r="K269" s="52">
        <v>0</v>
      </c>
      <c r="L269" s="6">
        <v>4.181</v>
      </c>
      <c r="M269" s="52">
        <v>4.181</v>
      </c>
      <c r="N269" s="6">
        <v>4.181</v>
      </c>
      <c r="O269" s="52">
        <v>4.181</v>
      </c>
      <c r="P269" s="6">
        <v>0</v>
      </c>
      <c r="Q269" s="4" t="s">
        <v>26</v>
      </c>
      <c r="R269" s="4">
        <v>0</v>
      </c>
      <c r="S269" s="6">
        <v>0</v>
      </c>
      <c r="T269" s="6">
        <v>7</v>
      </c>
      <c r="U269" s="6">
        <v>41</v>
      </c>
      <c r="V269" s="52">
        <f>IF(ISERROR(VLOOKUP($S$269,'TAR FIN'!$A$1:$O$88,15,0)),0,VLOOKUP($S$269,'TAR FIN'!$A$1:$O$88,15,0))</f>
        <v>0</v>
      </c>
      <c r="W269" s="52">
        <f>IF(ISERROR(VLOOKUP($T$269,'TAR FIN'!$A$1:$O$88,15,0)),0,VLOOKUP($T$269,'TAR FIN'!$A$1:$O$88,15,0))*(1-0.04)</f>
        <v>1406.5151999999998</v>
      </c>
      <c r="X269" s="52">
        <f>IF(ISERROR(VLOOKUP($U$269,'TAR FIN'!$A$1:$O$88,15,0)),0,VLOOKUP($U$269,'TAR FIN'!$A$1:$O$88,15,0))*(1-0.04)</f>
        <v>242.13119999999998</v>
      </c>
      <c r="Y269" s="52"/>
      <c r="Z269" s="52">
        <f ca="1">('TUSD BE'!$AM$11+'TUSD BF'!$AM$11+'TUSD CVA'!$AM$11)*1*(1-0.02)</f>
        <v>1619.5733401074451</v>
      </c>
      <c r="AA269" s="52">
        <f>('TE BE'!$AB$5+'TE BF'!$AB$5+'TE CVA'!$AB$5)*1*(1-0.02)</f>
        <v>246.88600565553992</v>
      </c>
      <c r="AB269" s="6">
        <f>$K$269*$V$269</f>
        <v>0</v>
      </c>
      <c r="AC269" s="6">
        <f>$M$269*$W$269</f>
        <v>5880.6400511999991</v>
      </c>
      <c r="AD269" s="6">
        <f>$O$269*$X$269</f>
        <v>1012.3505471999999</v>
      </c>
      <c r="AE269" s="6">
        <f>$K$269*$Y$269</f>
        <v>0</v>
      </c>
      <c r="AF269" s="6">
        <f ca="1">$M$269*$Z$269</f>
        <v>6771.4361349892279</v>
      </c>
      <c r="AG269" s="6">
        <f>$O$269*$AA$269</f>
        <v>1032.2303896458125</v>
      </c>
    </row>
    <row r="270" spans="1:33" ht="11.25" customHeight="1" x14ac:dyDescent="0.25">
      <c r="A270" s="4" t="s">
        <v>21</v>
      </c>
      <c r="B270" s="4" t="s">
        <v>35</v>
      </c>
      <c r="C270" s="4" t="s">
        <v>36</v>
      </c>
      <c r="D270" s="4" t="s">
        <v>41</v>
      </c>
      <c r="E270" s="4" t="s">
        <v>25</v>
      </c>
      <c r="F270" s="4" t="s">
        <v>25</v>
      </c>
      <c r="G270" s="4" t="s">
        <v>25</v>
      </c>
      <c r="H270" s="4" t="s">
        <v>37</v>
      </c>
      <c r="I270" s="5">
        <v>44593</v>
      </c>
      <c r="J270" s="6">
        <v>0</v>
      </c>
      <c r="K270" s="52">
        <v>0</v>
      </c>
      <c r="L270" s="6">
        <v>3.2709999999999999</v>
      </c>
      <c r="M270" s="52">
        <v>3.2709999999999999</v>
      </c>
      <c r="N270" s="6">
        <v>3.2709999999999999</v>
      </c>
      <c r="O270" s="52">
        <v>3.2709999999999999</v>
      </c>
      <c r="P270" s="6">
        <v>0</v>
      </c>
      <c r="Q270" s="4" t="s">
        <v>26</v>
      </c>
      <c r="R270" s="4">
        <v>0</v>
      </c>
      <c r="S270" s="6">
        <v>0</v>
      </c>
      <c r="T270" s="6">
        <v>7</v>
      </c>
      <c r="U270" s="6">
        <v>41</v>
      </c>
      <c r="V270" s="52">
        <f>IF(ISERROR(VLOOKUP($S$270,'TAR FIN'!$A$1:$O$88,15,0)),0,VLOOKUP($S$270,'TAR FIN'!$A$1:$O$88,15,0))</f>
        <v>0</v>
      </c>
      <c r="W270" s="52">
        <f>IF(ISERROR(VLOOKUP($T$270,'TAR FIN'!$A$1:$O$88,15,0)),0,VLOOKUP($T$270,'TAR FIN'!$A$1:$O$88,15,0))*(1-0.04)</f>
        <v>1406.5151999999998</v>
      </c>
      <c r="X270" s="52">
        <f>IF(ISERROR(VLOOKUP($U$270,'TAR FIN'!$A$1:$O$88,15,0)),0,VLOOKUP($U$270,'TAR FIN'!$A$1:$O$88,15,0))*(1-0.04)</f>
        <v>242.13119999999998</v>
      </c>
      <c r="Y270" s="52"/>
      <c r="Z270" s="52">
        <f ca="1">('TUSD BE'!$AM$11+'TUSD BF'!$AM$11+'TUSD CVA'!$AM$11)*1*(1-0.02)</f>
        <v>1619.5733401074451</v>
      </c>
      <c r="AA270" s="52">
        <f>('TE BE'!$AB$5+'TE BF'!$AB$5+'TE CVA'!$AB$5)*1*(1-0.02)</f>
        <v>246.88600565553992</v>
      </c>
      <c r="AB270" s="6">
        <f>$K$270*$V$270</f>
        <v>0</v>
      </c>
      <c r="AC270" s="6">
        <f>$M$270*$W$270</f>
        <v>4600.7112191999995</v>
      </c>
      <c r="AD270" s="6">
        <f>$O$270*$X$270</f>
        <v>792.01115519999996</v>
      </c>
      <c r="AE270" s="6">
        <f>$K$270*$Y$270</f>
        <v>0</v>
      </c>
      <c r="AF270" s="6">
        <f ca="1">$M$270*$Z$270</f>
        <v>5297.6243954914526</v>
      </c>
      <c r="AG270" s="6">
        <f>$O$270*$AA$270</f>
        <v>807.56412449927109</v>
      </c>
    </row>
    <row r="271" spans="1:33" ht="11.25" customHeight="1" x14ac:dyDescent="0.25">
      <c r="A271" s="4" t="s">
        <v>21</v>
      </c>
      <c r="B271" s="4" t="s">
        <v>35</v>
      </c>
      <c r="C271" s="4" t="s">
        <v>36</v>
      </c>
      <c r="D271" s="4" t="s">
        <v>41</v>
      </c>
      <c r="E271" s="4" t="s">
        <v>25</v>
      </c>
      <c r="F271" s="4" t="s">
        <v>25</v>
      </c>
      <c r="G271" s="4" t="s">
        <v>25</v>
      </c>
      <c r="H271" s="4" t="s">
        <v>37</v>
      </c>
      <c r="I271" s="5">
        <v>44621</v>
      </c>
      <c r="J271" s="6">
        <v>0</v>
      </c>
      <c r="K271" s="52">
        <v>0</v>
      </c>
      <c r="L271" s="6">
        <v>8.6219999999999999</v>
      </c>
      <c r="M271" s="52">
        <v>8.6219999999999999</v>
      </c>
      <c r="N271" s="6">
        <v>8.6219999999999999</v>
      </c>
      <c r="O271" s="52">
        <v>8.6219999999999999</v>
      </c>
      <c r="P271" s="6">
        <v>0</v>
      </c>
      <c r="Q271" s="4" t="s">
        <v>26</v>
      </c>
      <c r="R271" s="4">
        <v>0</v>
      </c>
      <c r="S271" s="6">
        <v>0</v>
      </c>
      <c r="T271" s="6">
        <v>7</v>
      </c>
      <c r="U271" s="6">
        <v>41</v>
      </c>
      <c r="V271" s="52">
        <f>IF(ISERROR(VLOOKUP($S$271,'TAR FIN'!$A$1:$O$88,15,0)),0,VLOOKUP($S$271,'TAR FIN'!$A$1:$O$88,15,0))</f>
        <v>0</v>
      </c>
      <c r="W271" s="52">
        <f>IF(ISERROR(VLOOKUP($T$271,'TAR FIN'!$A$1:$O$88,15,0)),0,VLOOKUP($T$271,'TAR FIN'!$A$1:$O$88,15,0))*(1-0.04)</f>
        <v>1406.5151999999998</v>
      </c>
      <c r="X271" s="52">
        <f>IF(ISERROR(VLOOKUP($U$271,'TAR FIN'!$A$1:$O$88,15,0)),0,VLOOKUP($U$271,'TAR FIN'!$A$1:$O$88,15,0))*(1-0.04)</f>
        <v>242.13119999999998</v>
      </c>
      <c r="Y271" s="52"/>
      <c r="Z271" s="52">
        <f ca="1">('TUSD BE'!$AM$11+'TUSD BF'!$AM$11+'TUSD CVA'!$AM$11)*1*(1-0.02)</f>
        <v>1619.5733401074451</v>
      </c>
      <c r="AA271" s="52">
        <f>('TE BE'!$AB$5+'TE BF'!$AB$5+'TE CVA'!$AB$5)*1*(1-0.02)</f>
        <v>246.88600565553992</v>
      </c>
      <c r="AB271" s="6">
        <f>$K$271*$V$271</f>
        <v>0</v>
      </c>
      <c r="AC271" s="6">
        <f>$M$271*$W$271</f>
        <v>12126.974054399998</v>
      </c>
      <c r="AD271" s="6">
        <f>$O$271*$X$271</f>
        <v>2087.6552063999998</v>
      </c>
      <c r="AE271" s="6">
        <f>$K$271*$Y$271</f>
        <v>0</v>
      </c>
      <c r="AF271" s="6">
        <f ca="1">$M$271*$Z$271</f>
        <v>13963.961338406392</v>
      </c>
      <c r="AG271" s="6">
        <f>$O$271*$AA$271</f>
        <v>2128.6511407620651</v>
      </c>
    </row>
    <row r="272" spans="1:33" ht="11.25" customHeight="1" x14ac:dyDescent="0.25">
      <c r="A272" s="4" t="s">
        <v>21</v>
      </c>
      <c r="B272" s="4" t="s">
        <v>35</v>
      </c>
      <c r="C272" s="4" t="s">
        <v>36</v>
      </c>
      <c r="D272" s="4" t="s">
        <v>41</v>
      </c>
      <c r="E272" s="4" t="s">
        <v>25</v>
      </c>
      <c r="F272" s="4" t="s">
        <v>25</v>
      </c>
      <c r="G272" s="4" t="s">
        <v>25</v>
      </c>
      <c r="H272" s="4" t="s">
        <v>37</v>
      </c>
      <c r="I272" s="5">
        <v>44652</v>
      </c>
      <c r="J272" s="6">
        <v>0</v>
      </c>
      <c r="K272" s="52">
        <v>0</v>
      </c>
      <c r="L272" s="6">
        <v>8.2959999999999994</v>
      </c>
      <c r="M272" s="52">
        <v>8.2959999999999994</v>
      </c>
      <c r="N272" s="6">
        <v>8.2959999999999994</v>
      </c>
      <c r="O272" s="52">
        <v>8.2959999999999994</v>
      </c>
      <c r="P272" s="6">
        <v>0</v>
      </c>
      <c r="Q272" s="4" t="s">
        <v>26</v>
      </c>
      <c r="R272" s="4">
        <v>0</v>
      </c>
      <c r="S272" s="6">
        <v>0</v>
      </c>
      <c r="T272" s="6">
        <v>7</v>
      </c>
      <c r="U272" s="6">
        <v>41</v>
      </c>
      <c r="V272" s="52">
        <f>IF(ISERROR(VLOOKUP($S$272,'TAR FIN'!$A$1:$O$88,15,0)),0,VLOOKUP($S$272,'TAR FIN'!$A$1:$O$88,15,0))</f>
        <v>0</v>
      </c>
      <c r="W272" s="52">
        <f>IF(ISERROR(VLOOKUP($T$272,'TAR FIN'!$A$1:$O$88,15,0)),0,VLOOKUP($T$272,'TAR FIN'!$A$1:$O$88,15,0))*(1-0.04)</f>
        <v>1406.5151999999998</v>
      </c>
      <c r="X272" s="52">
        <f>IF(ISERROR(VLOOKUP($U$272,'TAR FIN'!$A$1:$O$88,15,0)),0,VLOOKUP($U$272,'TAR FIN'!$A$1:$O$88,15,0))*(1-0.04)</f>
        <v>242.13119999999998</v>
      </c>
      <c r="Y272" s="52"/>
      <c r="Z272" s="52">
        <f ca="1">('TUSD BE'!$AM$11+'TUSD BF'!$AM$11+'TUSD CVA'!$AM$11)*1*(1-0.02)</f>
        <v>1619.5733401074451</v>
      </c>
      <c r="AA272" s="52">
        <f>('TE BE'!$AB$5+'TE BF'!$AB$5+'TE CVA'!$AB$5)*1*(1-0.02)</f>
        <v>246.88600565553992</v>
      </c>
      <c r="AB272" s="6">
        <f>$K$272*$V$272</f>
        <v>0</v>
      </c>
      <c r="AC272" s="6">
        <f>$M$272*$W$272</f>
        <v>11668.450099199998</v>
      </c>
      <c r="AD272" s="6">
        <f>$O$272*$X$272</f>
        <v>2008.7204351999997</v>
      </c>
      <c r="AE272" s="6">
        <f>$K$272*$Y$272</f>
        <v>0</v>
      </c>
      <c r="AF272" s="6">
        <f ca="1">$M$272*$Z$272</f>
        <v>13435.980429531364</v>
      </c>
      <c r="AG272" s="6">
        <f>$O$272*$AA$272</f>
        <v>2048.1663029183592</v>
      </c>
    </row>
    <row r="273" spans="1:33" ht="11.25" customHeight="1" x14ac:dyDescent="0.25">
      <c r="A273" s="4" t="s">
        <v>21</v>
      </c>
      <c r="B273" s="4" t="s">
        <v>35</v>
      </c>
      <c r="C273" s="4" t="s">
        <v>36</v>
      </c>
      <c r="D273" s="4" t="s">
        <v>41</v>
      </c>
      <c r="E273" s="4" t="s">
        <v>25</v>
      </c>
      <c r="F273" s="4" t="s">
        <v>25</v>
      </c>
      <c r="G273" s="4" t="s">
        <v>25</v>
      </c>
      <c r="H273" s="4" t="s">
        <v>37</v>
      </c>
      <c r="I273" s="5">
        <v>44682</v>
      </c>
      <c r="J273" s="6">
        <v>0</v>
      </c>
      <c r="K273" s="52">
        <v>0</v>
      </c>
      <c r="L273" s="6">
        <v>5.03</v>
      </c>
      <c r="M273" s="52">
        <v>5.03</v>
      </c>
      <c r="N273" s="6">
        <v>5.03</v>
      </c>
      <c r="O273" s="52">
        <v>5.03</v>
      </c>
      <c r="P273" s="6">
        <v>0</v>
      </c>
      <c r="Q273" s="4" t="s">
        <v>26</v>
      </c>
      <c r="R273" s="4">
        <v>0</v>
      </c>
      <c r="S273" s="6">
        <v>0</v>
      </c>
      <c r="T273" s="6">
        <v>7</v>
      </c>
      <c r="U273" s="6">
        <v>41</v>
      </c>
      <c r="V273" s="52">
        <f>IF(ISERROR(VLOOKUP($S$273,'TAR FIN'!$A$1:$O$88,15,0)),0,VLOOKUP($S$273,'TAR FIN'!$A$1:$O$88,15,0))</f>
        <v>0</v>
      </c>
      <c r="W273" s="52">
        <f>IF(ISERROR(VLOOKUP($T$273,'TAR FIN'!$A$1:$O$88,15,0)),0,VLOOKUP($T$273,'TAR FIN'!$A$1:$O$88,15,0))*(1-0.04)</f>
        <v>1406.5151999999998</v>
      </c>
      <c r="X273" s="52">
        <f>IF(ISERROR(VLOOKUP($U$273,'TAR FIN'!$A$1:$O$88,15,0)),0,VLOOKUP($U$273,'TAR FIN'!$A$1:$O$88,15,0))*(1-0.04)</f>
        <v>242.13119999999998</v>
      </c>
      <c r="Y273" s="52"/>
      <c r="Z273" s="52">
        <f ca="1">('TUSD BE'!$AM$11+'TUSD BF'!$AM$11+'TUSD CVA'!$AM$11)*1*(1-0.02)</f>
        <v>1619.5733401074451</v>
      </c>
      <c r="AA273" s="52">
        <f>('TE BE'!$AB$5+'TE BF'!$AB$5+'TE CVA'!$AB$5)*1*(1-0.02)</f>
        <v>246.88600565553992</v>
      </c>
      <c r="AB273" s="6">
        <f>$K$273*$V$273</f>
        <v>0</v>
      </c>
      <c r="AC273" s="6">
        <f>$M$273*$W$273</f>
        <v>7074.7714559999995</v>
      </c>
      <c r="AD273" s="6">
        <f>$O$273*$X$273</f>
        <v>1217.919936</v>
      </c>
      <c r="AE273" s="6">
        <f>$K$273*$Y$273</f>
        <v>0</v>
      </c>
      <c r="AF273" s="6">
        <f ca="1">$M$273*$Z$273</f>
        <v>8146.4539007404492</v>
      </c>
      <c r="AG273" s="6">
        <f>$O$273*$AA$273</f>
        <v>1241.836608447366</v>
      </c>
    </row>
    <row r="274" spans="1:33" ht="11.25" customHeight="1" x14ac:dyDescent="0.25">
      <c r="A274" s="4" t="s">
        <v>28</v>
      </c>
      <c r="B274" s="4" t="s">
        <v>35</v>
      </c>
      <c r="C274" s="4" t="s">
        <v>36</v>
      </c>
      <c r="D274" s="4" t="s">
        <v>41</v>
      </c>
      <c r="E274" s="4" t="s">
        <v>25</v>
      </c>
      <c r="F274" s="4" t="s">
        <v>25</v>
      </c>
      <c r="G274" s="4" t="s">
        <v>25</v>
      </c>
      <c r="H274" s="4" t="s">
        <v>37</v>
      </c>
      <c r="I274" s="5">
        <v>44682</v>
      </c>
      <c r="J274" s="6">
        <v>0</v>
      </c>
      <c r="K274" s="52">
        <v>0</v>
      </c>
      <c r="L274" s="6">
        <v>2.157</v>
      </c>
      <c r="M274" s="52">
        <v>2.157</v>
      </c>
      <c r="N274" s="6">
        <v>2.157</v>
      </c>
      <c r="O274" s="52">
        <v>2.157</v>
      </c>
      <c r="P274" s="6">
        <v>0</v>
      </c>
      <c r="Q274" s="4" t="s">
        <v>26</v>
      </c>
      <c r="R274" s="4">
        <v>0</v>
      </c>
      <c r="S274" s="6">
        <v>0</v>
      </c>
      <c r="T274" s="6">
        <v>7</v>
      </c>
      <c r="U274" s="6">
        <v>41</v>
      </c>
      <c r="V274" s="52">
        <f>IF(ISERROR(VLOOKUP($S$274,'TAR FIN'!$A$1:$O$88,15,0)),0,VLOOKUP($S$274,'TAR FIN'!$A$1:$O$88,15,0))</f>
        <v>0</v>
      </c>
      <c r="W274" s="52">
        <f>IF(ISERROR(VLOOKUP($T$274,'TAR FIN'!$A$1:$O$88,15,0)),0,VLOOKUP($T$274,'TAR FIN'!$A$1:$O$88,15,0))*(1-0.04)</f>
        <v>1406.5151999999998</v>
      </c>
      <c r="X274" s="52">
        <f>IF(ISERROR(VLOOKUP($U$274,'TAR FIN'!$A$1:$O$88,15,0)),0,VLOOKUP($U$274,'TAR FIN'!$A$1:$O$88,15,0))*(1-0.04)</f>
        <v>242.13119999999998</v>
      </c>
      <c r="Y274" s="52"/>
      <c r="Z274" s="52">
        <f ca="1">('TUSD BE'!$AM$11+'TUSD BF'!$AM$11+'TUSD CVA'!$AM$11)*1*(1-0.02)</f>
        <v>1619.5733401074451</v>
      </c>
      <c r="AA274" s="52">
        <f>('TE BE'!$AB$5+'TE BF'!$AB$5+'TE CVA'!$AB$5)*1*(1-0.02)</f>
        <v>246.88600565553992</v>
      </c>
      <c r="AB274" s="6">
        <f>$K$274*$V$274</f>
        <v>0</v>
      </c>
      <c r="AC274" s="6">
        <f>$M$274*$W$274</f>
        <v>3033.8532863999994</v>
      </c>
      <c r="AD274" s="6">
        <f>$O$274*$X$274</f>
        <v>522.27699839999991</v>
      </c>
      <c r="AE274" s="6">
        <f>$K$274*$Y$274</f>
        <v>0</v>
      </c>
      <c r="AF274" s="6">
        <f ca="1">$M$274*$Z$274</f>
        <v>3493.419694611759</v>
      </c>
      <c r="AG274" s="6">
        <f>$O$274*$AA$274</f>
        <v>532.53311419899956</v>
      </c>
    </row>
    <row r="275" spans="1:33" ht="11.25" customHeight="1" x14ac:dyDescent="0.25">
      <c r="A275" s="4" t="s">
        <v>21</v>
      </c>
      <c r="B275" s="4" t="s">
        <v>35</v>
      </c>
      <c r="C275" s="4" t="s">
        <v>36</v>
      </c>
      <c r="D275" s="4" t="s">
        <v>41</v>
      </c>
      <c r="E275" s="4" t="s">
        <v>25</v>
      </c>
      <c r="F275" s="4" t="s">
        <v>25</v>
      </c>
      <c r="G275" s="4" t="s">
        <v>25</v>
      </c>
      <c r="H275" s="4" t="s">
        <v>37</v>
      </c>
      <c r="I275" s="5">
        <v>44713</v>
      </c>
      <c r="J275" s="6">
        <v>0</v>
      </c>
      <c r="K275" s="52">
        <v>0</v>
      </c>
      <c r="L275" s="6">
        <v>3.0459999999999998</v>
      </c>
      <c r="M275" s="52">
        <v>3.0459999999999998</v>
      </c>
      <c r="N275" s="6">
        <v>3.0459999999999998</v>
      </c>
      <c r="O275" s="52">
        <v>3.0459999999999998</v>
      </c>
      <c r="P275" s="6">
        <v>0</v>
      </c>
      <c r="Q275" s="4" t="s">
        <v>26</v>
      </c>
      <c r="R275" s="4">
        <v>0</v>
      </c>
      <c r="S275" s="6">
        <v>0</v>
      </c>
      <c r="T275" s="6">
        <v>7</v>
      </c>
      <c r="U275" s="6">
        <v>41</v>
      </c>
      <c r="V275" s="52">
        <f>IF(ISERROR(VLOOKUP($S$275,'TAR FIN'!$A$1:$O$88,15,0)),0,VLOOKUP($S$275,'TAR FIN'!$A$1:$O$88,15,0))</f>
        <v>0</v>
      </c>
      <c r="W275" s="52">
        <f>IF(ISERROR(VLOOKUP($T$275,'TAR FIN'!$A$1:$O$88,15,0)),0,VLOOKUP($T$275,'TAR FIN'!$A$1:$O$88,15,0))*(1-0.04)</f>
        <v>1406.5151999999998</v>
      </c>
      <c r="X275" s="52">
        <f>IF(ISERROR(VLOOKUP($U$275,'TAR FIN'!$A$1:$O$88,15,0)),0,VLOOKUP($U$275,'TAR FIN'!$A$1:$O$88,15,0))*(1-0.04)</f>
        <v>242.13119999999998</v>
      </c>
      <c r="Y275" s="52"/>
      <c r="Z275" s="52">
        <f ca="1">('TUSD BE'!$AM$11+'TUSD BF'!$AM$11+'TUSD CVA'!$AM$11)*1*(1-0.02)</f>
        <v>1619.5733401074451</v>
      </c>
      <c r="AA275" s="52">
        <f>('TE BE'!$AB$5+'TE BF'!$AB$5+'TE CVA'!$AB$5)*1*(1-0.02)</f>
        <v>246.88600565553992</v>
      </c>
      <c r="AB275" s="6">
        <f>$K$275*$V$275</f>
        <v>0</v>
      </c>
      <c r="AC275" s="6">
        <f>$M$275*$W$275</f>
        <v>4284.245299199999</v>
      </c>
      <c r="AD275" s="6">
        <f>$O$275*$X$275</f>
        <v>737.53163519999987</v>
      </c>
      <c r="AE275" s="6">
        <f>$K$275*$Y$275</f>
        <v>0</v>
      </c>
      <c r="AF275" s="6">
        <f ca="1">$M$275*$Z$275</f>
        <v>4933.2203939672772</v>
      </c>
      <c r="AG275" s="6">
        <f>$O$275*$AA$275</f>
        <v>752.01477322677454</v>
      </c>
    </row>
    <row r="276" spans="1:33" ht="11.25" customHeight="1" x14ac:dyDescent="0.25">
      <c r="A276" s="4" t="s">
        <v>28</v>
      </c>
      <c r="B276" s="4" t="s">
        <v>35</v>
      </c>
      <c r="C276" s="4" t="s">
        <v>36</v>
      </c>
      <c r="D276" s="4" t="s">
        <v>41</v>
      </c>
      <c r="E276" s="4" t="s">
        <v>25</v>
      </c>
      <c r="F276" s="4" t="s">
        <v>25</v>
      </c>
      <c r="G276" s="4" t="s">
        <v>25</v>
      </c>
      <c r="H276" s="4" t="s">
        <v>37</v>
      </c>
      <c r="I276" s="5">
        <v>44713</v>
      </c>
      <c r="J276" s="6">
        <v>0</v>
      </c>
      <c r="K276" s="52">
        <v>0</v>
      </c>
      <c r="L276" s="6">
        <v>2.0249999999999999</v>
      </c>
      <c r="M276" s="52">
        <v>2.0249999999999999</v>
      </c>
      <c r="N276" s="6">
        <v>2.0249999999999999</v>
      </c>
      <c r="O276" s="52">
        <v>2.0249999999999999</v>
      </c>
      <c r="P276" s="6">
        <v>0</v>
      </c>
      <c r="Q276" s="4" t="s">
        <v>26</v>
      </c>
      <c r="R276" s="4">
        <v>0</v>
      </c>
      <c r="S276" s="6">
        <v>0</v>
      </c>
      <c r="T276" s="6">
        <v>7</v>
      </c>
      <c r="U276" s="6">
        <v>41</v>
      </c>
      <c r="V276" s="52">
        <f>IF(ISERROR(VLOOKUP($S$276,'TAR FIN'!$A$1:$O$88,15,0)),0,VLOOKUP($S$276,'TAR FIN'!$A$1:$O$88,15,0))</f>
        <v>0</v>
      </c>
      <c r="W276" s="52">
        <f>IF(ISERROR(VLOOKUP($T$276,'TAR FIN'!$A$1:$O$88,15,0)),0,VLOOKUP($T$276,'TAR FIN'!$A$1:$O$88,15,0))*(1-0.04)</f>
        <v>1406.5151999999998</v>
      </c>
      <c r="X276" s="52">
        <f>IF(ISERROR(VLOOKUP($U$276,'TAR FIN'!$A$1:$O$88,15,0)),0,VLOOKUP($U$276,'TAR FIN'!$A$1:$O$88,15,0))*(1-0.04)</f>
        <v>242.13119999999998</v>
      </c>
      <c r="Y276" s="52"/>
      <c r="Z276" s="52">
        <f ca="1">('TUSD BE'!$AM$11+'TUSD BF'!$AM$11+'TUSD CVA'!$AM$11)*1*(1-0.02)</f>
        <v>1619.5733401074451</v>
      </c>
      <c r="AA276" s="52">
        <f>('TE BE'!$AB$5+'TE BF'!$AB$5+'TE CVA'!$AB$5)*1*(1-0.02)</f>
        <v>246.88600565553992</v>
      </c>
      <c r="AB276" s="6">
        <f>$K$276*$V$276</f>
        <v>0</v>
      </c>
      <c r="AC276" s="6">
        <f>$M$276*$W$276</f>
        <v>2848.1932799999995</v>
      </c>
      <c r="AD276" s="6">
        <f>$O$276*$X$276</f>
        <v>490.31567999999993</v>
      </c>
      <c r="AE276" s="6">
        <f>$K$276*$Y$276</f>
        <v>0</v>
      </c>
      <c r="AF276" s="6">
        <f ca="1">$M$276*$Z$276</f>
        <v>3279.6360137175761</v>
      </c>
      <c r="AG276" s="6">
        <f>$O$276*$AA$276</f>
        <v>499.94416145246834</v>
      </c>
    </row>
    <row r="277" spans="1:33" ht="11.25" customHeight="1" x14ac:dyDescent="0.25">
      <c r="A277" s="4" t="s">
        <v>21</v>
      </c>
      <c r="B277" s="4" t="s">
        <v>22</v>
      </c>
      <c r="C277" s="4" t="s">
        <v>23</v>
      </c>
      <c r="D277" s="4" t="s">
        <v>24</v>
      </c>
      <c r="E277" s="4" t="s">
        <v>24</v>
      </c>
      <c r="F277" s="4" t="s">
        <v>25</v>
      </c>
      <c r="G277" s="4" t="s">
        <v>25</v>
      </c>
      <c r="H277" s="4" t="s">
        <v>25</v>
      </c>
      <c r="I277" s="5">
        <v>44378</v>
      </c>
      <c r="J277" s="6">
        <v>0</v>
      </c>
      <c r="K277" s="6">
        <v>0</v>
      </c>
      <c r="L277" s="6">
        <v>992.53399999999999</v>
      </c>
      <c r="M277" s="6">
        <v>992.53399999999999</v>
      </c>
      <c r="N277" s="6">
        <v>992.53399999999999</v>
      </c>
      <c r="O277" s="6">
        <v>992.53399999999999</v>
      </c>
      <c r="P277" s="6">
        <v>8255</v>
      </c>
      <c r="Q277" s="4" t="s">
        <v>26</v>
      </c>
      <c r="R277" s="4">
        <v>0</v>
      </c>
      <c r="S277" s="6">
        <v>0</v>
      </c>
      <c r="T277" s="6">
        <v>4</v>
      </c>
      <c r="U277" s="6">
        <v>73</v>
      </c>
      <c r="V277" s="6">
        <f>IF(ISERROR(VLOOKUP($S$277,'TAR FIN'!$A$1:$O$88,15,0)),0,VLOOKUP($S$277,'TAR FIN'!$A$1:$O$88,15,0))</f>
        <v>0</v>
      </c>
      <c r="W277" s="6">
        <f>IF(ISERROR(VLOOKUP($T$277,'TAR FIN'!$A$1:$O$88,15,0)),0,VLOOKUP($T$277,'TAR FIN'!$A$1:$O$88,15,0))</f>
        <v>425.75</v>
      </c>
      <c r="X277" s="6">
        <f>IF(ISERROR(VLOOKUP($U$277,'TAR FIN'!$A$1:$O$88,15,0)),0,VLOOKUP($U$277,'TAR FIN'!$A$1:$O$88,15,0))</f>
        <v>252.22</v>
      </c>
      <c r="Y277" s="6"/>
      <c r="Z277" s="6">
        <f ca="1">('TUSD BE'!$AM$20+'TUSD BF'!$AM$20+'TUSD CVA'!$AM$20)*1</f>
        <v>487.85699036910154</v>
      </c>
      <c r="AA277" s="6">
        <f>('TE BE'!$AB$10+'TE BF'!$AB$10+'TE CVA'!$AB$10)*1</f>
        <v>251.92449556687748</v>
      </c>
      <c r="AB277" s="6">
        <f>$K$277*$V$277</f>
        <v>0</v>
      </c>
      <c r="AC277" s="6">
        <f>$M$277*$W$277</f>
        <v>422571.3505</v>
      </c>
      <c r="AD277" s="6">
        <f>$O$277*$X$277</f>
        <v>250336.92548000001</v>
      </c>
      <c r="AE277" s="6">
        <f>$K$277*$Y$277</f>
        <v>0</v>
      </c>
      <c r="AF277" s="6">
        <f ca="1">$M$277*$Z$277</f>
        <v>484214.65007900581</v>
      </c>
      <c r="AG277" s="6">
        <f>$O$277*$AA$277</f>
        <v>250043.62728297518</v>
      </c>
    </row>
    <row r="278" spans="1:33" ht="11.25" customHeight="1" x14ac:dyDescent="0.25">
      <c r="A278" s="4" t="s">
        <v>27</v>
      </c>
      <c r="B278" s="4" t="s">
        <v>22</v>
      </c>
      <c r="C278" s="4" t="s">
        <v>23</v>
      </c>
      <c r="D278" s="4" t="s">
        <v>24</v>
      </c>
      <c r="E278" s="4" t="s">
        <v>24</v>
      </c>
      <c r="F278" s="4" t="s">
        <v>25</v>
      </c>
      <c r="G278" s="4" t="s">
        <v>25</v>
      </c>
      <c r="H278" s="4" t="s">
        <v>25</v>
      </c>
      <c r="I278" s="5">
        <v>44378</v>
      </c>
      <c r="J278" s="6">
        <v>0</v>
      </c>
      <c r="K278" s="6">
        <v>0</v>
      </c>
      <c r="L278" s="6">
        <v>-0.377</v>
      </c>
      <c r="M278" s="6">
        <v>-0.377</v>
      </c>
      <c r="N278" s="6">
        <v>-0.377</v>
      </c>
      <c r="O278" s="6">
        <v>-0.377</v>
      </c>
      <c r="P278" s="6">
        <v>0</v>
      </c>
      <c r="Q278" s="4" t="s">
        <v>26</v>
      </c>
      <c r="R278" s="4">
        <v>0</v>
      </c>
      <c r="S278" s="6">
        <v>0</v>
      </c>
      <c r="T278" s="6">
        <v>4</v>
      </c>
      <c r="U278" s="6">
        <v>73</v>
      </c>
      <c r="V278" s="6">
        <f>IF(ISERROR(VLOOKUP($S$278,'TAR FIN'!$A$1:$O$88,15,0)),0,VLOOKUP($S$278,'TAR FIN'!$A$1:$O$88,15,0))</f>
        <v>0</v>
      </c>
      <c r="W278" s="6">
        <f>IF(ISERROR(VLOOKUP($T$278,'TAR FIN'!$A$1:$O$88,15,0)),0,VLOOKUP($T$278,'TAR FIN'!$A$1:$O$88,15,0))</f>
        <v>425.75</v>
      </c>
      <c r="X278" s="6">
        <f>IF(ISERROR(VLOOKUP($U$278,'TAR FIN'!$A$1:$O$88,15,0)),0,VLOOKUP($U$278,'TAR FIN'!$A$1:$O$88,15,0))</f>
        <v>252.22</v>
      </c>
      <c r="Y278" s="6"/>
      <c r="Z278" s="6">
        <f ca="1">('TUSD BE'!$AM$20+'TUSD BF'!$AM$20+'TUSD CVA'!$AM$20)*1</f>
        <v>487.85699036910154</v>
      </c>
      <c r="AA278" s="6">
        <f>('TE BE'!$AB$10+'TE BF'!$AB$10+'TE CVA'!$AB$10)*1</f>
        <v>251.92449556687748</v>
      </c>
      <c r="AB278" s="6">
        <f>$K$278*$V$278</f>
        <v>0</v>
      </c>
      <c r="AC278" s="6">
        <f>$M$278*$W$278</f>
        <v>-160.50774999999999</v>
      </c>
      <c r="AD278" s="6">
        <f>$O$278*$X$278</f>
        <v>-95.086939999999998</v>
      </c>
      <c r="AE278" s="6">
        <f>$K$278*$Y$278</f>
        <v>0</v>
      </c>
      <c r="AF278" s="6">
        <f ca="1">$M$278*$Z$278</f>
        <v>-183.92208536915129</v>
      </c>
      <c r="AG278" s="6">
        <f>$O$278*$AA$278</f>
        <v>-94.97553482871281</v>
      </c>
    </row>
    <row r="279" spans="1:33" ht="11.25" customHeight="1" x14ac:dyDescent="0.25">
      <c r="A279" s="4" t="s">
        <v>28</v>
      </c>
      <c r="B279" s="4" t="s">
        <v>22</v>
      </c>
      <c r="C279" s="4" t="s">
        <v>23</v>
      </c>
      <c r="D279" s="4" t="s">
        <v>24</v>
      </c>
      <c r="E279" s="4" t="s">
        <v>24</v>
      </c>
      <c r="F279" s="4" t="s">
        <v>25</v>
      </c>
      <c r="G279" s="4" t="s">
        <v>25</v>
      </c>
      <c r="H279" s="4" t="s">
        <v>25</v>
      </c>
      <c r="I279" s="5">
        <v>44378</v>
      </c>
      <c r="J279" s="6">
        <v>0</v>
      </c>
      <c r="K279" s="6">
        <v>0</v>
      </c>
      <c r="L279" s="6">
        <v>44.189</v>
      </c>
      <c r="M279" s="6">
        <v>44.189</v>
      </c>
      <c r="N279" s="6">
        <v>44.189</v>
      </c>
      <c r="O279" s="6">
        <v>44.189</v>
      </c>
      <c r="P279" s="6">
        <v>453</v>
      </c>
      <c r="Q279" s="4" t="s">
        <v>26</v>
      </c>
      <c r="R279" s="4">
        <v>0</v>
      </c>
      <c r="S279" s="6">
        <v>0</v>
      </c>
      <c r="T279" s="6">
        <v>4</v>
      </c>
      <c r="U279" s="6">
        <v>73</v>
      </c>
      <c r="V279" s="6">
        <f>IF(ISERROR(VLOOKUP($S$279,'TAR FIN'!$A$1:$O$88,15,0)),0,VLOOKUP($S$279,'TAR FIN'!$A$1:$O$88,15,0))</f>
        <v>0</v>
      </c>
      <c r="W279" s="6">
        <f>IF(ISERROR(VLOOKUP($T$279,'TAR FIN'!$A$1:$O$88,15,0)),0,VLOOKUP($T$279,'TAR FIN'!$A$1:$O$88,15,0))</f>
        <v>425.75</v>
      </c>
      <c r="X279" s="6">
        <f>IF(ISERROR(VLOOKUP($U$279,'TAR FIN'!$A$1:$O$88,15,0)),0,VLOOKUP($U$279,'TAR FIN'!$A$1:$O$88,15,0))</f>
        <v>252.22</v>
      </c>
      <c r="Y279" s="6"/>
      <c r="Z279" s="6">
        <f ca="1">('TUSD BE'!$AM$20+'TUSD BF'!$AM$20+'TUSD CVA'!$AM$20)*1</f>
        <v>487.85699036910154</v>
      </c>
      <c r="AA279" s="6">
        <f>('TE BE'!$AB$10+'TE BF'!$AB$10+'TE CVA'!$AB$10)*1</f>
        <v>251.92449556687748</v>
      </c>
      <c r="AB279" s="6">
        <f>$K$279*$V$279</f>
        <v>0</v>
      </c>
      <c r="AC279" s="6">
        <f>$M$279*$W$279</f>
        <v>18813.46675</v>
      </c>
      <c r="AD279" s="6">
        <f>$O$279*$X$279</f>
        <v>11145.34958</v>
      </c>
      <c r="AE279" s="6">
        <f>$K$279*$Y$279</f>
        <v>0</v>
      </c>
      <c r="AF279" s="6">
        <f ca="1">$M$279*$Z$279</f>
        <v>21557.912547420226</v>
      </c>
      <c r="AG279" s="6">
        <f>$O$279*$AA$279</f>
        <v>11132.291534604748</v>
      </c>
    </row>
    <row r="280" spans="1:33" ht="11.25" customHeight="1" x14ac:dyDescent="0.25">
      <c r="A280" s="4" t="s">
        <v>21</v>
      </c>
      <c r="B280" s="4" t="s">
        <v>22</v>
      </c>
      <c r="C280" s="4" t="s">
        <v>23</v>
      </c>
      <c r="D280" s="4" t="s">
        <v>24</v>
      </c>
      <c r="E280" s="4" t="s">
        <v>24</v>
      </c>
      <c r="F280" s="4" t="s">
        <v>25</v>
      </c>
      <c r="G280" s="4" t="s">
        <v>25</v>
      </c>
      <c r="H280" s="4" t="s">
        <v>25</v>
      </c>
      <c r="I280" s="5">
        <v>44409</v>
      </c>
      <c r="J280" s="6">
        <v>0</v>
      </c>
      <c r="K280" s="6">
        <v>0</v>
      </c>
      <c r="L280" s="6">
        <v>1012.851</v>
      </c>
      <c r="M280" s="6">
        <v>1012.851</v>
      </c>
      <c r="N280" s="6">
        <v>1012.851</v>
      </c>
      <c r="O280" s="6">
        <v>1012.851</v>
      </c>
      <c r="P280" s="6">
        <v>8243</v>
      </c>
      <c r="Q280" s="4" t="s">
        <v>26</v>
      </c>
      <c r="R280" s="4">
        <v>0</v>
      </c>
      <c r="S280" s="6">
        <v>0</v>
      </c>
      <c r="T280" s="6">
        <v>4</v>
      </c>
      <c r="U280" s="6">
        <v>73</v>
      </c>
      <c r="V280" s="6">
        <f>IF(ISERROR(VLOOKUP($S$280,'TAR FIN'!$A$1:$O$88,15,0)),0,VLOOKUP($S$280,'TAR FIN'!$A$1:$O$88,15,0))</f>
        <v>0</v>
      </c>
      <c r="W280" s="6">
        <f>IF(ISERROR(VLOOKUP($T$280,'TAR FIN'!$A$1:$O$88,15,0)),0,VLOOKUP($T$280,'TAR FIN'!$A$1:$O$88,15,0))</f>
        <v>425.75</v>
      </c>
      <c r="X280" s="6">
        <f>IF(ISERROR(VLOOKUP($U$280,'TAR FIN'!$A$1:$O$88,15,0)),0,VLOOKUP($U$280,'TAR FIN'!$A$1:$O$88,15,0))</f>
        <v>252.22</v>
      </c>
      <c r="Y280" s="6"/>
      <c r="Z280" s="6">
        <f ca="1">('TUSD BE'!$AM$20+'TUSD BF'!$AM$20+'TUSD CVA'!$AM$20)*1</f>
        <v>487.85699036910154</v>
      </c>
      <c r="AA280" s="6">
        <f>('TE BE'!$AB$10+'TE BF'!$AB$10+'TE CVA'!$AB$10)*1</f>
        <v>251.92449556687748</v>
      </c>
      <c r="AB280" s="6">
        <f>$K$280*$V$280</f>
        <v>0</v>
      </c>
      <c r="AC280" s="6">
        <f>$M$280*$W$280</f>
        <v>431221.31325000001</v>
      </c>
      <c r="AD280" s="6">
        <f>$O$280*$X$280</f>
        <v>255461.27922</v>
      </c>
      <c r="AE280" s="6">
        <f>$K$280*$Y$280</f>
        <v>0</v>
      </c>
      <c r="AF280" s="6">
        <f ca="1">$M$280*$Z$280</f>
        <v>494126.44055233488</v>
      </c>
      <c r="AG280" s="6">
        <f>$O$280*$AA$280</f>
        <v>255161.97725940743</v>
      </c>
    </row>
    <row r="281" spans="1:33" ht="11.25" customHeight="1" x14ac:dyDescent="0.25">
      <c r="A281" s="4" t="s">
        <v>27</v>
      </c>
      <c r="B281" s="4" t="s">
        <v>22</v>
      </c>
      <c r="C281" s="4" t="s">
        <v>23</v>
      </c>
      <c r="D281" s="4" t="s">
        <v>24</v>
      </c>
      <c r="E281" s="4" t="s">
        <v>24</v>
      </c>
      <c r="F281" s="4" t="s">
        <v>25</v>
      </c>
      <c r="G281" s="4" t="s">
        <v>25</v>
      </c>
      <c r="H281" s="4" t="s">
        <v>25</v>
      </c>
      <c r="I281" s="5">
        <v>44409</v>
      </c>
      <c r="J281" s="6">
        <v>0</v>
      </c>
      <c r="K281" s="6">
        <v>0</v>
      </c>
      <c r="L281" s="6">
        <v>-0.32500000000000001</v>
      </c>
      <c r="M281" s="6">
        <v>-0.32500000000000001</v>
      </c>
      <c r="N281" s="6">
        <v>-0.32500000000000001</v>
      </c>
      <c r="O281" s="6">
        <v>-0.32500000000000001</v>
      </c>
      <c r="P281" s="6">
        <v>0</v>
      </c>
      <c r="Q281" s="4" t="s">
        <v>26</v>
      </c>
      <c r="R281" s="4">
        <v>0</v>
      </c>
      <c r="S281" s="6">
        <v>0</v>
      </c>
      <c r="T281" s="6">
        <v>4</v>
      </c>
      <c r="U281" s="6">
        <v>73</v>
      </c>
      <c r="V281" s="6">
        <f>IF(ISERROR(VLOOKUP($S$281,'TAR FIN'!$A$1:$O$88,15,0)),0,VLOOKUP($S$281,'TAR FIN'!$A$1:$O$88,15,0))</f>
        <v>0</v>
      </c>
      <c r="W281" s="6">
        <f>IF(ISERROR(VLOOKUP($T$281,'TAR FIN'!$A$1:$O$88,15,0)),0,VLOOKUP($T$281,'TAR FIN'!$A$1:$O$88,15,0))</f>
        <v>425.75</v>
      </c>
      <c r="X281" s="6">
        <f>IF(ISERROR(VLOOKUP($U$281,'TAR FIN'!$A$1:$O$88,15,0)),0,VLOOKUP($U$281,'TAR FIN'!$A$1:$O$88,15,0))</f>
        <v>252.22</v>
      </c>
      <c r="Y281" s="6"/>
      <c r="Z281" s="6">
        <f ca="1">('TUSD BE'!$AM$20+'TUSD BF'!$AM$20+'TUSD CVA'!$AM$20)*1</f>
        <v>487.85699036910154</v>
      </c>
      <c r="AA281" s="6">
        <f>('TE BE'!$AB$10+'TE BF'!$AB$10+'TE CVA'!$AB$10)*1</f>
        <v>251.92449556687748</v>
      </c>
      <c r="AB281" s="6">
        <f>$K$281*$V$281</f>
        <v>0</v>
      </c>
      <c r="AC281" s="6">
        <f>$M$281*$W$281</f>
        <v>-138.36875000000001</v>
      </c>
      <c r="AD281" s="6">
        <f>$O$281*$X$281</f>
        <v>-81.971500000000006</v>
      </c>
      <c r="AE281" s="6">
        <f>$K$281*$Y$281</f>
        <v>0</v>
      </c>
      <c r="AF281" s="6">
        <f ca="1">$M$281*$Z$281</f>
        <v>-158.55352186995802</v>
      </c>
      <c r="AG281" s="6">
        <f>$O$281*$AA$281</f>
        <v>-81.875461059235178</v>
      </c>
    </row>
    <row r="282" spans="1:33" ht="11.25" customHeight="1" x14ac:dyDescent="0.25">
      <c r="A282" s="4" t="s">
        <v>28</v>
      </c>
      <c r="B282" s="4" t="s">
        <v>22</v>
      </c>
      <c r="C282" s="4" t="s">
        <v>23</v>
      </c>
      <c r="D282" s="4" t="s">
        <v>24</v>
      </c>
      <c r="E282" s="4" t="s">
        <v>24</v>
      </c>
      <c r="F282" s="4" t="s">
        <v>25</v>
      </c>
      <c r="G282" s="4" t="s">
        <v>25</v>
      </c>
      <c r="H282" s="4" t="s">
        <v>25</v>
      </c>
      <c r="I282" s="5">
        <v>44409</v>
      </c>
      <c r="J282" s="6">
        <v>0</v>
      </c>
      <c r="K282" s="6">
        <v>0</v>
      </c>
      <c r="L282" s="6">
        <v>35.491</v>
      </c>
      <c r="M282" s="6">
        <v>35.491</v>
      </c>
      <c r="N282" s="6">
        <v>35.491</v>
      </c>
      <c r="O282" s="6">
        <v>35.491</v>
      </c>
      <c r="P282" s="6">
        <v>467</v>
      </c>
      <c r="Q282" s="4" t="s">
        <v>26</v>
      </c>
      <c r="R282" s="4">
        <v>0</v>
      </c>
      <c r="S282" s="6">
        <v>0</v>
      </c>
      <c r="T282" s="6">
        <v>4</v>
      </c>
      <c r="U282" s="6">
        <v>73</v>
      </c>
      <c r="V282" s="6">
        <f>IF(ISERROR(VLOOKUP($S$282,'TAR FIN'!$A$1:$O$88,15,0)),0,VLOOKUP($S$282,'TAR FIN'!$A$1:$O$88,15,0))</f>
        <v>0</v>
      </c>
      <c r="W282" s="6">
        <f>IF(ISERROR(VLOOKUP($T$282,'TAR FIN'!$A$1:$O$88,15,0)),0,VLOOKUP($T$282,'TAR FIN'!$A$1:$O$88,15,0))</f>
        <v>425.75</v>
      </c>
      <c r="X282" s="6">
        <f>IF(ISERROR(VLOOKUP($U$282,'TAR FIN'!$A$1:$O$88,15,0)),0,VLOOKUP($U$282,'TAR FIN'!$A$1:$O$88,15,0))</f>
        <v>252.22</v>
      </c>
      <c r="Y282" s="6"/>
      <c r="Z282" s="6">
        <f ca="1">('TUSD BE'!$AM$20+'TUSD BF'!$AM$20+'TUSD CVA'!$AM$20)*1</f>
        <v>487.85699036910154</v>
      </c>
      <c r="AA282" s="6">
        <f>('TE BE'!$AB$10+'TE BF'!$AB$10+'TE CVA'!$AB$10)*1</f>
        <v>251.92449556687748</v>
      </c>
      <c r="AB282" s="6">
        <f>$K$282*$V$282</f>
        <v>0</v>
      </c>
      <c r="AC282" s="6">
        <f>$M$282*$W$282</f>
        <v>15110.293250000001</v>
      </c>
      <c r="AD282" s="6">
        <f>$O$282*$X$282</f>
        <v>8951.5400200000004</v>
      </c>
      <c r="AE282" s="6">
        <f>$K$282*$Y$282</f>
        <v>0</v>
      </c>
      <c r="AF282" s="6">
        <f ca="1">$M$282*$Z$282</f>
        <v>17314.532445189783</v>
      </c>
      <c r="AG282" s="6">
        <f>$O$282*$AA$282</f>
        <v>8941.0522721640482</v>
      </c>
    </row>
    <row r="283" spans="1:33" ht="11.25" customHeight="1" x14ac:dyDescent="0.25">
      <c r="A283" s="4" t="s">
        <v>21</v>
      </c>
      <c r="B283" s="4" t="s">
        <v>22</v>
      </c>
      <c r="C283" s="4" t="s">
        <v>23</v>
      </c>
      <c r="D283" s="4" t="s">
        <v>24</v>
      </c>
      <c r="E283" s="4" t="s">
        <v>24</v>
      </c>
      <c r="F283" s="4" t="s">
        <v>25</v>
      </c>
      <c r="G283" s="4" t="s">
        <v>25</v>
      </c>
      <c r="H283" s="4" t="s">
        <v>25</v>
      </c>
      <c r="I283" s="5">
        <v>44440</v>
      </c>
      <c r="J283" s="6">
        <v>0</v>
      </c>
      <c r="K283" s="6">
        <v>0</v>
      </c>
      <c r="L283" s="6">
        <v>1029.579</v>
      </c>
      <c r="M283" s="6">
        <v>1029.579</v>
      </c>
      <c r="N283" s="6">
        <v>1029.579</v>
      </c>
      <c r="O283" s="6">
        <v>1029.579</v>
      </c>
      <c r="P283" s="6">
        <v>8270</v>
      </c>
      <c r="Q283" s="4" t="s">
        <v>26</v>
      </c>
      <c r="R283" s="4">
        <v>0</v>
      </c>
      <c r="S283" s="6">
        <v>0</v>
      </c>
      <c r="T283" s="6">
        <v>4</v>
      </c>
      <c r="U283" s="6">
        <v>73</v>
      </c>
      <c r="V283" s="6">
        <f>IF(ISERROR(VLOOKUP($S$283,'TAR FIN'!$A$1:$O$88,15,0)),0,VLOOKUP($S$283,'TAR FIN'!$A$1:$O$88,15,0))</f>
        <v>0</v>
      </c>
      <c r="W283" s="6">
        <f>IF(ISERROR(VLOOKUP($T$283,'TAR FIN'!$A$1:$O$88,15,0)),0,VLOOKUP($T$283,'TAR FIN'!$A$1:$O$88,15,0))</f>
        <v>425.75</v>
      </c>
      <c r="X283" s="6">
        <f>IF(ISERROR(VLOOKUP($U$283,'TAR FIN'!$A$1:$O$88,15,0)),0,VLOOKUP($U$283,'TAR FIN'!$A$1:$O$88,15,0))</f>
        <v>252.22</v>
      </c>
      <c r="Y283" s="6"/>
      <c r="Z283" s="6">
        <f ca="1">('TUSD BE'!$AM$20+'TUSD BF'!$AM$20+'TUSD CVA'!$AM$20)*1</f>
        <v>487.85699036910154</v>
      </c>
      <c r="AA283" s="6">
        <f>('TE BE'!$AB$10+'TE BF'!$AB$10+'TE CVA'!$AB$10)*1</f>
        <v>251.92449556687748</v>
      </c>
      <c r="AB283" s="6">
        <f>$K$283*$V$283</f>
        <v>0</v>
      </c>
      <c r="AC283" s="6">
        <f>$M$283*$W$283</f>
        <v>438343.25925</v>
      </c>
      <c r="AD283" s="6">
        <f>$O$283*$X$283</f>
        <v>259680.41537999999</v>
      </c>
      <c r="AE283" s="6">
        <f>$K$283*$Y$283</f>
        <v>0</v>
      </c>
      <c r="AF283" s="6">
        <f ca="1">$M$283*$Z$283</f>
        <v>502287.31228722917</v>
      </c>
      <c r="AG283" s="6">
        <f>$O$283*$AA$283</f>
        <v>259376.17022125013</v>
      </c>
    </row>
    <row r="284" spans="1:33" ht="11.25" customHeight="1" x14ac:dyDescent="0.25">
      <c r="A284" s="4" t="s">
        <v>27</v>
      </c>
      <c r="B284" s="4" t="s">
        <v>22</v>
      </c>
      <c r="C284" s="4" t="s">
        <v>23</v>
      </c>
      <c r="D284" s="4" t="s">
        <v>24</v>
      </c>
      <c r="E284" s="4" t="s">
        <v>24</v>
      </c>
      <c r="F284" s="4" t="s">
        <v>25</v>
      </c>
      <c r="G284" s="4" t="s">
        <v>25</v>
      </c>
      <c r="H284" s="4" t="s">
        <v>25</v>
      </c>
      <c r="I284" s="5">
        <v>44440</v>
      </c>
      <c r="J284" s="6">
        <v>0</v>
      </c>
      <c r="K284" s="6">
        <v>0</v>
      </c>
      <c r="L284" s="6">
        <v>0.14699999999999999</v>
      </c>
      <c r="M284" s="6">
        <v>0.14699999999999999</v>
      </c>
      <c r="N284" s="6">
        <v>0.14699999999999999</v>
      </c>
      <c r="O284" s="6">
        <v>0.14699999999999999</v>
      </c>
      <c r="P284" s="6">
        <v>0</v>
      </c>
      <c r="Q284" s="4" t="s">
        <v>26</v>
      </c>
      <c r="R284" s="4">
        <v>0</v>
      </c>
      <c r="S284" s="6">
        <v>0</v>
      </c>
      <c r="T284" s="6">
        <v>4</v>
      </c>
      <c r="U284" s="6">
        <v>73</v>
      </c>
      <c r="V284" s="6">
        <f>IF(ISERROR(VLOOKUP($S$284,'TAR FIN'!$A$1:$O$88,15,0)),0,VLOOKUP($S$284,'TAR FIN'!$A$1:$O$88,15,0))</f>
        <v>0</v>
      </c>
      <c r="W284" s="6">
        <f>IF(ISERROR(VLOOKUP($T$284,'TAR FIN'!$A$1:$O$88,15,0)),0,VLOOKUP($T$284,'TAR FIN'!$A$1:$O$88,15,0))</f>
        <v>425.75</v>
      </c>
      <c r="X284" s="6">
        <f>IF(ISERROR(VLOOKUP($U$284,'TAR FIN'!$A$1:$O$88,15,0)),0,VLOOKUP($U$284,'TAR FIN'!$A$1:$O$88,15,0))</f>
        <v>252.22</v>
      </c>
      <c r="Y284" s="6"/>
      <c r="Z284" s="6">
        <f ca="1">('TUSD BE'!$AM$20+'TUSD BF'!$AM$20+'TUSD CVA'!$AM$20)*1</f>
        <v>487.85699036910154</v>
      </c>
      <c r="AA284" s="6">
        <f>('TE BE'!$AB$10+'TE BF'!$AB$10+'TE CVA'!$AB$10)*1</f>
        <v>251.92449556687748</v>
      </c>
      <c r="AB284" s="6">
        <f>$K$284*$V$284</f>
        <v>0</v>
      </c>
      <c r="AC284" s="6">
        <f>$M$284*$W$284</f>
        <v>62.585249999999995</v>
      </c>
      <c r="AD284" s="6">
        <f>$O$284*$X$284</f>
        <v>37.076339999999995</v>
      </c>
      <c r="AE284" s="6">
        <f>$K$284*$Y$284</f>
        <v>0</v>
      </c>
      <c r="AF284" s="6">
        <f ca="1">$M$284*$Z$284</f>
        <v>71.714977584257923</v>
      </c>
      <c r="AG284" s="6">
        <f>$O$284*$AA$284</f>
        <v>37.032900848330989</v>
      </c>
    </row>
    <row r="285" spans="1:33" ht="11.25" customHeight="1" x14ac:dyDescent="0.25">
      <c r="A285" s="4" t="s">
        <v>28</v>
      </c>
      <c r="B285" s="4" t="s">
        <v>22</v>
      </c>
      <c r="C285" s="4" t="s">
        <v>23</v>
      </c>
      <c r="D285" s="4" t="s">
        <v>24</v>
      </c>
      <c r="E285" s="4" t="s">
        <v>24</v>
      </c>
      <c r="F285" s="4" t="s">
        <v>25</v>
      </c>
      <c r="G285" s="4" t="s">
        <v>25</v>
      </c>
      <c r="H285" s="4" t="s">
        <v>25</v>
      </c>
      <c r="I285" s="5">
        <v>44440</v>
      </c>
      <c r="J285" s="6">
        <v>0</v>
      </c>
      <c r="K285" s="6">
        <v>0</v>
      </c>
      <c r="L285" s="6">
        <v>32.054000000000002</v>
      </c>
      <c r="M285" s="6">
        <v>32.054000000000002</v>
      </c>
      <c r="N285" s="6">
        <v>32.054000000000002</v>
      </c>
      <c r="O285" s="6">
        <v>32.054000000000002</v>
      </c>
      <c r="P285" s="6">
        <v>472</v>
      </c>
      <c r="Q285" s="4" t="s">
        <v>26</v>
      </c>
      <c r="R285" s="4">
        <v>0</v>
      </c>
      <c r="S285" s="6">
        <v>0</v>
      </c>
      <c r="T285" s="6">
        <v>4</v>
      </c>
      <c r="U285" s="6">
        <v>73</v>
      </c>
      <c r="V285" s="6">
        <f>IF(ISERROR(VLOOKUP($S$285,'TAR FIN'!$A$1:$O$88,15,0)),0,VLOOKUP($S$285,'TAR FIN'!$A$1:$O$88,15,0))</f>
        <v>0</v>
      </c>
      <c r="W285" s="6">
        <f>IF(ISERROR(VLOOKUP($T$285,'TAR FIN'!$A$1:$O$88,15,0)),0,VLOOKUP($T$285,'TAR FIN'!$A$1:$O$88,15,0))</f>
        <v>425.75</v>
      </c>
      <c r="X285" s="6">
        <f>IF(ISERROR(VLOOKUP($U$285,'TAR FIN'!$A$1:$O$88,15,0)),0,VLOOKUP($U$285,'TAR FIN'!$A$1:$O$88,15,0))</f>
        <v>252.22</v>
      </c>
      <c r="Y285" s="6"/>
      <c r="Z285" s="6">
        <f ca="1">('TUSD BE'!$AM$20+'TUSD BF'!$AM$20+'TUSD CVA'!$AM$20)*1</f>
        <v>487.85699036910154</v>
      </c>
      <c r="AA285" s="6">
        <f>('TE BE'!$AB$10+'TE BF'!$AB$10+'TE CVA'!$AB$10)*1</f>
        <v>251.92449556687748</v>
      </c>
      <c r="AB285" s="6">
        <f>$K$285*$V$285</f>
        <v>0</v>
      </c>
      <c r="AC285" s="6">
        <f>$M$285*$W$285</f>
        <v>13646.990500000002</v>
      </c>
      <c r="AD285" s="6">
        <f>$O$285*$X$285</f>
        <v>8084.6598800000002</v>
      </c>
      <c r="AE285" s="6">
        <f>$K$285*$Y$285</f>
        <v>0</v>
      </c>
      <c r="AF285" s="6">
        <f ca="1">$M$285*$Z$285</f>
        <v>15637.767969291182</v>
      </c>
      <c r="AG285" s="6">
        <f>$O$285*$AA$285</f>
        <v>8075.187780900691</v>
      </c>
    </row>
    <row r="286" spans="1:33" ht="11.25" customHeight="1" x14ac:dyDescent="0.25">
      <c r="A286" s="4" t="s">
        <v>28</v>
      </c>
      <c r="B286" s="4" t="s">
        <v>22</v>
      </c>
      <c r="C286" s="4" t="s">
        <v>23</v>
      </c>
      <c r="D286" s="4" t="s">
        <v>24</v>
      </c>
      <c r="E286" s="4" t="s">
        <v>24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0.31900000000000001</v>
      </c>
      <c r="M286" s="6">
        <v>0.31900000000000001</v>
      </c>
      <c r="N286" s="6">
        <v>0.31900000000000001</v>
      </c>
      <c r="O286" s="6">
        <v>0.31900000000000001</v>
      </c>
      <c r="P286" s="6">
        <v>1</v>
      </c>
      <c r="Q286" s="4" t="s">
        <v>26</v>
      </c>
      <c r="R286" s="4">
        <v>0</v>
      </c>
      <c r="S286" s="6">
        <v>0</v>
      </c>
      <c r="T286" s="6">
        <v>4</v>
      </c>
      <c r="U286" s="6">
        <v>73</v>
      </c>
      <c r="V286" s="6">
        <f>IF(ISERROR(VLOOKUP($S$286,'TAR FIN'!$A$1:$O$88,15,0)),0,VLOOKUP($S$286,'TAR FIN'!$A$1:$O$88,15,0))</f>
        <v>0</v>
      </c>
      <c r="W286" s="6">
        <f>IF(ISERROR(VLOOKUP($T$286,'TAR FIN'!$A$1:$O$88,15,0)),0,VLOOKUP($T$286,'TAR FIN'!$A$1:$O$88,15,0))</f>
        <v>425.75</v>
      </c>
      <c r="X286" s="6">
        <f>IF(ISERROR(VLOOKUP($U$286,'TAR FIN'!$A$1:$O$88,15,0)),0,VLOOKUP($U$286,'TAR FIN'!$A$1:$O$88,15,0))</f>
        <v>252.22</v>
      </c>
      <c r="Y286" s="6"/>
      <c r="Z286" s="6">
        <f ca="1">('TUSD BE'!$AM$20+'TUSD BF'!$AM$20+'TUSD CVA'!$AM$20)*1</f>
        <v>487.85699036910154</v>
      </c>
      <c r="AA286" s="6">
        <f>('TE BE'!$AB$10+'TE BF'!$AB$10+'TE CVA'!$AB$10)*1</f>
        <v>251.92449556687748</v>
      </c>
      <c r="AB286" s="6">
        <f>$K$286*$V$286</f>
        <v>0</v>
      </c>
      <c r="AC286" s="6">
        <f>$M$286*$W$286</f>
        <v>135.81425000000002</v>
      </c>
      <c r="AD286" s="6">
        <f>$O$286*$X$286</f>
        <v>80.458179999999999</v>
      </c>
      <c r="AE286" s="6">
        <f>$K$286*$Y$286</f>
        <v>0</v>
      </c>
      <c r="AF286" s="6">
        <f ca="1">$M$286*$Z$286</f>
        <v>155.62637992774339</v>
      </c>
      <c r="AG286" s="6">
        <f>$O$286*$AA$286</f>
        <v>80.363914085833912</v>
      </c>
    </row>
    <row r="287" spans="1:33" ht="11.25" customHeight="1" x14ac:dyDescent="0.25">
      <c r="A287" s="4" t="s">
        <v>21</v>
      </c>
      <c r="B287" s="4" t="s">
        <v>22</v>
      </c>
      <c r="C287" s="4" t="s">
        <v>23</v>
      </c>
      <c r="D287" s="4" t="s">
        <v>24</v>
      </c>
      <c r="E287" s="4" t="s">
        <v>24</v>
      </c>
      <c r="F287" s="4" t="s">
        <v>25</v>
      </c>
      <c r="G287" s="4" t="s">
        <v>25</v>
      </c>
      <c r="H287" s="4" t="s">
        <v>25</v>
      </c>
      <c r="I287" s="5">
        <v>44470</v>
      </c>
      <c r="J287" s="6">
        <v>0</v>
      </c>
      <c r="K287" s="6">
        <v>0</v>
      </c>
      <c r="L287" s="6">
        <v>1002.316</v>
      </c>
      <c r="M287" s="6">
        <v>1002.316</v>
      </c>
      <c r="N287" s="6">
        <v>1002.316</v>
      </c>
      <c r="O287" s="6">
        <v>1002.316</v>
      </c>
      <c r="P287" s="6">
        <v>8247</v>
      </c>
      <c r="Q287" s="4" t="s">
        <v>26</v>
      </c>
      <c r="R287" s="4">
        <v>0</v>
      </c>
      <c r="S287" s="6">
        <v>0</v>
      </c>
      <c r="T287" s="6">
        <v>4</v>
      </c>
      <c r="U287" s="6">
        <v>73</v>
      </c>
      <c r="V287" s="6">
        <f>IF(ISERROR(VLOOKUP($S$287,'TAR FIN'!$A$1:$O$88,15,0)),0,VLOOKUP($S$287,'TAR FIN'!$A$1:$O$88,15,0))</f>
        <v>0</v>
      </c>
      <c r="W287" s="6">
        <f>IF(ISERROR(VLOOKUP($T$287,'TAR FIN'!$A$1:$O$88,15,0)),0,VLOOKUP($T$287,'TAR FIN'!$A$1:$O$88,15,0))</f>
        <v>425.75</v>
      </c>
      <c r="X287" s="6">
        <f>IF(ISERROR(VLOOKUP($U$287,'TAR FIN'!$A$1:$O$88,15,0)),0,VLOOKUP($U$287,'TAR FIN'!$A$1:$O$88,15,0))</f>
        <v>252.22</v>
      </c>
      <c r="Y287" s="6"/>
      <c r="Z287" s="6">
        <f ca="1">('TUSD BE'!$AM$20+'TUSD BF'!$AM$20+'TUSD CVA'!$AM$20)*1</f>
        <v>487.85699036910154</v>
      </c>
      <c r="AA287" s="6">
        <f>('TE BE'!$AB$10+'TE BF'!$AB$10+'TE CVA'!$AB$10)*1</f>
        <v>251.92449556687748</v>
      </c>
      <c r="AB287" s="6">
        <f>$K$287*$V$287</f>
        <v>0</v>
      </c>
      <c r="AC287" s="6">
        <f>$M$287*$W$287</f>
        <v>426736.03700000001</v>
      </c>
      <c r="AD287" s="6">
        <f>$O$287*$X$287</f>
        <v>252804.14152</v>
      </c>
      <c r="AE287" s="6">
        <f>$K$287*$Y$287</f>
        <v>0</v>
      </c>
      <c r="AF287" s="6">
        <f ca="1">$M$287*$Z$287</f>
        <v>488986.86715879641</v>
      </c>
      <c r="AG287" s="6">
        <f>$O$287*$AA$287</f>
        <v>252507.95269861037</v>
      </c>
    </row>
    <row r="288" spans="1:33" ht="11.25" customHeight="1" x14ac:dyDescent="0.25">
      <c r="A288" s="4" t="s">
        <v>27</v>
      </c>
      <c r="B288" s="4" t="s">
        <v>22</v>
      </c>
      <c r="C288" s="4" t="s">
        <v>23</v>
      </c>
      <c r="D288" s="4" t="s">
        <v>24</v>
      </c>
      <c r="E288" s="4" t="s">
        <v>24</v>
      </c>
      <c r="F288" s="4" t="s">
        <v>25</v>
      </c>
      <c r="G288" s="4" t="s">
        <v>25</v>
      </c>
      <c r="H288" s="4" t="s">
        <v>25</v>
      </c>
      <c r="I288" s="5">
        <v>44470</v>
      </c>
      <c r="J288" s="6">
        <v>0</v>
      </c>
      <c r="K288" s="6">
        <v>0</v>
      </c>
      <c r="L288" s="6">
        <v>-1.4450000000000001</v>
      </c>
      <c r="M288" s="6">
        <v>-1.4450000000000001</v>
      </c>
      <c r="N288" s="6">
        <v>-1.4450000000000001</v>
      </c>
      <c r="O288" s="6">
        <v>-1.4450000000000001</v>
      </c>
      <c r="P288" s="6">
        <v>0</v>
      </c>
      <c r="Q288" s="4" t="s">
        <v>26</v>
      </c>
      <c r="R288" s="4">
        <v>0</v>
      </c>
      <c r="S288" s="6">
        <v>0</v>
      </c>
      <c r="T288" s="6">
        <v>4</v>
      </c>
      <c r="U288" s="6">
        <v>73</v>
      </c>
      <c r="V288" s="6">
        <f>IF(ISERROR(VLOOKUP($S$288,'TAR FIN'!$A$1:$O$88,15,0)),0,VLOOKUP($S$288,'TAR FIN'!$A$1:$O$88,15,0))</f>
        <v>0</v>
      </c>
      <c r="W288" s="6">
        <f>IF(ISERROR(VLOOKUP($T$288,'TAR FIN'!$A$1:$O$88,15,0)),0,VLOOKUP($T$288,'TAR FIN'!$A$1:$O$88,15,0))</f>
        <v>425.75</v>
      </c>
      <c r="X288" s="6">
        <f>IF(ISERROR(VLOOKUP($U$288,'TAR FIN'!$A$1:$O$88,15,0)),0,VLOOKUP($U$288,'TAR FIN'!$A$1:$O$88,15,0))</f>
        <v>252.22</v>
      </c>
      <c r="Y288" s="6"/>
      <c r="Z288" s="6">
        <f ca="1">('TUSD BE'!$AM$20+'TUSD BF'!$AM$20+'TUSD CVA'!$AM$20)*1</f>
        <v>487.85699036910154</v>
      </c>
      <c r="AA288" s="6">
        <f>('TE BE'!$AB$10+'TE BF'!$AB$10+'TE CVA'!$AB$10)*1</f>
        <v>251.92449556687748</v>
      </c>
      <c r="AB288" s="6">
        <f>$K$288*$V$288</f>
        <v>0</v>
      </c>
      <c r="AC288" s="6">
        <f>$M$288*$W$288</f>
        <v>-615.20875000000001</v>
      </c>
      <c r="AD288" s="6">
        <f>$O$288*$X$288</f>
        <v>-364.4579</v>
      </c>
      <c r="AE288" s="6">
        <f>$K$288*$Y$288</f>
        <v>0</v>
      </c>
      <c r="AF288" s="6">
        <f ca="1">$M$288*$Z$288</f>
        <v>-704.95335108335178</v>
      </c>
      <c r="AG288" s="6">
        <f>$O$288*$AA$288</f>
        <v>-364.03089609413797</v>
      </c>
    </row>
    <row r="289" spans="1:33" ht="11.25" customHeight="1" x14ac:dyDescent="0.25">
      <c r="A289" s="4" t="s">
        <v>28</v>
      </c>
      <c r="B289" s="4" t="s">
        <v>22</v>
      </c>
      <c r="C289" s="4" t="s">
        <v>23</v>
      </c>
      <c r="D289" s="4" t="s">
        <v>24</v>
      </c>
      <c r="E289" s="4" t="s">
        <v>24</v>
      </c>
      <c r="F289" s="4" t="s">
        <v>25</v>
      </c>
      <c r="G289" s="4" t="s">
        <v>25</v>
      </c>
      <c r="H289" s="4" t="s">
        <v>25</v>
      </c>
      <c r="I289" s="5">
        <v>44470</v>
      </c>
      <c r="J289" s="6">
        <v>0</v>
      </c>
      <c r="K289" s="6">
        <v>0</v>
      </c>
      <c r="L289" s="6">
        <v>26.238</v>
      </c>
      <c r="M289" s="6">
        <v>26.238</v>
      </c>
      <c r="N289" s="6">
        <v>26.238</v>
      </c>
      <c r="O289" s="6">
        <v>26.238</v>
      </c>
      <c r="P289" s="6">
        <v>480</v>
      </c>
      <c r="Q289" s="4" t="s">
        <v>26</v>
      </c>
      <c r="R289" s="4">
        <v>0</v>
      </c>
      <c r="S289" s="6">
        <v>0</v>
      </c>
      <c r="T289" s="6">
        <v>4</v>
      </c>
      <c r="U289" s="6">
        <v>73</v>
      </c>
      <c r="V289" s="6">
        <f>IF(ISERROR(VLOOKUP($S$289,'TAR FIN'!$A$1:$O$88,15,0)),0,VLOOKUP($S$289,'TAR FIN'!$A$1:$O$88,15,0))</f>
        <v>0</v>
      </c>
      <c r="W289" s="6">
        <f>IF(ISERROR(VLOOKUP($T$289,'TAR FIN'!$A$1:$O$88,15,0)),0,VLOOKUP($T$289,'TAR FIN'!$A$1:$O$88,15,0))</f>
        <v>425.75</v>
      </c>
      <c r="X289" s="6">
        <f>IF(ISERROR(VLOOKUP($U$289,'TAR FIN'!$A$1:$O$88,15,0)),0,VLOOKUP($U$289,'TAR FIN'!$A$1:$O$88,15,0))</f>
        <v>252.22</v>
      </c>
      <c r="Y289" s="6"/>
      <c r="Z289" s="6">
        <f ca="1">('TUSD BE'!$AM$20+'TUSD BF'!$AM$20+'TUSD CVA'!$AM$20)*1</f>
        <v>487.85699036910154</v>
      </c>
      <c r="AA289" s="6">
        <f>('TE BE'!$AB$10+'TE BF'!$AB$10+'TE CVA'!$AB$10)*1</f>
        <v>251.92449556687748</v>
      </c>
      <c r="AB289" s="6">
        <f>$K$289*$V$289</f>
        <v>0</v>
      </c>
      <c r="AC289" s="6">
        <f>$M$289*$W$289</f>
        <v>11170.8285</v>
      </c>
      <c r="AD289" s="6">
        <f>$O$289*$X$289</f>
        <v>6617.7483599999996</v>
      </c>
      <c r="AE289" s="6">
        <f>$K$289*$Y$289</f>
        <v>0</v>
      </c>
      <c r="AF289" s="6">
        <f ca="1">$M$289*$Z$289</f>
        <v>12800.391713304485</v>
      </c>
      <c r="AG289" s="6">
        <f>$O$289*$AA$289</f>
        <v>6609.9949146837316</v>
      </c>
    </row>
    <row r="290" spans="1:33" ht="11.25" customHeight="1" x14ac:dyDescent="0.25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24</v>
      </c>
      <c r="F290" s="4" t="s">
        <v>25</v>
      </c>
      <c r="G290" s="4" t="s">
        <v>25</v>
      </c>
      <c r="H290" s="4" t="s">
        <v>25</v>
      </c>
      <c r="I290" s="5">
        <v>44501</v>
      </c>
      <c r="J290" s="6">
        <v>0</v>
      </c>
      <c r="K290" s="6">
        <v>0</v>
      </c>
      <c r="L290" s="6">
        <v>1114.566</v>
      </c>
      <c r="M290" s="6">
        <v>1114.566</v>
      </c>
      <c r="N290" s="6">
        <v>1114.566</v>
      </c>
      <c r="O290" s="6">
        <v>1114.566</v>
      </c>
      <c r="P290" s="6">
        <v>8243</v>
      </c>
      <c r="Q290" s="4" t="s">
        <v>26</v>
      </c>
      <c r="R290" s="4">
        <v>0</v>
      </c>
      <c r="S290" s="6">
        <v>0</v>
      </c>
      <c r="T290" s="6">
        <v>4</v>
      </c>
      <c r="U290" s="6">
        <v>73</v>
      </c>
      <c r="V290" s="6">
        <f>IF(ISERROR(VLOOKUP($S$290,'TAR FIN'!$A$1:$O$88,15,0)),0,VLOOKUP($S$290,'TAR FIN'!$A$1:$O$88,15,0))</f>
        <v>0</v>
      </c>
      <c r="W290" s="6">
        <f>IF(ISERROR(VLOOKUP($T$290,'TAR FIN'!$A$1:$O$88,15,0)),0,VLOOKUP($T$290,'TAR FIN'!$A$1:$O$88,15,0))</f>
        <v>425.75</v>
      </c>
      <c r="X290" s="6">
        <f>IF(ISERROR(VLOOKUP($U$290,'TAR FIN'!$A$1:$O$88,15,0)),0,VLOOKUP($U$290,'TAR FIN'!$A$1:$O$88,15,0))</f>
        <v>252.22</v>
      </c>
      <c r="Y290" s="6"/>
      <c r="Z290" s="6">
        <f ca="1">('TUSD BE'!$AM$20+'TUSD BF'!$AM$20+'TUSD CVA'!$AM$20)*1</f>
        <v>487.85699036910154</v>
      </c>
      <c r="AA290" s="6">
        <f>('TE BE'!$AB$10+'TE BF'!$AB$10+'TE CVA'!$AB$10)*1</f>
        <v>251.92449556687748</v>
      </c>
      <c r="AB290" s="6">
        <f>$K$290*$V$290</f>
        <v>0</v>
      </c>
      <c r="AC290" s="6">
        <f>$M$290*$W$290</f>
        <v>474526.47450000001</v>
      </c>
      <c r="AD290" s="6">
        <f>$O$290*$X$290</f>
        <v>281115.83652000001</v>
      </c>
      <c r="AE290" s="6">
        <f>$K$290*$Y$290</f>
        <v>0</v>
      </c>
      <c r="AF290" s="6">
        <f ca="1">$M$290*$Z$290</f>
        <v>543748.814327728</v>
      </c>
      <c r="AG290" s="6">
        <f>$O$290*$AA$290</f>
        <v>280786.47732599237</v>
      </c>
    </row>
    <row r="291" spans="1:33" ht="11.25" customHeight="1" x14ac:dyDescent="0.25">
      <c r="A291" s="4" t="s">
        <v>27</v>
      </c>
      <c r="B291" s="4" t="s">
        <v>22</v>
      </c>
      <c r="C291" s="4" t="s">
        <v>23</v>
      </c>
      <c r="D291" s="4" t="s">
        <v>24</v>
      </c>
      <c r="E291" s="4" t="s">
        <v>24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-0.51500000000000001</v>
      </c>
      <c r="M291" s="6">
        <v>-0.51500000000000001</v>
      </c>
      <c r="N291" s="6">
        <v>-0.51500000000000001</v>
      </c>
      <c r="O291" s="6">
        <v>-0.51500000000000001</v>
      </c>
      <c r="P291" s="6">
        <v>0</v>
      </c>
      <c r="Q291" s="4" t="s">
        <v>26</v>
      </c>
      <c r="R291" s="4">
        <v>0</v>
      </c>
      <c r="S291" s="6">
        <v>0</v>
      </c>
      <c r="T291" s="6">
        <v>4</v>
      </c>
      <c r="U291" s="6">
        <v>73</v>
      </c>
      <c r="V291" s="6">
        <f>IF(ISERROR(VLOOKUP($S$291,'TAR FIN'!$A$1:$O$88,15,0)),0,VLOOKUP($S$291,'TAR FIN'!$A$1:$O$88,15,0))</f>
        <v>0</v>
      </c>
      <c r="W291" s="6">
        <f>IF(ISERROR(VLOOKUP($T$291,'TAR FIN'!$A$1:$O$88,15,0)),0,VLOOKUP($T$291,'TAR FIN'!$A$1:$O$88,15,0))</f>
        <v>425.75</v>
      </c>
      <c r="X291" s="6">
        <f>IF(ISERROR(VLOOKUP($U$291,'TAR FIN'!$A$1:$O$88,15,0)),0,VLOOKUP($U$291,'TAR FIN'!$A$1:$O$88,15,0))</f>
        <v>252.22</v>
      </c>
      <c r="Y291" s="6"/>
      <c r="Z291" s="6">
        <f ca="1">('TUSD BE'!$AM$20+'TUSD BF'!$AM$20+'TUSD CVA'!$AM$20)*1</f>
        <v>487.85699036910154</v>
      </c>
      <c r="AA291" s="6">
        <f>('TE BE'!$AB$10+'TE BF'!$AB$10+'TE CVA'!$AB$10)*1</f>
        <v>251.92449556687748</v>
      </c>
      <c r="AB291" s="6">
        <f>$K$291*$V$291</f>
        <v>0</v>
      </c>
      <c r="AC291" s="6">
        <f>$M$291*$W$291</f>
        <v>-219.26125000000002</v>
      </c>
      <c r="AD291" s="6">
        <f>$O$291*$X$291</f>
        <v>-129.89330000000001</v>
      </c>
      <c r="AE291" s="6">
        <f>$K$291*$Y$291</f>
        <v>0</v>
      </c>
      <c r="AF291" s="6">
        <f ca="1">$M$291*$Z$291</f>
        <v>-251.24635004008729</v>
      </c>
      <c r="AG291" s="6">
        <f>$O$291*$AA$291</f>
        <v>-129.74111521694189</v>
      </c>
    </row>
    <row r="292" spans="1:33" ht="11.25" customHeight="1" x14ac:dyDescent="0.25">
      <c r="A292" s="4" t="s">
        <v>28</v>
      </c>
      <c r="B292" s="4" t="s">
        <v>22</v>
      </c>
      <c r="C292" s="4" t="s">
        <v>23</v>
      </c>
      <c r="D292" s="4" t="s">
        <v>24</v>
      </c>
      <c r="E292" s="4" t="s">
        <v>24</v>
      </c>
      <c r="F292" s="4" t="s">
        <v>25</v>
      </c>
      <c r="G292" s="4" t="s">
        <v>25</v>
      </c>
      <c r="H292" s="4" t="s">
        <v>25</v>
      </c>
      <c r="I292" s="5">
        <v>44501</v>
      </c>
      <c r="J292" s="6">
        <v>0</v>
      </c>
      <c r="K292" s="6">
        <v>0</v>
      </c>
      <c r="L292" s="6">
        <v>25.38</v>
      </c>
      <c r="M292" s="6">
        <v>25.38</v>
      </c>
      <c r="N292" s="6">
        <v>25.38</v>
      </c>
      <c r="O292" s="6">
        <v>25.38</v>
      </c>
      <c r="P292" s="6">
        <v>496</v>
      </c>
      <c r="Q292" s="4" t="s">
        <v>26</v>
      </c>
      <c r="R292" s="4">
        <v>0</v>
      </c>
      <c r="S292" s="6">
        <v>0</v>
      </c>
      <c r="T292" s="6">
        <v>4</v>
      </c>
      <c r="U292" s="6">
        <v>73</v>
      </c>
      <c r="V292" s="6">
        <f>IF(ISERROR(VLOOKUP($S$292,'TAR FIN'!$A$1:$O$88,15,0)),0,VLOOKUP($S$292,'TAR FIN'!$A$1:$O$88,15,0))</f>
        <v>0</v>
      </c>
      <c r="W292" s="6">
        <f>IF(ISERROR(VLOOKUP($T$292,'TAR FIN'!$A$1:$O$88,15,0)),0,VLOOKUP($T$292,'TAR FIN'!$A$1:$O$88,15,0))</f>
        <v>425.75</v>
      </c>
      <c r="X292" s="6">
        <f>IF(ISERROR(VLOOKUP($U$292,'TAR FIN'!$A$1:$O$88,15,0)),0,VLOOKUP($U$292,'TAR FIN'!$A$1:$O$88,15,0))</f>
        <v>252.22</v>
      </c>
      <c r="Y292" s="6"/>
      <c r="Z292" s="6">
        <f ca="1">('TUSD BE'!$AM$20+'TUSD BF'!$AM$20+'TUSD CVA'!$AM$20)*1</f>
        <v>487.85699036910154</v>
      </c>
      <c r="AA292" s="6">
        <f>('TE BE'!$AB$10+'TE BF'!$AB$10+'TE CVA'!$AB$10)*1</f>
        <v>251.92449556687748</v>
      </c>
      <c r="AB292" s="6">
        <f>$K$292*$V$292</f>
        <v>0</v>
      </c>
      <c r="AC292" s="6">
        <f>$M$292*$W$292</f>
        <v>10805.535</v>
      </c>
      <c r="AD292" s="6">
        <f>$O$292*$X$292</f>
        <v>6401.3436000000002</v>
      </c>
      <c r="AE292" s="6">
        <f>$K$292*$Y$292</f>
        <v>0</v>
      </c>
      <c r="AF292" s="6">
        <f ca="1">$M$292*$Z$292</f>
        <v>12381.810415567797</v>
      </c>
      <c r="AG292" s="6">
        <f>$O$292*$AA$292</f>
        <v>6393.8436974873503</v>
      </c>
    </row>
    <row r="293" spans="1:33" ht="11.25" customHeight="1" x14ac:dyDescent="0.25">
      <c r="A293" s="4" t="s">
        <v>21</v>
      </c>
      <c r="B293" s="4" t="s">
        <v>22</v>
      </c>
      <c r="C293" s="4" t="s">
        <v>23</v>
      </c>
      <c r="D293" s="4" t="s">
        <v>24</v>
      </c>
      <c r="E293" s="4" t="s">
        <v>24</v>
      </c>
      <c r="F293" s="4" t="s">
        <v>25</v>
      </c>
      <c r="G293" s="4" t="s">
        <v>25</v>
      </c>
      <c r="H293" s="4" t="s">
        <v>25</v>
      </c>
      <c r="I293" s="5">
        <v>44531</v>
      </c>
      <c r="J293" s="6">
        <v>0</v>
      </c>
      <c r="K293" s="6">
        <v>0</v>
      </c>
      <c r="L293" s="6">
        <v>1113.55</v>
      </c>
      <c r="M293" s="6">
        <v>1113.55</v>
      </c>
      <c r="N293" s="6">
        <v>1113.55</v>
      </c>
      <c r="O293" s="6">
        <v>1113.55</v>
      </c>
      <c r="P293" s="6">
        <v>8224</v>
      </c>
      <c r="Q293" s="4" t="s">
        <v>26</v>
      </c>
      <c r="R293" s="4">
        <v>0</v>
      </c>
      <c r="S293" s="6">
        <v>0</v>
      </c>
      <c r="T293" s="6">
        <v>4</v>
      </c>
      <c r="U293" s="6">
        <v>73</v>
      </c>
      <c r="V293" s="6">
        <f>IF(ISERROR(VLOOKUP($S$293,'TAR FIN'!$A$1:$O$88,15,0)),0,VLOOKUP($S$293,'TAR FIN'!$A$1:$O$88,15,0))</f>
        <v>0</v>
      </c>
      <c r="W293" s="6">
        <f>IF(ISERROR(VLOOKUP($T$293,'TAR FIN'!$A$1:$O$88,15,0)),0,VLOOKUP($T$293,'TAR FIN'!$A$1:$O$88,15,0))</f>
        <v>425.75</v>
      </c>
      <c r="X293" s="6">
        <f>IF(ISERROR(VLOOKUP($U$293,'TAR FIN'!$A$1:$O$88,15,0)),0,VLOOKUP($U$293,'TAR FIN'!$A$1:$O$88,15,0))</f>
        <v>252.22</v>
      </c>
      <c r="Y293" s="6"/>
      <c r="Z293" s="6">
        <f ca="1">('TUSD BE'!$AM$20+'TUSD BF'!$AM$20+'TUSD CVA'!$AM$20)*1</f>
        <v>487.85699036910154</v>
      </c>
      <c r="AA293" s="6">
        <f>('TE BE'!$AB$10+'TE BF'!$AB$10+'TE CVA'!$AB$10)*1</f>
        <v>251.92449556687748</v>
      </c>
      <c r="AB293" s="6">
        <f>$K$293*$V$293</f>
        <v>0</v>
      </c>
      <c r="AC293" s="6">
        <f>$M$293*$W$293</f>
        <v>474093.91249999998</v>
      </c>
      <c r="AD293" s="6">
        <f>$O$293*$X$293</f>
        <v>280859.58100000001</v>
      </c>
      <c r="AE293" s="6">
        <f>$K$293*$Y$293</f>
        <v>0</v>
      </c>
      <c r="AF293" s="6">
        <f ca="1">$M$293*$Z$293</f>
        <v>543253.15162551298</v>
      </c>
      <c r="AG293" s="6">
        <f>$O$293*$AA$293</f>
        <v>280530.52203849639</v>
      </c>
    </row>
    <row r="294" spans="1:33" ht="11.25" customHeight="1" x14ac:dyDescent="0.25">
      <c r="A294" s="4" t="s">
        <v>27</v>
      </c>
      <c r="B294" s="4" t="s">
        <v>22</v>
      </c>
      <c r="C294" s="4" t="s">
        <v>23</v>
      </c>
      <c r="D294" s="4" t="s">
        <v>24</v>
      </c>
      <c r="E294" s="4" t="s">
        <v>24</v>
      </c>
      <c r="F294" s="4" t="s">
        <v>25</v>
      </c>
      <c r="G294" s="4" t="s">
        <v>25</v>
      </c>
      <c r="H294" s="4" t="s">
        <v>25</v>
      </c>
      <c r="I294" s="5">
        <v>44531</v>
      </c>
      <c r="J294" s="6">
        <v>0</v>
      </c>
      <c r="K294" s="6">
        <v>0</v>
      </c>
      <c r="L294" s="6">
        <v>-4.1000000000000002E-2</v>
      </c>
      <c r="M294" s="6">
        <v>-4.1000000000000002E-2</v>
      </c>
      <c r="N294" s="6">
        <v>-4.1000000000000002E-2</v>
      </c>
      <c r="O294" s="6">
        <v>-4.1000000000000002E-2</v>
      </c>
      <c r="P294" s="6">
        <v>0</v>
      </c>
      <c r="Q294" s="4" t="s">
        <v>26</v>
      </c>
      <c r="R294" s="4">
        <v>0</v>
      </c>
      <c r="S294" s="6">
        <v>0</v>
      </c>
      <c r="T294" s="6">
        <v>4</v>
      </c>
      <c r="U294" s="6">
        <v>73</v>
      </c>
      <c r="V294" s="6">
        <f>IF(ISERROR(VLOOKUP($S$294,'TAR FIN'!$A$1:$O$88,15,0)),0,VLOOKUP($S$294,'TAR FIN'!$A$1:$O$88,15,0))</f>
        <v>0</v>
      </c>
      <c r="W294" s="6">
        <f>IF(ISERROR(VLOOKUP($T$294,'TAR FIN'!$A$1:$O$88,15,0)),0,VLOOKUP($T$294,'TAR FIN'!$A$1:$O$88,15,0))</f>
        <v>425.75</v>
      </c>
      <c r="X294" s="6">
        <f>IF(ISERROR(VLOOKUP($U$294,'TAR FIN'!$A$1:$O$88,15,0)),0,VLOOKUP($U$294,'TAR FIN'!$A$1:$O$88,15,0))</f>
        <v>252.22</v>
      </c>
      <c r="Y294" s="6"/>
      <c r="Z294" s="6">
        <f ca="1">('TUSD BE'!$AM$20+'TUSD BF'!$AM$20+'TUSD CVA'!$AM$20)*1</f>
        <v>487.85699036910154</v>
      </c>
      <c r="AA294" s="6">
        <f>('TE BE'!$AB$10+'TE BF'!$AB$10+'TE CVA'!$AB$10)*1</f>
        <v>251.92449556687748</v>
      </c>
      <c r="AB294" s="6">
        <f>$K$294*$V$294</f>
        <v>0</v>
      </c>
      <c r="AC294" s="6">
        <f>$M$294*$W$294</f>
        <v>-17.455750000000002</v>
      </c>
      <c r="AD294" s="6">
        <f>$O$294*$X$294</f>
        <v>-10.34102</v>
      </c>
      <c r="AE294" s="6">
        <f>$K$294*$Y$294</f>
        <v>0</v>
      </c>
      <c r="AF294" s="6">
        <f ca="1">$M$294*$Z$294</f>
        <v>-20.002136605133163</v>
      </c>
      <c r="AG294" s="6">
        <f>$O$294*$AA$294</f>
        <v>-10.328904318241976</v>
      </c>
    </row>
    <row r="295" spans="1:33" ht="11.25" customHeight="1" x14ac:dyDescent="0.25">
      <c r="A295" s="4" t="s">
        <v>28</v>
      </c>
      <c r="B295" s="4" t="s">
        <v>22</v>
      </c>
      <c r="C295" s="4" t="s">
        <v>23</v>
      </c>
      <c r="D295" s="4" t="s">
        <v>24</v>
      </c>
      <c r="E295" s="4" t="s">
        <v>24</v>
      </c>
      <c r="F295" s="4" t="s">
        <v>25</v>
      </c>
      <c r="G295" s="4" t="s">
        <v>25</v>
      </c>
      <c r="H295" s="4" t="s">
        <v>25</v>
      </c>
      <c r="I295" s="5">
        <v>44531</v>
      </c>
      <c r="J295" s="6">
        <v>0</v>
      </c>
      <c r="K295" s="6">
        <v>0</v>
      </c>
      <c r="L295" s="6">
        <v>28.027000000000001</v>
      </c>
      <c r="M295" s="6">
        <v>28.027000000000001</v>
      </c>
      <c r="N295" s="6">
        <v>28.027000000000001</v>
      </c>
      <c r="O295" s="6">
        <v>28.027000000000001</v>
      </c>
      <c r="P295" s="6">
        <v>505</v>
      </c>
      <c r="Q295" s="4" t="s">
        <v>26</v>
      </c>
      <c r="R295" s="4">
        <v>0</v>
      </c>
      <c r="S295" s="6">
        <v>0</v>
      </c>
      <c r="T295" s="6">
        <v>4</v>
      </c>
      <c r="U295" s="6">
        <v>73</v>
      </c>
      <c r="V295" s="6">
        <f>IF(ISERROR(VLOOKUP($S$295,'TAR FIN'!$A$1:$O$88,15,0)),0,VLOOKUP($S$295,'TAR FIN'!$A$1:$O$88,15,0))</f>
        <v>0</v>
      </c>
      <c r="W295" s="6">
        <f>IF(ISERROR(VLOOKUP($T$295,'TAR FIN'!$A$1:$O$88,15,0)),0,VLOOKUP($T$295,'TAR FIN'!$A$1:$O$88,15,0))</f>
        <v>425.75</v>
      </c>
      <c r="X295" s="6">
        <f>IF(ISERROR(VLOOKUP($U$295,'TAR FIN'!$A$1:$O$88,15,0)),0,VLOOKUP($U$295,'TAR FIN'!$A$1:$O$88,15,0))</f>
        <v>252.22</v>
      </c>
      <c r="Y295" s="6"/>
      <c r="Z295" s="6">
        <f ca="1">('TUSD BE'!$AM$20+'TUSD BF'!$AM$20+'TUSD CVA'!$AM$20)*1</f>
        <v>487.85699036910154</v>
      </c>
      <c r="AA295" s="6">
        <f>('TE BE'!$AB$10+'TE BF'!$AB$10+'TE CVA'!$AB$10)*1</f>
        <v>251.92449556687748</v>
      </c>
      <c r="AB295" s="6">
        <f>$K$295*$V$295</f>
        <v>0</v>
      </c>
      <c r="AC295" s="6">
        <f>$M$295*$W$295</f>
        <v>11932.49525</v>
      </c>
      <c r="AD295" s="6">
        <f>$O$295*$X$295</f>
        <v>7068.96994</v>
      </c>
      <c r="AE295" s="6">
        <f>$K$295*$Y$295</f>
        <v>0</v>
      </c>
      <c r="AF295" s="6">
        <f ca="1">$M$295*$Z$295</f>
        <v>13673.167869074809</v>
      </c>
      <c r="AG295" s="6">
        <f>$O$295*$AA$295</f>
        <v>7060.6878372528754</v>
      </c>
    </row>
    <row r="296" spans="1:33" ht="11.25" customHeight="1" x14ac:dyDescent="0.25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24</v>
      </c>
      <c r="F296" s="4" t="s">
        <v>25</v>
      </c>
      <c r="G296" s="4" t="s">
        <v>25</v>
      </c>
      <c r="H296" s="4" t="s">
        <v>25</v>
      </c>
      <c r="I296" s="5">
        <v>44562</v>
      </c>
      <c r="J296" s="6">
        <v>0</v>
      </c>
      <c r="K296" s="6">
        <v>0</v>
      </c>
      <c r="L296" s="6">
        <v>1398.951</v>
      </c>
      <c r="M296" s="6">
        <v>1398.951</v>
      </c>
      <c r="N296" s="6">
        <v>1398.951</v>
      </c>
      <c r="O296" s="6">
        <v>1398.951</v>
      </c>
      <c r="P296" s="6">
        <v>8229</v>
      </c>
      <c r="Q296" s="4" t="s">
        <v>26</v>
      </c>
      <c r="R296" s="4">
        <v>0</v>
      </c>
      <c r="S296" s="6">
        <v>0</v>
      </c>
      <c r="T296" s="6">
        <v>4</v>
      </c>
      <c r="U296" s="6">
        <v>73</v>
      </c>
      <c r="V296" s="6">
        <f>IF(ISERROR(VLOOKUP($S$296,'TAR FIN'!$A$1:$O$88,15,0)),0,VLOOKUP($S$296,'TAR FIN'!$A$1:$O$88,15,0))</f>
        <v>0</v>
      </c>
      <c r="W296" s="6">
        <f>IF(ISERROR(VLOOKUP($T$296,'TAR FIN'!$A$1:$O$88,15,0)),0,VLOOKUP($T$296,'TAR FIN'!$A$1:$O$88,15,0))</f>
        <v>425.75</v>
      </c>
      <c r="X296" s="6">
        <f>IF(ISERROR(VLOOKUP($U$296,'TAR FIN'!$A$1:$O$88,15,0)),0,VLOOKUP($U$296,'TAR FIN'!$A$1:$O$88,15,0))</f>
        <v>252.22</v>
      </c>
      <c r="Y296" s="6"/>
      <c r="Z296" s="6">
        <f ca="1">('TUSD BE'!$AM$20+'TUSD BF'!$AM$20+'TUSD CVA'!$AM$20)*1</f>
        <v>487.85699036910154</v>
      </c>
      <c r="AA296" s="6">
        <f>('TE BE'!$AB$10+'TE BF'!$AB$10+'TE CVA'!$AB$10)*1</f>
        <v>251.92449556687748</v>
      </c>
      <c r="AB296" s="6">
        <f>$K$296*$V$296</f>
        <v>0</v>
      </c>
      <c r="AC296" s="6">
        <f>$M$296*$W$296</f>
        <v>595603.38824999996</v>
      </c>
      <c r="AD296" s="6">
        <f>$O$296*$X$296</f>
        <v>352843.42122000002</v>
      </c>
      <c r="AE296" s="6">
        <f>$K$296*$Y$296</f>
        <v>0</v>
      </c>
      <c r="AF296" s="6">
        <f ca="1">$M$296*$Z$296</f>
        <v>682488.02453384502</v>
      </c>
      <c r="AG296" s="6">
        <f>$O$296*$AA$296</f>
        <v>352430.02499777882</v>
      </c>
    </row>
    <row r="297" spans="1:33" ht="11.25" customHeight="1" x14ac:dyDescent="0.25">
      <c r="A297" s="4" t="s">
        <v>27</v>
      </c>
      <c r="B297" s="4" t="s">
        <v>22</v>
      </c>
      <c r="C297" s="4" t="s">
        <v>23</v>
      </c>
      <c r="D297" s="4" t="s">
        <v>24</v>
      </c>
      <c r="E297" s="4" t="s">
        <v>24</v>
      </c>
      <c r="F297" s="4" t="s">
        <v>25</v>
      </c>
      <c r="G297" s="4" t="s">
        <v>25</v>
      </c>
      <c r="H297" s="4" t="s">
        <v>25</v>
      </c>
      <c r="I297" s="5">
        <v>44562</v>
      </c>
      <c r="J297" s="6">
        <v>0</v>
      </c>
      <c r="K297" s="6">
        <v>0</v>
      </c>
      <c r="L297" s="6">
        <v>0.05</v>
      </c>
      <c r="M297" s="6">
        <v>0.05</v>
      </c>
      <c r="N297" s="6">
        <v>0.05</v>
      </c>
      <c r="O297" s="6">
        <v>0.05</v>
      </c>
      <c r="P297" s="6">
        <v>0</v>
      </c>
      <c r="Q297" s="4" t="s">
        <v>26</v>
      </c>
      <c r="R297" s="4">
        <v>0</v>
      </c>
      <c r="S297" s="6">
        <v>0</v>
      </c>
      <c r="T297" s="6">
        <v>4</v>
      </c>
      <c r="U297" s="6">
        <v>73</v>
      </c>
      <c r="V297" s="6">
        <f>IF(ISERROR(VLOOKUP($S$297,'TAR FIN'!$A$1:$O$88,15,0)),0,VLOOKUP($S$297,'TAR FIN'!$A$1:$O$88,15,0))</f>
        <v>0</v>
      </c>
      <c r="W297" s="6">
        <f>IF(ISERROR(VLOOKUP($T$297,'TAR FIN'!$A$1:$O$88,15,0)),0,VLOOKUP($T$297,'TAR FIN'!$A$1:$O$88,15,0))</f>
        <v>425.75</v>
      </c>
      <c r="X297" s="6">
        <f>IF(ISERROR(VLOOKUP($U$297,'TAR FIN'!$A$1:$O$88,15,0)),0,VLOOKUP($U$297,'TAR FIN'!$A$1:$O$88,15,0))</f>
        <v>252.22</v>
      </c>
      <c r="Y297" s="6"/>
      <c r="Z297" s="6">
        <f ca="1">('TUSD BE'!$AM$20+'TUSD BF'!$AM$20+'TUSD CVA'!$AM$20)*1</f>
        <v>487.85699036910154</v>
      </c>
      <c r="AA297" s="6">
        <f>('TE BE'!$AB$10+'TE BF'!$AB$10+'TE CVA'!$AB$10)*1</f>
        <v>251.92449556687748</v>
      </c>
      <c r="AB297" s="6">
        <f>$K$297*$V$297</f>
        <v>0</v>
      </c>
      <c r="AC297" s="6">
        <f>$M$297*$W$297</f>
        <v>21.287500000000001</v>
      </c>
      <c r="AD297" s="6">
        <f>$O$297*$X$297</f>
        <v>12.611000000000001</v>
      </c>
      <c r="AE297" s="6">
        <f>$K$297*$Y$297</f>
        <v>0</v>
      </c>
      <c r="AF297" s="6">
        <f ca="1">$M$297*$Z$297</f>
        <v>24.39284951845508</v>
      </c>
      <c r="AG297" s="6">
        <f>$O$297*$AA$297</f>
        <v>12.596224778343874</v>
      </c>
    </row>
    <row r="298" spans="1:33" ht="11.25" customHeight="1" x14ac:dyDescent="0.25">
      <c r="A298" s="4" t="s">
        <v>28</v>
      </c>
      <c r="B298" s="4" t="s">
        <v>22</v>
      </c>
      <c r="C298" s="4" t="s">
        <v>23</v>
      </c>
      <c r="D298" s="4" t="s">
        <v>24</v>
      </c>
      <c r="E298" s="4" t="s">
        <v>24</v>
      </c>
      <c r="F298" s="4" t="s">
        <v>25</v>
      </c>
      <c r="G298" s="4" t="s">
        <v>25</v>
      </c>
      <c r="H298" s="4" t="s">
        <v>25</v>
      </c>
      <c r="I298" s="5">
        <v>44562</v>
      </c>
      <c r="J298" s="6">
        <v>0</v>
      </c>
      <c r="K298" s="6">
        <v>0</v>
      </c>
      <c r="L298" s="6">
        <v>39.793999999999997</v>
      </c>
      <c r="M298" s="6">
        <v>39.793999999999997</v>
      </c>
      <c r="N298" s="6">
        <v>39.793999999999997</v>
      </c>
      <c r="O298" s="6">
        <v>39.793999999999997</v>
      </c>
      <c r="P298" s="6">
        <v>506</v>
      </c>
      <c r="Q298" s="4" t="s">
        <v>26</v>
      </c>
      <c r="R298" s="4">
        <v>0</v>
      </c>
      <c r="S298" s="6">
        <v>0</v>
      </c>
      <c r="T298" s="6">
        <v>4</v>
      </c>
      <c r="U298" s="6">
        <v>73</v>
      </c>
      <c r="V298" s="6">
        <f>IF(ISERROR(VLOOKUP($S$298,'TAR FIN'!$A$1:$O$88,15,0)),0,VLOOKUP($S$298,'TAR FIN'!$A$1:$O$88,15,0))</f>
        <v>0</v>
      </c>
      <c r="W298" s="6">
        <f>IF(ISERROR(VLOOKUP($T$298,'TAR FIN'!$A$1:$O$88,15,0)),0,VLOOKUP($T$298,'TAR FIN'!$A$1:$O$88,15,0))</f>
        <v>425.75</v>
      </c>
      <c r="X298" s="6">
        <f>IF(ISERROR(VLOOKUP($U$298,'TAR FIN'!$A$1:$O$88,15,0)),0,VLOOKUP($U$298,'TAR FIN'!$A$1:$O$88,15,0))</f>
        <v>252.22</v>
      </c>
      <c r="Y298" s="6"/>
      <c r="Z298" s="6">
        <f ca="1">('TUSD BE'!$AM$20+'TUSD BF'!$AM$20+'TUSD CVA'!$AM$20)*1</f>
        <v>487.85699036910154</v>
      </c>
      <c r="AA298" s="6">
        <f>('TE BE'!$AB$10+'TE BF'!$AB$10+'TE CVA'!$AB$10)*1</f>
        <v>251.92449556687748</v>
      </c>
      <c r="AB298" s="6">
        <f>$K$298*$V$298</f>
        <v>0</v>
      </c>
      <c r="AC298" s="6">
        <f>$M$298*$W$298</f>
        <v>16942.2955</v>
      </c>
      <c r="AD298" s="6">
        <f>$O$298*$X$298</f>
        <v>10036.84268</v>
      </c>
      <c r="AE298" s="6">
        <f>$K$298*$Y$298</f>
        <v>0</v>
      </c>
      <c r="AF298" s="6">
        <f ca="1">$M$298*$Z$298</f>
        <v>19413.781074748025</v>
      </c>
      <c r="AG298" s="6">
        <f>$O$298*$AA$298</f>
        <v>10025.083376588322</v>
      </c>
    </row>
    <row r="299" spans="1:3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24</v>
      </c>
      <c r="F299" s="4" t="s">
        <v>25</v>
      </c>
      <c r="G299" s="4" t="s">
        <v>25</v>
      </c>
      <c r="H299" s="4" t="s">
        <v>25</v>
      </c>
      <c r="I299" s="5">
        <v>44593</v>
      </c>
      <c r="J299" s="6">
        <v>0</v>
      </c>
      <c r="K299" s="6">
        <v>0</v>
      </c>
      <c r="L299" s="6">
        <v>1460.9549999999999</v>
      </c>
      <c r="M299" s="6">
        <v>1460.9549999999999</v>
      </c>
      <c r="N299" s="6">
        <v>1460.9549999999999</v>
      </c>
      <c r="O299" s="6">
        <v>1460.9549999999999</v>
      </c>
      <c r="P299" s="6">
        <v>8201</v>
      </c>
      <c r="Q299" s="4" t="s">
        <v>26</v>
      </c>
      <c r="R299" s="4">
        <v>0</v>
      </c>
      <c r="S299" s="6">
        <v>0</v>
      </c>
      <c r="T299" s="6">
        <v>4</v>
      </c>
      <c r="U299" s="6">
        <v>73</v>
      </c>
      <c r="V299" s="6">
        <f>IF(ISERROR(VLOOKUP($S$299,'TAR FIN'!$A$1:$O$88,15,0)),0,VLOOKUP($S$299,'TAR FIN'!$A$1:$O$88,15,0))</f>
        <v>0</v>
      </c>
      <c r="W299" s="6">
        <f>IF(ISERROR(VLOOKUP($T$299,'TAR FIN'!$A$1:$O$88,15,0)),0,VLOOKUP($T$299,'TAR FIN'!$A$1:$O$88,15,0))</f>
        <v>425.75</v>
      </c>
      <c r="X299" s="6">
        <f>IF(ISERROR(VLOOKUP($U$299,'TAR FIN'!$A$1:$O$88,15,0)),0,VLOOKUP($U$299,'TAR FIN'!$A$1:$O$88,15,0))</f>
        <v>252.22</v>
      </c>
      <c r="Y299" s="6"/>
      <c r="Z299" s="6">
        <f ca="1">('TUSD BE'!$AM$20+'TUSD BF'!$AM$20+'TUSD CVA'!$AM$20)*1</f>
        <v>487.85699036910154</v>
      </c>
      <c r="AA299" s="6">
        <f>('TE BE'!$AB$10+'TE BF'!$AB$10+'TE CVA'!$AB$10)*1</f>
        <v>251.92449556687748</v>
      </c>
      <c r="AB299" s="6">
        <f>$K$299*$V$299</f>
        <v>0</v>
      </c>
      <c r="AC299" s="6">
        <f>$M$299*$W$299</f>
        <v>622001.59124999994</v>
      </c>
      <c r="AD299" s="6">
        <f>$O$299*$X$299</f>
        <v>368482.07009999995</v>
      </c>
      <c r="AE299" s="6">
        <f>$K$299*$Y$299</f>
        <v>0</v>
      </c>
      <c r="AF299" s="6">
        <f ca="1">$M$299*$Z$299</f>
        <v>712737.10936469072</v>
      </c>
      <c r="AG299" s="6">
        <f>$O$299*$AA$299</f>
        <v>368050.35142090748</v>
      </c>
    </row>
    <row r="300" spans="1:33" ht="11.25" customHeight="1" x14ac:dyDescent="0.25">
      <c r="A300" s="4" t="s">
        <v>28</v>
      </c>
      <c r="B300" s="4" t="s">
        <v>22</v>
      </c>
      <c r="C300" s="4" t="s">
        <v>23</v>
      </c>
      <c r="D300" s="4" t="s">
        <v>24</v>
      </c>
      <c r="E300" s="4" t="s">
        <v>24</v>
      </c>
      <c r="F300" s="4" t="s">
        <v>25</v>
      </c>
      <c r="G300" s="4" t="s">
        <v>25</v>
      </c>
      <c r="H300" s="4" t="s">
        <v>25</v>
      </c>
      <c r="I300" s="5">
        <v>44593</v>
      </c>
      <c r="J300" s="6">
        <v>0</v>
      </c>
      <c r="K300" s="6">
        <v>0</v>
      </c>
      <c r="L300" s="6">
        <v>45.277999999999999</v>
      </c>
      <c r="M300" s="6">
        <v>45.277999999999999</v>
      </c>
      <c r="N300" s="6">
        <v>45.277999999999999</v>
      </c>
      <c r="O300" s="6">
        <v>45.277999999999999</v>
      </c>
      <c r="P300" s="6">
        <v>506</v>
      </c>
      <c r="Q300" s="4" t="s">
        <v>26</v>
      </c>
      <c r="R300" s="4">
        <v>0</v>
      </c>
      <c r="S300" s="6">
        <v>0</v>
      </c>
      <c r="T300" s="6">
        <v>4</v>
      </c>
      <c r="U300" s="6">
        <v>73</v>
      </c>
      <c r="V300" s="6">
        <f>IF(ISERROR(VLOOKUP($S$300,'TAR FIN'!$A$1:$O$88,15,0)),0,VLOOKUP($S$300,'TAR FIN'!$A$1:$O$88,15,0))</f>
        <v>0</v>
      </c>
      <c r="W300" s="6">
        <f>IF(ISERROR(VLOOKUP($T$300,'TAR FIN'!$A$1:$O$88,15,0)),0,VLOOKUP($T$300,'TAR FIN'!$A$1:$O$88,15,0))</f>
        <v>425.75</v>
      </c>
      <c r="X300" s="6">
        <f>IF(ISERROR(VLOOKUP($U$300,'TAR FIN'!$A$1:$O$88,15,0)),0,VLOOKUP($U$300,'TAR FIN'!$A$1:$O$88,15,0))</f>
        <v>252.22</v>
      </c>
      <c r="Y300" s="6"/>
      <c r="Z300" s="6">
        <f ca="1">('TUSD BE'!$AM$20+'TUSD BF'!$AM$20+'TUSD CVA'!$AM$20)*1</f>
        <v>487.85699036910154</v>
      </c>
      <c r="AA300" s="6">
        <f>('TE BE'!$AB$10+'TE BF'!$AB$10+'TE CVA'!$AB$10)*1</f>
        <v>251.92449556687748</v>
      </c>
      <c r="AB300" s="6">
        <f>$K$300*$V$300</f>
        <v>0</v>
      </c>
      <c r="AC300" s="6">
        <f>$M$300*$W$300</f>
        <v>19277.108499999998</v>
      </c>
      <c r="AD300" s="6">
        <f>$O$300*$X$300</f>
        <v>11420.017159999999</v>
      </c>
      <c r="AE300" s="6">
        <f>$K$300*$Y$300</f>
        <v>0</v>
      </c>
      <c r="AF300" s="6">
        <f ca="1">$M$300*$Z$300</f>
        <v>22089.18880993218</v>
      </c>
      <c r="AG300" s="6">
        <f>$O$300*$AA$300</f>
        <v>11406.637310277078</v>
      </c>
    </row>
    <row r="301" spans="1:3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24</v>
      </c>
      <c r="F301" s="4" t="s">
        <v>25</v>
      </c>
      <c r="G301" s="4" t="s">
        <v>25</v>
      </c>
      <c r="H301" s="4" t="s">
        <v>25</v>
      </c>
      <c r="I301" s="5">
        <v>44621</v>
      </c>
      <c r="J301" s="6">
        <v>0</v>
      </c>
      <c r="K301" s="6">
        <v>0</v>
      </c>
      <c r="L301" s="6">
        <v>1295.683</v>
      </c>
      <c r="M301" s="6">
        <v>1295.683</v>
      </c>
      <c r="N301" s="6">
        <v>1295.683</v>
      </c>
      <c r="O301" s="6">
        <v>1295.683</v>
      </c>
      <c r="P301" s="6">
        <v>8202</v>
      </c>
      <c r="Q301" s="4" t="s">
        <v>26</v>
      </c>
      <c r="R301" s="4">
        <v>0</v>
      </c>
      <c r="S301" s="6">
        <v>0</v>
      </c>
      <c r="T301" s="6">
        <v>4</v>
      </c>
      <c r="U301" s="6">
        <v>73</v>
      </c>
      <c r="V301" s="6">
        <f>IF(ISERROR(VLOOKUP($S$301,'TAR FIN'!$A$1:$O$88,15,0)),0,VLOOKUP($S$301,'TAR FIN'!$A$1:$O$88,15,0))</f>
        <v>0</v>
      </c>
      <c r="W301" s="6">
        <f>IF(ISERROR(VLOOKUP($T$301,'TAR FIN'!$A$1:$O$88,15,0)),0,VLOOKUP($T$301,'TAR FIN'!$A$1:$O$88,15,0))</f>
        <v>425.75</v>
      </c>
      <c r="X301" s="6">
        <f>IF(ISERROR(VLOOKUP($U$301,'TAR FIN'!$A$1:$O$88,15,0)),0,VLOOKUP($U$301,'TAR FIN'!$A$1:$O$88,15,0))</f>
        <v>252.22</v>
      </c>
      <c r="Y301" s="6"/>
      <c r="Z301" s="6">
        <f ca="1">('TUSD BE'!$AM$20+'TUSD BF'!$AM$20+'TUSD CVA'!$AM$20)*1</f>
        <v>487.85699036910154</v>
      </c>
      <c r="AA301" s="6">
        <f>('TE BE'!$AB$10+'TE BF'!$AB$10+'TE CVA'!$AB$10)*1</f>
        <v>251.92449556687748</v>
      </c>
      <c r="AB301" s="6">
        <f>$K$301*$V$301</f>
        <v>0</v>
      </c>
      <c r="AC301" s="6">
        <f>$M$301*$W$301</f>
        <v>551637.03725000005</v>
      </c>
      <c r="AD301" s="6">
        <f>$O$301*$X$301</f>
        <v>326797.16625999997</v>
      </c>
      <c r="AE301" s="6">
        <f>$K$301*$Y$301</f>
        <v>0</v>
      </c>
      <c r="AF301" s="6">
        <f ca="1">$M$301*$Z$301</f>
        <v>632108.00885240862</v>
      </c>
      <c r="AG301" s="6">
        <f>$O$301*$AA$301</f>
        <v>326414.28618957853</v>
      </c>
    </row>
    <row r="302" spans="1:33" ht="11.25" customHeight="1" x14ac:dyDescent="0.25">
      <c r="A302" s="4" t="s">
        <v>27</v>
      </c>
      <c r="B302" s="4" t="s">
        <v>22</v>
      </c>
      <c r="C302" s="4" t="s">
        <v>23</v>
      </c>
      <c r="D302" s="4" t="s">
        <v>24</v>
      </c>
      <c r="E302" s="4" t="s">
        <v>24</v>
      </c>
      <c r="F302" s="4" t="s">
        <v>25</v>
      </c>
      <c r="G302" s="4" t="s">
        <v>25</v>
      </c>
      <c r="H302" s="4" t="s">
        <v>25</v>
      </c>
      <c r="I302" s="5">
        <v>44621</v>
      </c>
      <c r="J302" s="6">
        <v>0</v>
      </c>
      <c r="K302" s="6">
        <v>0</v>
      </c>
      <c r="L302" s="6">
        <v>-2.258</v>
      </c>
      <c r="M302" s="6">
        <v>-2.258</v>
      </c>
      <c r="N302" s="6">
        <v>-2.258</v>
      </c>
      <c r="O302" s="6">
        <v>-2.258</v>
      </c>
      <c r="P302" s="6">
        <v>0</v>
      </c>
      <c r="Q302" s="4" t="s">
        <v>26</v>
      </c>
      <c r="R302" s="4">
        <v>0</v>
      </c>
      <c r="S302" s="6">
        <v>0</v>
      </c>
      <c r="T302" s="6">
        <v>4</v>
      </c>
      <c r="U302" s="6">
        <v>73</v>
      </c>
      <c r="V302" s="6">
        <f>IF(ISERROR(VLOOKUP($S$302,'TAR FIN'!$A$1:$O$88,15,0)),0,VLOOKUP($S$302,'TAR FIN'!$A$1:$O$88,15,0))</f>
        <v>0</v>
      </c>
      <c r="W302" s="6">
        <f>IF(ISERROR(VLOOKUP($T$302,'TAR FIN'!$A$1:$O$88,15,0)),0,VLOOKUP($T$302,'TAR FIN'!$A$1:$O$88,15,0))</f>
        <v>425.75</v>
      </c>
      <c r="X302" s="6">
        <f>IF(ISERROR(VLOOKUP($U$302,'TAR FIN'!$A$1:$O$88,15,0)),0,VLOOKUP($U$302,'TAR FIN'!$A$1:$O$88,15,0))</f>
        <v>252.22</v>
      </c>
      <c r="Y302" s="6"/>
      <c r="Z302" s="6">
        <f ca="1">('TUSD BE'!$AM$20+'TUSD BF'!$AM$20+'TUSD CVA'!$AM$20)*1</f>
        <v>487.85699036910154</v>
      </c>
      <c r="AA302" s="6">
        <f>('TE BE'!$AB$10+'TE BF'!$AB$10+'TE CVA'!$AB$10)*1</f>
        <v>251.92449556687748</v>
      </c>
      <c r="AB302" s="6">
        <f>$K$302*$V$302</f>
        <v>0</v>
      </c>
      <c r="AC302" s="6">
        <f>$M$302*$W$302</f>
        <v>-961.34349999999995</v>
      </c>
      <c r="AD302" s="6">
        <f>$O$302*$X$302</f>
        <v>-569.51275999999996</v>
      </c>
      <c r="AE302" s="6">
        <f>$K$302*$Y$302</f>
        <v>0</v>
      </c>
      <c r="AF302" s="6">
        <f ca="1">$M$302*$Z$302</f>
        <v>-1101.5810842534313</v>
      </c>
      <c r="AG302" s="6">
        <f>$O$302*$AA$302</f>
        <v>-568.8455109900093</v>
      </c>
    </row>
    <row r="303" spans="1:33" ht="11.25" customHeight="1" x14ac:dyDescent="0.25">
      <c r="A303" s="4" t="s">
        <v>28</v>
      </c>
      <c r="B303" s="4" t="s">
        <v>22</v>
      </c>
      <c r="C303" s="4" t="s">
        <v>23</v>
      </c>
      <c r="D303" s="4" t="s">
        <v>24</v>
      </c>
      <c r="E303" s="4" t="s">
        <v>24</v>
      </c>
      <c r="F303" s="4" t="s">
        <v>25</v>
      </c>
      <c r="G303" s="4" t="s">
        <v>25</v>
      </c>
      <c r="H303" s="4" t="s">
        <v>25</v>
      </c>
      <c r="I303" s="5">
        <v>44621</v>
      </c>
      <c r="J303" s="6">
        <v>0</v>
      </c>
      <c r="K303" s="6">
        <v>0</v>
      </c>
      <c r="L303" s="6">
        <v>41.749000000000002</v>
      </c>
      <c r="M303" s="6">
        <v>41.749000000000002</v>
      </c>
      <c r="N303" s="6">
        <v>41.749000000000002</v>
      </c>
      <c r="O303" s="6">
        <v>41.749000000000002</v>
      </c>
      <c r="P303" s="6">
        <v>517</v>
      </c>
      <c r="Q303" s="4" t="s">
        <v>26</v>
      </c>
      <c r="R303" s="4">
        <v>0</v>
      </c>
      <c r="S303" s="6">
        <v>0</v>
      </c>
      <c r="T303" s="6">
        <v>4</v>
      </c>
      <c r="U303" s="6">
        <v>73</v>
      </c>
      <c r="V303" s="6">
        <f>IF(ISERROR(VLOOKUP($S$303,'TAR FIN'!$A$1:$O$88,15,0)),0,VLOOKUP($S$303,'TAR FIN'!$A$1:$O$88,15,0))</f>
        <v>0</v>
      </c>
      <c r="W303" s="6">
        <f>IF(ISERROR(VLOOKUP($T$303,'TAR FIN'!$A$1:$O$88,15,0)),0,VLOOKUP($T$303,'TAR FIN'!$A$1:$O$88,15,0))</f>
        <v>425.75</v>
      </c>
      <c r="X303" s="6">
        <f>IF(ISERROR(VLOOKUP($U$303,'TAR FIN'!$A$1:$O$88,15,0)),0,VLOOKUP($U$303,'TAR FIN'!$A$1:$O$88,15,0))</f>
        <v>252.22</v>
      </c>
      <c r="Y303" s="6"/>
      <c r="Z303" s="6">
        <f ca="1">('TUSD BE'!$AM$20+'TUSD BF'!$AM$20+'TUSD CVA'!$AM$20)*1</f>
        <v>487.85699036910154</v>
      </c>
      <c r="AA303" s="6">
        <f>('TE BE'!$AB$10+'TE BF'!$AB$10+'TE CVA'!$AB$10)*1</f>
        <v>251.92449556687748</v>
      </c>
      <c r="AB303" s="6">
        <f>$K$303*$V$303</f>
        <v>0</v>
      </c>
      <c r="AC303" s="6">
        <f>$M$303*$W$303</f>
        <v>17774.636750000001</v>
      </c>
      <c r="AD303" s="6">
        <f>$O$303*$X$303</f>
        <v>10529.932780000001</v>
      </c>
      <c r="AE303" s="6">
        <f>$K$303*$Y$303</f>
        <v>0</v>
      </c>
      <c r="AF303" s="6">
        <f ca="1">$M$303*$Z$303</f>
        <v>20367.541490919622</v>
      </c>
      <c r="AG303" s="6">
        <f>$O$303*$AA$303</f>
        <v>10517.595765421569</v>
      </c>
    </row>
    <row r="304" spans="1:33" ht="11.25" customHeight="1" x14ac:dyDescent="0.25">
      <c r="A304" s="4" t="s">
        <v>21</v>
      </c>
      <c r="B304" s="4" t="s">
        <v>22</v>
      </c>
      <c r="C304" s="4" t="s">
        <v>23</v>
      </c>
      <c r="D304" s="4" t="s">
        <v>24</v>
      </c>
      <c r="E304" s="4" t="s">
        <v>24</v>
      </c>
      <c r="F304" s="4" t="s">
        <v>25</v>
      </c>
      <c r="G304" s="4" t="s">
        <v>25</v>
      </c>
      <c r="H304" s="4" t="s">
        <v>25</v>
      </c>
      <c r="I304" s="5">
        <v>44652</v>
      </c>
      <c r="J304" s="6">
        <v>0</v>
      </c>
      <c r="K304" s="6">
        <v>0</v>
      </c>
      <c r="L304" s="6">
        <v>1039.5609999999999</v>
      </c>
      <c r="M304" s="6">
        <v>1039.5609999999999</v>
      </c>
      <c r="N304" s="6">
        <v>1039.5609999999999</v>
      </c>
      <c r="O304" s="6">
        <v>1039.5609999999999</v>
      </c>
      <c r="P304" s="6">
        <v>7752</v>
      </c>
      <c r="Q304" s="4" t="s">
        <v>26</v>
      </c>
      <c r="R304" s="4">
        <v>0</v>
      </c>
      <c r="S304" s="6">
        <v>0</v>
      </c>
      <c r="T304" s="6">
        <v>4</v>
      </c>
      <c r="U304" s="6">
        <v>73</v>
      </c>
      <c r="V304" s="6">
        <f>IF(ISERROR(VLOOKUP($S$304,'TAR FIN'!$A$1:$O$88,15,0)),0,VLOOKUP($S$304,'TAR FIN'!$A$1:$O$88,15,0))</f>
        <v>0</v>
      </c>
      <c r="W304" s="6">
        <f>IF(ISERROR(VLOOKUP($T$304,'TAR FIN'!$A$1:$O$88,15,0)),0,VLOOKUP($T$304,'TAR FIN'!$A$1:$O$88,15,0))</f>
        <v>425.75</v>
      </c>
      <c r="X304" s="6">
        <f>IF(ISERROR(VLOOKUP($U$304,'TAR FIN'!$A$1:$O$88,15,0)),0,VLOOKUP($U$304,'TAR FIN'!$A$1:$O$88,15,0))</f>
        <v>252.22</v>
      </c>
      <c r="Y304" s="6"/>
      <c r="Z304" s="6">
        <f ca="1">('TUSD BE'!$AM$20+'TUSD BF'!$AM$20+'TUSD CVA'!$AM$20)*1</f>
        <v>487.85699036910154</v>
      </c>
      <c r="AA304" s="6">
        <f>('TE BE'!$AB$10+'TE BF'!$AB$10+'TE CVA'!$AB$10)*1</f>
        <v>251.92449556687748</v>
      </c>
      <c r="AB304" s="6">
        <f>$K$304*$V$304</f>
        <v>0</v>
      </c>
      <c r="AC304" s="6">
        <f>$M$304*$W$304</f>
        <v>442593.09574999998</v>
      </c>
      <c r="AD304" s="6">
        <f>$O$304*$X$304</f>
        <v>262198.07541999995</v>
      </c>
      <c r="AE304" s="6">
        <f>$K$304*$Y$304</f>
        <v>0</v>
      </c>
      <c r="AF304" s="6">
        <f ca="1">$M$304*$Z$304</f>
        <v>507157.10076509352</v>
      </c>
      <c r="AG304" s="6">
        <f>$O$304*$AA$304</f>
        <v>261890.8805359987</v>
      </c>
    </row>
    <row r="305" spans="1:33" ht="11.25" customHeight="1" x14ac:dyDescent="0.25">
      <c r="A305" s="4" t="s">
        <v>27</v>
      </c>
      <c r="B305" s="4" t="s">
        <v>22</v>
      </c>
      <c r="C305" s="4" t="s">
        <v>23</v>
      </c>
      <c r="D305" s="4" t="s">
        <v>24</v>
      </c>
      <c r="E305" s="4" t="s">
        <v>24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-3.226</v>
      </c>
      <c r="M305" s="6">
        <v>-3.226</v>
      </c>
      <c r="N305" s="6">
        <v>-3.226</v>
      </c>
      <c r="O305" s="6">
        <v>-3.226</v>
      </c>
      <c r="P305" s="6">
        <v>0</v>
      </c>
      <c r="Q305" s="4" t="s">
        <v>26</v>
      </c>
      <c r="R305" s="4">
        <v>0</v>
      </c>
      <c r="S305" s="6">
        <v>0</v>
      </c>
      <c r="T305" s="6">
        <v>4</v>
      </c>
      <c r="U305" s="6">
        <v>73</v>
      </c>
      <c r="V305" s="6">
        <f>IF(ISERROR(VLOOKUP($S$305,'TAR FIN'!$A$1:$O$88,15,0)),0,VLOOKUP($S$305,'TAR FIN'!$A$1:$O$88,15,0))</f>
        <v>0</v>
      </c>
      <c r="W305" s="6">
        <f>IF(ISERROR(VLOOKUP($T$305,'TAR FIN'!$A$1:$O$88,15,0)),0,VLOOKUP($T$305,'TAR FIN'!$A$1:$O$88,15,0))</f>
        <v>425.75</v>
      </c>
      <c r="X305" s="6">
        <f>IF(ISERROR(VLOOKUP($U$305,'TAR FIN'!$A$1:$O$88,15,0)),0,VLOOKUP($U$305,'TAR FIN'!$A$1:$O$88,15,0))</f>
        <v>252.22</v>
      </c>
      <c r="Y305" s="6"/>
      <c r="Z305" s="6">
        <f ca="1">('TUSD BE'!$AM$20+'TUSD BF'!$AM$20+'TUSD CVA'!$AM$20)*1</f>
        <v>487.85699036910154</v>
      </c>
      <c r="AA305" s="6">
        <f>('TE BE'!$AB$10+'TE BF'!$AB$10+'TE CVA'!$AB$10)*1</f>
        <v>251.92449556687748</v>
      </c>
      <c r="AB305" s="6">
        <f>$K$305*$V$305</f>
        <v>0</v>
      </c>
      <c r="AC305" s="6">
        <f>$M$305*$W$305</f>
        <v>-1373.4694999999999</v>
      </c>
      <c r="AD305" s="6">
        <f>$O$305*$X$305</f>
        <v>-813.66171999999995</v>
      </c>
      <c r="AE305" s="6">
        <f>$K$305*$Y$305</f>
        <v>0</v>
      </c>
      <c r="AF305" s="6">
        <f ca="1">$M$305*$Z$305</f>
        <v>-1573.8266509307216</v>
      </c>
      <c r="AG305" s="6">
        <f>$O$305*$AA$305</f>
        <v>-812.70842269874674</v>
      </c>
    </row>
    <row r="306" spans="1:33" ht="11.25" customHeight="1" x14ac:dyDescent="0.25">
      <c r="A306" s="4" t="s">
        <v>28</v>
      </c>
      <c r="B306" s="4" t="s">
        <v>22</v>
      </c>
      <c r="C306" s="4" t="s">
        <v>23</v>
      </c>
      <c r="D306" s="4" t="s">
        <v>24</v>
      </c>
      <c r="E306" s="4" t="s">
        <v>24</v>
      </c>
      <c r="F306" s="4" t="s">
        <v>25</v>
      </c>
      <c r="G306" s="4" t="s">
        <v>25</v>
      </c>
      <c r="H306" s="4" t="s">
        <v>25</v>
      </c>
      <c r="I306" s="5">
        <v>44652</v>
      </c>
      <c r="J306" s="6">
        <v>0</v>
      </c>
      <c r="K306" s="6">
        <v>0</v>
      </c>
      <c r="L306" s="6">
        <v>31.696000000000002</v>
      </c>
      <c r="M306" s="6">
        <v>31.696000000000002</v>
      </c>
      <c r="N306" s="6">
        <v>31.696000000000002</v>
      </c>
      <c r="O306" s="6">
        <v>31.696000000000002</v>
      </c>
      <c r="P306" s="6">
        <v>526</v>
      </c>
      <c r="Q306" s="4" t="s">
        <v>26</v>
      </c>
      <c r="R306" s="4">
        <v>0</v>
      </c>
      <c r="S306" s="6">
        <v>0</v>
      </c>
      <c r="T306" s="6">
        <v>4</v>
      </c>
      <c r="U306" s="6">
        <v>73</v>
      </c>
      <c r="V306" s="6">
        <f>IF(ISERROR(VLOOKUP($S$306,'TAR FIN'!$A$1:$O$88,15,0)),0,VLOOKUP($S$306,'TAR FIN'!$A$1:$O$88,15,0))</f>
        <v>0</v>
      </c>
      <c r="W306" s="6">
        <f>IF(ISERROR(VLOOKUP($T$306,'TAR FIN'!$A$1:$O$88,15,0)),0,VLOOKUP($T$306,'TAR FIN'!$A$1:$O$88,15,0))</f>
        <v>425.75</v>
      </c>
      <c r="X306" s="6">
        <f>IF(ISERROR(VLOOKUP($U$306,'TAR FIN'!$A$1:$O$88,15,0)),0,VLOOKUP($U$306,'TAR FIN'!$A$1:$O$88,15,0))</f>
        <v>252.22</v>
      </c>
      <c r="Y306" s="6"/>
      <c r="Z306" s="6">
        <f ca="1">('TUSD BE'!$AM$20+'TUSD BF'!$AM$20+'TUSD CVA'!$AM$20)*1</f>
        <v>487.85699036910154</v>
      </c>
      <c r="AA306" s="6">
        <f>('TE BE'!$AB$10+'TE BF'!$AB$10+'TE CVA'!$AB$10)*1</f>
        <v>251.92449556687748</v>
      </c>
      <c r="AB306" s="6">
        <f>$K$306*$V$306</f>
        <v>0</v>
      </c>
      <c r="AC306" s="6">
        <f>$M$306*$W$306</f>
        <v>13494.572</v>
      </c>
      <c r="AD306" s="6">
        <f>$O$306*$X$306</f>
        <v>7994.3651200000004</v>
      </c>
      <c r="AE306" s="6">
        <f>$K$306*$Y$306</f>
        <v>0</v>
      </c>
      <c r="AF306" s="6">
        <f ca="1">$M$306*$Z$306</f>
        <v>15463.115166739042</v>
      </c>
      <c r="AG306" s="6">
        <f>$O$306*$AA$306</f>
        <v>7984.9988114877488</v>
      </c>
    </row>
    <row r="307" spans="1:3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24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979.10699999999997</v>
      </c>
      <c r="M307" s="6">
        <v>979.10699999999997</v>
      </c>
      <c r="N307" s="6">
        <v>979.10699999999997</v>
      </c>
      <c r="O307" s="6">
        <v>979.10699999999997</v>
      </c>
      <c r="P307" s="6">
        <v>7771</v>
      </c>
      <c r="Q307" s="4" t="s">
        <v>26</v>
      </c>
      <c r="R307" s="4">
        <v>0</v>
      </c>
      <c r="S307" s="6">
        <v>0</v>
      </c>
      <c r="T307" s="6">
        <v>4</v>
      </c>
      <c r="U307" s="6">
        <v>73</v>
      </c>
      <c r="V307" s="6">
        <f>IF(ISERROR(VLOOKUP($S$307,'TAR FIN'!$A$1:$O$88,15,0)),0,VLOOKUP($S$307,'TAR FIN'!$A$1:$O$88,15,0))</f>
        <v>0</v>
      </c>
      <c r="W307" s="6">
        <f>IF(ISERROR(VLOOKUP($T$307,'TAR FIN'!$A$1:$O$88,15,0)),0,VLOOKUP($T$307,'TAR FIN'!$A$1:$O$88,15,0))</f>
        <v>425.75</v>
      </c>
      <c r="X307" s="6">
        <f>IF(ISERROR(VLOOKUP($U$307,'TAR FIN'!$A$1:$O$88,15,0)),0,VLOOKUP($U$307,'TAR FIN'!$A$1:$O$88,15,0))</f>
        <v>252.22</v>
      </c>
      <c r="Y307" s="6"/>
      <c r="Z307" s="6">
        <f ca="1">('TUSD BE'!$AM$20+'TUSD BF'!$AM$20+'TUSD CVA'!$AM$20)*1</f>
        <v>487.85699036910154</v>
      </c>
      <c r="AA307" s="6">
        <f>('TE BE'!$AB$10+'TE BF'!$AB$10+'TE CVA'!$AB$10)*1</f>
        <v>251.92449556687748</v>
      </c>
      <c r="AB307" s="6">
        <f>$K$307*$V$307</f>
        <v>0</v>
      </c>
      <c r="AC307" s="6">
        <f>$M$307*$W$307</f>
        <v>416854.80524999998</v>
      </c>
      <c r="AD307" s="6">
        <f>$O$307*$X$307</f>
        <v>246950.36753999998</v>
      </c>
      <c r="AE307" s="6">
        <f>$K$307*$Y$307</f>
        <v>0</v>
      </c>
      <c r="AF307" s="6">
        <f ca="1">$M$307*$Z$307</f>
        <v>477664.19426931988</v>
      </c>
      <c r="AG307" s="6">
        <f>$O$307*$AA$307</f>
        <v>246661.03708099871</v>
      </c>
    </row>
    <row r="308" spans="1:33" ht="11.25" customHeight="1" x14ac:dyDescent="0.25">
      <c r="A308" s="4" t="s">
        <v>27</v>
      </c>
      <c r="B308" s="4" t="s">
        <v>22</v>
      </c>
      <c r="C308" s="4" t="s">
        <v>23</v>
      </c>
      <c r="D308" s="4" t="s">
        <v>24</v>
      </c>
      <c r="E308" s="4" t="s">
        <v>24</v>
      </c>
      <c r="F308" s="4" t="s">
        <v>25</v>
      </c>
      <c r="G308" s="4" t="s">
        <v>25</v>
      </c>
      <c r="H308" s="4" t="s">
        <v>25</v>
      </c>
      <c r="I308" s="5">
        <v>44682</v>
      </c>
      <c r="J308" s="6">
        <v>0</v>
      </c>
      <c r="K308" s="6">
        <v>0</v>
      </c>
      <c r="L308" s="6">
        <v>-0.2</v>
      </c>
      <c r="M308" s="6">
        <v>-0.2</v>
      </c>
      <c r="N308" s="6">
        <v>-0.2</v>
      </c>
      <c r="O308" s="6">
        <v>-0.2</v>
      </c>
      <c r="P308" s="6">
        <v>0</v>
      </c>
      <c r="Q308" s="4" t="s">
        <v>26</v>
      </c>
      <c r="R308" s="4">
        <v>0</v>
      </c>
      <c r="S308" s="6">
        <v>0</v>
      </c>
      <c r="T308" s="6">
        <v>4</v>
      </c>
      <c r="U308" s="6">
        <v>73</v>
      </c>
      <c r="V308" s="6">
        <f>IF(ISERROR(VLOOKUP($S$308,'TAR FIN'!$A$1:$O$88,15,0)),0,VLOOKUP($S$308,'TAR FIN'!$A$1:$O$88,15,0))</f>
        <v>0</v>
      </c>
      <c r="W308" s="6">
        <f>IF(ISERROR(VLOOKUP($T$308,'TAR FIN'!$A$1:$O$88,15,0)),0,VLOOKUP($T$308,'TAR FIN'!$A$1:$O$88,15,0))</f>
        <v>425.75</v>
      </c>
      <c r="X308" s="6">
        <f>IF(ISERROR(VLOOKUP($U$308,'TAR FIN'!$A$1:$O$88,15,0)),0,VLOOKUP($U$308,'TAR FIN'!$A$1:$O$88,15,0))</f>
        <v>252.22</v>
      </c>
      <c r="Y308" s="6"/>
      <c r="Z308" s="6">
        <f ca="1">('TUSD BE'!$AM$20+'TUSD BF'!$AM$20+'TUSD CVA'!$AM$20)*1</f>
        <v>487.85699036910154</v>
      </c>
      <c r="AA308" s="6">
        <f>('TE BE'!$AB$10+'TE BF'!$AB$10+'TE CVA'!$AB$10)*1</f>
        <v>251.92449556687748</v>
      </c>
      <c r="AB308" s="6">
        <f>$K$308*$V$308</f>
        <v>0</v>
      </c>
      <c r="AC308" s="6">
        <f>$M$308*$W$308</f>
        <v>-85.15</v>
      </c>
      <c r="AD308" s="6">
        <f>$O$308*$X$308</f>
        <v>-50.444000000000003</v>
      </c>
      <c r="AE308" s="6">
        <f>$K$308*$Y$308</f>
        <v>0</v>
      </c>
      <c r="AF308" s="6">
        <f ca="1">$M$308*$Z$308</f>
        <v>-97.571398073820319</v>
      </c>
      <c r="AG308" s="6">
        <f>$O$308*$AA$308</f>
        <v>-50.384899113375496</v>
      </c>
    </row>
    <row r="309" spans="1:33" ht="11.25" customHeight="1" x14ac:dyDescent="0.25">
      <c r="A309" s="4" t="s">
        <v>28</v>
      </c>
      <c r="B309" s="4" t="s">
        <v>22</v>
      </c>
      <c r="C309" s="4" t="s">
        <v>23</v>
      </c>
      <c r="D309" s="4" t="s">
        <v>24</v>
      </c>
      <c r="E309" s="4" t="s">
        <v>24</v>
      </c>
      <c r="F309" s="4" t="s">
        <v>25</v>
      </c>
      <c r="G309" s="4" t="s">
        <v>25</v>
      </c>
      <c r="H309" s="4" t="s">
        <v>25</v>
      </c>
      <c r="I309" s="5">
        <v>44682</v>
      </c>
      <c r="J309" s="6">
        <v>0</v>
      </c>
      <c r="K309" s="6">
        <v>0</v>
      </c>
      <c r="L309" s="6">
        <v>38.625999999999998</v>
      </c>
      <c r="M309" s="6">
        <v>38.625999999999998</v>
      </c>
      <c r="N309" s="6">
        <v>38.625999999999998</v>
      </c>
      <c r="O309" s="6">
        <v>38.625999999999998</v>
      </c>
      <c r="P309" s="6">
        <v>517</v>
      </c>
      <c r="Q309" s="4" t="s">
        <v>26</v>
      </c>
      <c r="R309" s="4">
        <v>0</v>
      </c>
      <c r="S309" s="6">
        <v>0</v>
      </c>
      <c r="T309" s="6">
        <v>4</v>
      </c>
      <c r="U309" s="6">
        <v>73</v>
      </c>
      <c r="V309" s="6">
        <f>IF(ISERROR(VLOOKUP($S$309,'TAR FIN'!$A$1:$O$88,15,0)),0,VLOOKUP($S$309,'TAR FIN'!$A$1:$O$88,15,0))</f>
        <v>0</v>
      </c>
      <c r="W309" s="6">
        <f>IF(ISERROR(VLOOKUP($T$309,'TAR FIN'!$A$1:$O$88,15,0)),0,VLOOKUP($T$309,'TAR FIN'!$A$1:$O$88,15,0))</f>
        <v>425.75</v>
      </c>
      <c r="X309" s="6">
        <f>IF(ISERROR(VLOOKUP($U$309,'TAR FIN'!$A$1:$O$88,15,0)),0,VLOOKUP($U$309,'TAR FIN'!$A$1:$O$88,15,0))</f>
        <v>252.22</v>
      </c>
      <c r="Y309" s="6"/>
      <c r="Z309" s="6">
        <f ca="1">('TUSD BE'!$AM$20+'TUSD BF'!$AM$20+'TUSD CVA'!$AM$20)*1</f>
        <v>487.85699036910154</v>
      </c>
      <c r="AA309" s="6">
        <f>('TE BE'!$AB$10+'TE BF'!$AB$10+'TE CVA'!$AB$10)*1</f>
        <v>251.92449556687748</v>
      </c>
      <c r="AB309" s="6">
        <f>$K$309*$V$309</f>
        <v>0</v>
      </c>
      <c r="AC309" s="6">
        <f>$M$309*$W$309</f>
        <v>16445.019499999999</v>
      </c>
      <c r="AD309" s="6">
        <f>$O$309*$X$309</f>
        <v>9742.2497199999998</v>
      </c>
      <c r="AE309" s="6">
        <f>$K$309*$Y$309</f>
        <v>0</v>
      </c>
      <c r="AF309" s="6">
        <f ca="1">$M$309*$Z$309</f>
        <v>18843.964109996916</v>
      </c>
      <c r="AG309" s="6">
        <f>$O$309*$AA$309</f>
        <v>9730.8355657662087</v>
      </c>
    </row>
    <row r="310" spans="1:33" ht="11.25" customHeight="1" x14ac:dyDescent="0.25">
      <c r="A310" s="4" t="s">
        <v>21</v>
      </c>
      <c r="B310" s="4" t="s">
        <v>22</v>
      </c>
      <c r="C310" s="4" t="s">
        <v>23</v>
      </c>
      <c r="D310" s="4" t="s">
        <v>24</v>
      </c>
      <c r="E310" s="4" t="s">
        <v>24</v>
      </c>
      <c r="F310" s="4" t="s">
        <v>25</v>
      </c>
      <c r="G310" s="4" t="s">
        <v>25</v>
      </c>
      <c r="H310" s="4" t="s">
        <v>25</v>
      </c>
      <c r="I310" s="5">
        <v>44713</v>
      </c>
      <c r="J310" s="6">
        <v>0</v>
      </c>
      <c r="K310" s="6">
        <v>0</v>
      </c>
      <c r="L310" s="6">
        <v>943.17600000000004</v>
      </c>
      <c r="M310" s="6">
        <v>943.17600000000004</v>
      </c>
      <c r="N310" s="6">
        <v>943.17600000000004</v>
      </c>
      <c r="O310" s="6">
        <v>943.17600000000004</v>
      </c>
      <c r="P310" s="6">
        <v>7704</v>
      </c>
      <c r="Q310" s="4" t="s">
        <v>26</v>
      </c>
      <c r="R310" s="4">
        <v>0</v>
      </c>
      <c r="S310" s="6">
        <v>0</v>
      </c>
      <c r="T310" s="6">
        <v>4</v>
      </c>
      <c r="U310" s="6">
        <v>73</v>
      </c>
      <c r="V310" s="6">
        <f>IF(ISERROR(VLOOKUP($S$310,'TAR FIN'!$A$1:$O$88,15,0)),0,VLOOKUP($S$310,'TAR FIN'!$A$1:$O$88,15,0))</f>
        <v>0</v>
      </c>
      <c r="W310" s="6">
        <f>IF(ISERROR(VLOOKUP($T$310,'TAR FIN'!$A$1:$O$88,15,0)),0,VLOOKUP($T$310,'TAR FIN'!$A$1:$O$88,15,0))</f>
        <v>425.75</v>
      </c>
      <c r="X310" s="6">
        <f>IF(ISERROR(VLOOKUP($U$310,'TAR FIN'!$A$1:$O$88,15,0)),0,VLOOKUP($U$310,'TAR FIN'!$A$1:$O$88,15,0))</f>
        <v>252.22</v>
      </c>
      <c r="Y310" s="6"/>
      <c r="Z310" s="6">
        <f ca="1">('TUSD BE'!$AM$20+'TUSD BF'!$AM$20+'TUSD CVA'!$AM$20)*1</f>
        <v>487.85699036910154</v>
      </c>
      <c r="AA310" s="6">
        <f>('TE BE'!$AB$10+'TE BF'!$AB$10+'TE CVA'!$AB$10)*1</f>
        <v>251.92449556687748</v>
      </c>
      <c r="AB310" s="6">
        <f>$K$310*$V$310</f>
        <v>0</v>
      </c>
      <c r="AC310" s="6">
        <f>$M$310*$W$310</f>
        <v>401557.18200000003</v>
      </c>
      <c r="AD310" s="6">
        <f>$O$310*$X$310</f>
        <v>237887.85072000002</v>
      </c>
      <c r="AE310" s="6">
        <f>$K$310*$Y$310</f>
        <v>0</v>
      </c>
      <c r="AF310" s="6">
        <f ca="1">$M$310*$Z$310</f>
        <v>460135.00474836776</v>
      </c>
      <c r="AG310" s="6">
        <f>$O$310*$AA$310</f>
        <v>237609.13803078525</v>
      </c>
    </row>
    <row r="311" spans="1:33" ht="11.25" customHeight="1" x14ac:dyDescent="0.25">
      <c r="A311" s="4" t="s">
        <v>28</v>
      </c>
      <c r="B311" s="4" t="s">
        <v>22</v>
      </c>
      <c r="C311" s="4" t="s">
        <v>23</v>
      </c>
      <c r="D311" s="4" t="s">
        <v>24</v>
      </c>
      <c r="E311" s="4" t="s">
        <v>24</v>
      </c>
      <c r="F311" s="4" t="s">
        <v>25</v>
      </c>
      <c r="G311" s="4" t="s">
        <v>25</v>
      </c>
      <c r="H311" s="4" t="s">
        <v>25</v>
      </c>
      <c r="I311" s="5">
        <v>44713</v>
      </c>
      <c r="J311" s="6">
        <v>0</v>
      </c>
      <c r="K311" s="6">
        <v>0</v>
      </c>
      <c r="L311" s="6">
        <v>54.265999999999998</v>
      </c>
      <c r="M311" s="6">
        <v>54.265999999999998</v>
      </c>
      <c r="N311" s="6">
        <v>54.265999999999998</v>
      </c>
      <c r="O311" s="6">
        <v>54.265999999999998</v>
      </c>
      <c r="P311" s="6">
        <v>532</v>
      </c>
      <c r="Q311" s="4" t="s">
        <v>26</v>
      </c>
      <c r="R311" s="4">
        <v>0</v>
      </c>
      <c r="S311" s="6">
        <v>0</v>
      </c>
      <c r="T311" s="6">
        <v>4</v>
      </c>
      <c r="U311" s="6">
        <v>73</v>
      </c>
      <c r="V311" s="6">
        <f>IF(ISERROR(VLOOKUP($S$311,'TAR FIN'!$A$1:$O$88,15,0)),0,VLOOKUP($S$311,'TAR FIN'!$A$1:$O$88,15,0))</f>
        <v>0</v>
      </c>
      <c r="W311" s="6">
        <f>IF(ISERROR(VLOOKUP($T$311,'TAR FIN'!$A$1:$O$88,15,0)),0,VLOOKUP($T$311,'TAR FIN'!$A$1:$O$88,15,0))</f>
        <v>425.75</v>
      </c>
      <c r="X311" s="6">
        <f>IF(ISERROR(VLOOKUP($U$311,'TAR FIN'!$A$1:$O$88,15,0)),0,VLOOKUP($U$311,'TAR FIN'!$A$1:$O$88,15,0))</f>
        <v>252.22</v>
      </c>
      <c r="Y311" s="6"/>
      <c r="Z311" s="6">
        <f ca="1">('TUSD BE'!$AM$20+'TUSD BF'!$AM$20+'TUSD CVA'!$AM$20)*1</f>
        <v>487.85699036910154</v>
      </c>
      <c r="AA311" s="6">
        <f>('TE BE'!$AB$10+'TE BF'!$AB$10+'TE CVA'!$AB$10)*1</f>
        <v>251.92449556687748</v>
      </c>
      <c r="AB311" s="6">
        <f>$K$311*$V$311</f>
        <v>0</v>
      </c>
      <c r="AC311" s="6">
        <f>$M$311*$W$311</f>
        <v>23103.749499999998</v>
      </c>
      <c r="AD311" s="6">
        <f>$O$311*$X$311</f>
        <v>13686.970519999999</v>
      </c>
      <c r="AE311" s="6">
        <f>$K$311*$Y$311</f>
        <v>0</v>
      </c>
      <c r="AF311" s="6">
        <f ca="1">$M$311*$Z$311</f>
        <v>26474.047439369664</v>
      </c>
      <c r="AG311" s="6">
        <f>$O$311*$AA$311</f>
        <v>13670.934676432173</v>
      </c>
    </row>
    <row r="312" spans="1:33" ht="11.25" customHeight="1" x14ac:dyDescent="0.25">
      <c r="A312" s="4" t="s">
        <v>28</v>
      </c>
      <c r="B312" s="4" t="s">
        <v>22</v>
      </c>
      <c r="C312" s="4" t="s">
        <v>23</v>
      </c>
      <c r="D312" s="4" t="s">
        <v>24</v>
      </c>
      <c r="E312" s="4" t="s">
        <v>24</v>
      </c>
      <c r="F312" s="4" t="s">
        <v>25</v>
      </c>
      <c r="G312" s="4" t="s">
        <v>25</v>
      </c>
      <c r="H312" s="4" t="s">
        <v>25</v>
      </c>
      <c r="I312" s="5">
        <v>44713</v>
      </c>
      <c r="J312" s="6">
        <v>0</v>
      </c>
      <c r="K312" s="6">
        <v>0</v>
      </c>
      <c r="L312" s="6">
        <v>-0.34799999999999998</v>
      </c>
      <c r="M312" s="6">
        <v>-0.34799999999999998</v>
      </c>
      <c r="N312" s="6">
        <v>-0.34799999999999998</v>
      </c>
      <c r="O312" s="6">
        <v>-0.34799999999999998</v>
      </c>
      <c r="P312" s="6">
        <v>2</v>
      </c>
      <c r="Q312" s="4" t="s">
        <v>26</v>
      </c>
      <c r="R312" s="4">
        <v>0</v>
      </c>
      <c r="S312" s="6">
        <v>0</v>
      </c>
      <c r="T312" s="6">
        <v>4</v>
      </c>
      <c r="U312" s="6">
        <v>73</v>
      </c>
      <c r="V312" s="6">
        <f>IF(ISERROR(VLOOKUP($S$312,'TAR FIN'!$A$1:$O$88,15,0)),0,VLOOKUP($S$312,'TAR FIN'!$A$1:$O$88,15,0))</f>
        <v>0</v>
      </c>
      <c r="W312" s="6">
        <f>IF(ISERROR(VLOOKUP($T$312,'TAR FIN'!$A$1:$O$88,15,0)),0,VLOOKUP($T$312,'TAR FIN'!$A$1:$O$88,15,0))</f>
        <v>425.75</v>
      </c>
      <c r="X312" s="6">
        <f>IF(ISERROR(VLOOKUP($U$312,'TAR FIN'!$A$1:$O$88,15,0)),0,VLOOKUP($U$312,'TAR FIN'!$A$1:$O$88,15,0))</f>
        <v>252.22</v>
      </c>
      <c r="Y312" s="6"/>
      <c r="Z312" s="6">
        <f ca="1">('TUSD BE'!$AM$20+'TUSD BF'!$AM$20+'TUSD CVA'!$AM$20)*1</f>
        <v>487.85699036910154</v>
      </c>
      <c r="AA312" s="6">
        <f>('TE BE'!$AB$10+'TE BF'!$AB$10+'TE CVA'!$AB$10)*1</f>
        <v>251.92449556687748</v>
      </c>
      <c r="AB312" s="6">
        <f>$K$312*$V$312</f>
        <v>0</v>
      </c>
      <c r="AC312" s="6">
        <f>$M$312*$W$312</f>
        <v>-148.161</v>
      </c>
      <c r="AD312" s="6">
        <f>$O$312*$X$312</f>
        <v>-87.772559999999999</v>
      </c>
      <c r="AE312" s="6">
        <f>$K$312*$Y$312</f>
        <v>0</v>
      </c>
      <c r="AF312" s="6">
        <f ca="1">$M$312*$Z$312</f>
        <v>-169.77423264844731</v>
      </c>
      <c r="AG312" s="6">
        <f>$O$312*$AA$312</f>
        <v>-87.669724457273361</v>
      </c>
    </row>
    <row r="313" spans="1:33" ht="11.25" customHeight="1" x14ac:dyDescent="0.25">
      <c r="A313" s="4" t="s">
        <v>21</v>
      </c>
      <c r="B313" s="4" t="s">
        <v>22</v>
      </c>
      <c r="C313" s="4" t="s">
        <v>23</v>
      </c>
      <c r="D313" s="4" t="s">
        <v>24</v>
      </c>
      <c r="E313" s="4" t="s">
        <v>29</v>
      </c>
      <c r="F313" s="4" t="s">
        <v>25</v>
      </c>
      <c r="G313" s="4" t="s">
        <v>25</v>
      </c>
      <c r="H313" s="4" t="s">
        <v>25</v>
      </c>
      <c r="I313" s="5">
        <v>44378</v>
      </c>
      <c r="J313" s="6">
        <v>0</v>
      </c>
      <c r="K313" s="6">
        <v>0</v>
      </c>
      <c r="L313" s="6">
        <v>8.0399999999999991</v>
      </c>
      <c r="M313" s="6">
        <v>8.0399999999999991</v>
      </c>
      <c r="N313" s="6">
        <v>8.0399999999999991</v>
      </c>
      <c r="O313" s="6">
        <v>8.0399999999999991</v>
      </c>
      <c r="P313" s="6">
        <v>28</v>
      </c>
      <c r="Q313" s="4" t="s">
        <v>26</v>
      </c>
      <c r="R313" s="4">
        <v>0</v>
      </c>
      <c r="S313" s="6">
        <v>0</v>
      </c>
      <c r="T313" s="6">
        <v>12</v>
      </c>
      <c r="U313" s="6">
        <v>77</v>
      </c>
      <c r="V313" s="6">
        <f>IF(ISERROR(VLOOKUP($S$313,'TAR FIN'!$A$1:$O$88,15,0)),0,VLOOKUP($S$313,'TAR FIN'!$A$1:$O$88,15,0))</f>
        <v>0</v>
      </c>
      <c r="W313" s="6">
        <f>IF(ISERROR(VLOOKUP($T$313,'TAR FIN'!$A$1:$O$88,15,0)),0,VLOOKUP($T$313,'TAR FIN'!$A$1:$O$88,15,0))</f>
        <v>124.73</v>
      </c>
      <c r="X313" s="6">
        <f>IF(ISERROR(VLOOKUP($U$313,'TAR FIN'!$A$1:$O$88,15,0)),0,VLOOKUP($U$313,'TAR FIN'!$A$1:$O$88,15,0))</f>
        <v>88.28</v>
      </c>
      <c r="Y313" s="6"/>
      <c r="Z313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13" s="6">
        <f>('TE BE'!$AB$11+'TE BF'!$AB$11+'TE CVA'!$AB$11)*(1-CUSTOS!$M$34)</f>
        <v>88.173573448407112</v>
      </c>
      <c r="AB313" s="6">
        <f>$K$313*$V$313</f>
        <v>0</v>
      </c>
      <c r="AC313" s="6">
        <f>$M$313*$W$313</f>
        <v>1002.8291999999999</v>
      </c>
      <c r="AD313" s="6">
        <f>$O$313*$X$313</f>
        <v>709.77119999999991</v>
      </c>
      <c r="AE313" s="6">
        <f>$K$313*$Y$313</f>
        <v>0</v>
      </c>
      <c r="AF313" s="6">
        <f ca="1">$M$313*$Z$313</f>
        <v>1087.5248832821944</v>
      </c>
      <c r="AG313" s="6">
        <f>$O$313*$AA$313</f>
        <v>708.91553052519305</v>
      </c>
    </row>
    <row r="314" spans="1:33" ht="11.25" customHeight="1" x14ac:dyDescent="0.25">
      <c r="A314" s="4" t="s">
        <v>28</v>
      </c>
      <c r="B314" s="4" t="s">
        <v>22</v>
      </c>
      <c r="C314" s="4" t="s">
        <v>23</v>
      </c>
      <c r="D314" s="4" t="s">
        <v>24</v>
      </c>
      <c r="E314" s="4" t="s">
        <v>29</v>
      </c>
      <c r="F314" s="4" t="s">
        <v>25</v>
      </c>
      <c r="G314" s="4" t="s">
        <v>25</v>
      </c>
      <c r="H314" s="4" t="s">
        <v>25</v>
      </c>
      <c r="I314" s="5">
        <v>44378</v>
      </c>
      <c r="J314" s="6">
        <v>0</v>
      </c>
      <c r="K314" s="6">
        <v>0</v>
      </c>
      <c r="L314" s="6">
        <v>0.09</v>
      </c>
      <c r="M314" s="6">
        <v>-8.5500000000000007E-2</v>
      </c>
      <c r="N314" s="6">
        <v>0.09</v>
      </c>
      <c r="O314" s="6">
        <v>-8.5500000000000007E-2</v>
      </c>
      <c r="P314" s="6">
        <v>0</v>
      </c>
      <c r="Q314" s="4" t="s">
        <v>26</v>
      </c>
      <c r="R314" s="4">
        <v>0</v>
      </c>
      <c r="S314" s="6">
        <v>0</v>
      </c>
      <c r="T314" s="6">
        <v>12</v>
      </c>
      <c r="U314" s="6">
        <v>77</v>
      </c>
      <c r="V314" s="6">
        <f>IF(ISERROR(VLOOKUP($S$314,'TAR FIN'!$A$1:$O$88,15,0)),0,VLOOKUP($S$314,'TAR FIN'!$A$1:$O$88,15,0))</f>
        <v>0</v>
      </c>
      <c r="W314" s="6">
        <f>IF(ISERROR(VLOOKUP($T$314,'TAR FIN'!$A$1:$O$88,15,0)),0,VLOOKUP($T$314,'TAR FIN'!$A$1:$O$88,15,0))</f>
        <v>124.73</v>
      </c>
      <c r="X314" s="6">
        <f>IF(ISERROR(VLOOKUP($U$314,'TAR FIN'!$A$1:$O$88,15,0)),0,VLOOKUP($U$314,'TAR FIN'!$A$1:$O$88,15,0))</f>
        <v>88.28</v>
      </c>
      <c r="Y314" s="6"/>
      <c r="Z314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14" s="6">
        <f>('TE BE'!$AB$11+'TE BF'!$AB$11+'TE CVA'!$AB$11)*(1-CUSTOS!$M$34)</f>
        <v>88.173573448407112</v>
      </c>
      <c r="AB314" s="6">
        <f>$K$314*$V$314</f>
        <v>0</v>
      </c>
      <c r="AC314" s="6">
        <f>$M$314*$W$314</f>
        <v>-10.664415000000002</v>
      </c>
      <c r="AD314" s="6">
        <f>$O$314*$X$314</f>
        <v>-7.5479400000000005</v>
      </c>
      <c r="AE314" s="6">
        <f>$K$314*$Y$314</f>
        <v>0</v>
      </c>
      <c r="AF314" s="6">
        <f ca="1">$M$314*$Z$314</f>
        <v>-11.565096706545727</v>
      </c>
      <c r="AG314" s="6">
        <f>$O$314*$AA$314</f>
        <v>-7.5388405298388088</v>
      </c>
    </row>
    <row r="315" spans="1:33" ht="11.25" customHeight="1" x14ac:dyDescent="0.25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29</v>
      </c>
      <c r="F315" s="4" t="s">
        <v>25</v>
      </c>
      <c r="G315" s="4" t="s">
        <v>25</v>
      </c>
      <c r="H315" s="4" t="s">
        <v>25</v>
      </c>
      <c r="I315" s="5">
        <v>44409</v>
      </c>
      <c r="J315" s="6">
        <v>0</v>
      </c>
      <c r="K315" s="6">
        <v>0</v>
      </c>
      <c r="L315" s="6">
        <v>8.52</v>
      </c>
      <c r="M315" s="6">
        <v>8.52</v>
      </c>
      <c r="N315" s="6">
        <v>8.52</v>
      </c>
      <c r="O315" s="6">
        <v>8.52</v>
      </c>
      <c r="P315" s="6">
        <v>25</v>
      </c>
      <c r="Q315" s="4" t="s">
        <v>26</v>
      </c>
      <c r="R315" s="4">
        <v>0</v>
      </c>
      <c r="S315" s="6">
        <v>0</v>
      </c>
      <c r="T315" s="6">
        <v>12</v>
      </c>
      <c r="U315" s="6">
        <v>77</v>
      </c>
      <c r="V315" s="6">
        <f>IF(ISERROR(VLOOKUP($S$315,'TAR FIN'!$A$1:$O$88,15,0)),0,VLOOKUP($S$315,'TAR FIN'!$A$1:$O$88,15,0))</f>
        <v>0</v>
      </c>
      <c r="W315" s="6">
        <f>IF(ISERROR(VLOOKUP($T$315,'TAR FIN'!$A$1:$O$88,15,0)),0,VLOOKUP($T$315,'TAR FIN'!$A$1:$O$88,15,0))</f>
        <v>124.73</v>
      </c>
      <c r="X315" s="6">
        <f>IF(ISERROR(VLOOKUP($U$315,'TAR FIN'!$A$1:$O$88,15,0)),0,VLOOKUP($U$315,'TAR FIN'!$A$1:$O$88,15,0))</f>
        <v>88.28</v>
      </c>
      <c r="Y315" s="6"/>
      <c r="Z315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15" s="6">
        <f>('TE BE'!$AB$11+'TE BF'!$AB$11+'TE CVA'!$AB$11)*(1-CUSTOS!$M$34)</f>
        <v>88.173573448407112</v>
      </c>
      <c r="AB315" s="6">
        <f>$K$315*$V$315</f>
        <v>0</v>
      </c>
      <c r="AC315" s="6">
        <f>$M$315*$W$315</f>
        <v>1062.6995999999999</v>
      </c>
      <c r="AD315" s="6">
        <f>$O$315*$X$315</f>
        <v>752.14559999999994</v>
      </c>
      <c r="AE315" s="6">
        <f>$K$315*$Y$315</f>
        <v>0</v>
      </c>
      <c r="AF315" s="6">
        <f ca="1">$M$315*$Z$315</f>
        <v>1152.4517419856093</v>
      </c>
      <c r="AG315" s="6">
        <f>$O$315*$AA$315</f>
        <v>751.23884578042851</v>
      </c>
    </row>
    <row r="316" spans="1:33" ht="11.25" customHeight="1" x14ac:dyDescent="0.25">
      <c r="A316" s="4" t="s">
        <v>28</v>
      </c>
      <c r="B316" s="4" t="s">
        <v>22</v>
      </c>
      <c r="C316" s="4" t="s">
        <v>23</v>
      </c>
      <c r="D316" s="4" t="s">
        <v>24</v>
      </c>
      <c r="E316" s="4" t="s">
        <v>29</v>
      </c>
      <c r="F316" s="4" t="s">
        <v>25</v>
      </c>
      <c r="G316" s="4" t="s">
        <v>25</v>
      </c>
      <c r="H316" s="4" t="s">
        <v>25</v>
      </c>
      <c r="I316" s="5">
        <v>44409</v>
      </c>
      <c r="J316" s="6">
        <v>0</v>
      </c>
      <c r="K316" s="6">
        <v>0</v>
      </c>
      <c r="L316" s="6">
        <v>7.5999999999999998E-2</v>
      </c>
      <c r="M316" s="6">
        <v>-7.22E-2</v>
      </c>
      <c r="N316" s="6">
        <v>7.5999999999999998E-2</v>
      </c>
      <c r="O316" s="6">
        <v>-7.22E-2</v>
      </c>
      <c r="P316" s="6">
        <v>0</v>
      </c>
      <c r="Q316" s="4" t="s">
        <v>26</v>
      </c>
      <c r="R316" s="4">
        <v>0</v>
      </c>
      <c r="S316" s="6">
        <v>0</v>
      </c>
      <c r="T316" s="6">
        <v>12</v>
      </c>
      <c r="U316" s="6">
        <v>77</v>
      </c>
      <c r="V316" s="6">
        <f>IF(ISERROR(VLOOKUP($S$316,'TAR FIN'!$A$1:$O$88,15,0)),0,VLOOKUP($S$316,'TAR FIN'!$A$1:$O$88,15,0))</f>
        <v>0</v>
      </c>
      <c r="W316" s="6">
        <f>IF(ISERROR(VLOOKUP($T$316,'TAR FIN'!$A$1:$O$88,15,0)),0,VLOOKUP($T$316,'TAR FIN'!$A$1:$O$88,15,0))</f>
        <v>124.73</v>
      </c>
      <c r="X316" s="6">
        <f>IF(ISERROR(VLOOKUP($U$316,'TAR FIN'!$A$1:$O$88,15,0)),0,VLOOKUP($U$316,'TAR FIN'!$A$1:$O$88,15,0))</f>
        <v>88.28</v>
      </c>
      <c r="Y316" s="6"/>
      <c r="Z316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16" s="6">
        <f>('TE BE'!$AB$11+'TE BF'!$AB$11+'TE CVA'!$AB$11)*(1-CUSTOS!$M$34)</f>
        <v>88.173573448407112</v>
      </c>
      <c r="AB316" s="6">
        <f>$K$316*$V$316</f>
        <v>0</v>
      </c>
      <c r="AC316" s="6">
        <f>$M$316*$W$316</f>
        <v>-9.0055060000000005</v>
      </c>
      <c r="AD316" s="6">
        <f>$O$316*$X$316</f>
        <v>-6.3738159999999997</v>
      </c>
      <c r="AE316" s="6">
        <f>$K$316*$Y$316</f>
        <v>0</v>
      </c>
      <c r="AF316" s="6">
        <f ca="1">$M$316*$Z$316</f>
        <v>-9.7660816633052807</v>
      </c>
      <c r="AG316" s="6">
        <f>$O$316*$AA$316</f>
        <v>-6.366132002974993</v>
      </c>
    </row>
    <row r="317" spans="1:33" ht="11.25" customHeight="1" x14ac:dyDescent="0.25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29</v>
      </c>
      <c r="F317" s="4" t="s">
        <v>25</v>
      </c>
      <c r="G317" s="4" t="s">
        <v>25</v>
      </c>
      <c r="H317" s="4" t="s">
        <v>25</v>
      </c>
      <c r="I317" s="5">
        <v>44440</v>
      </c>
      <c r="J317" s="6">
        <v>0</v>
      </c>
      <c r="K317" s="6">
        <v>0</v>
      </c>
      <c r="L317" s="6">
        <v>8.5039999999999996</v>
      </c>
      <c r="M317" s="6">
        <v>8.5039999999999996</v>
      </c>
      <c r="N317" s="6">
        <v>8.5039999999999996</v>
      </c>
      <c r="O317" s="6">
        <v>8.5039999999999996</v>
      </c>
      <c r="P317" s="6">
        <v>24</v>
      </c>
      <c r="Q317" s="4" t="s">
        <v>26</v>
      </c>
      <c r="R317" s="4">
        <v>0</v>
      </c>
      <c r="S317" s="6">
        <v>0</v>
      </c>
      <c r="T317" s="6">
        <v>12</v>
      </c>
      <c r="U317" s="6">
        <v>77</v>
      </c>
      <c r="V317" s="6">
        <f>IF(ISERROR(VLOOKUP($S$317,'TAR FIN'!$A$1:$O$88,15,0)),0,VLOOKUP($S$317,'TAR FIN'!$A$1:$O$88,15,0))</f>
        <v>0</v>
      </c>
      <c r="W317" s="6">
        <f>IF(ISERROR(VLOOKUP($T$317,'TAR FIN'!$A$1:$O$88,15,0)),0,VLOOKUP($T$317,'TAR FIN'!$A$1:$O$88,15,0))</f>
        <v>124.73</v>
      </c>
      <c r="X317" s="6">
        <f>IF(ISERROR(VLOOKUP($U$317,'TAR FIN'!$A$1:$O$88,15,0)),0,VLOOKUP($U$317,'TAR FIN'!$A$1:$O$88,15,0))</f>
        <v>88.28</v>
      </c>
      <c r="Y317" s="6"/>
      <c r="Z317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17" s="6">
        <f>('TE BE'!$AB$11+'TE BF'!$AB$11+'TE CVA'!$AB$11)*(1-CUSTOS!$M$34)</f>
        <v>88.173573448407112</v>
      </c>
      <c r="AB317" s="6">
        <f>$K$317*$V$317</f>
        <v>0</v>
      </c>
      <c r="AC317" s="6">
        <f>$M$317*$W$317</f>
        <v>1060.7039199999999</v>
      </c>
      <c r="AD317" s="6">
        <f>$O$317*$X$317</f>
        <v>750.73311999999999</v>
      </c>
      <c r="AE317" s="6">
        <f>$K$317*$Y$317</f>
        <v>0</v>
      </c>
      <c r="AF317" s="6">
        <f ca="1">$M$317*$Z$317</f>
        <v>1150.2875133621619</v>
      </c>
      <c r="AG317" s="6">
        <f>$O$317*$AA$317</f>
        <v>749.82806860525409</v>
      </c>
    </row>
    <row r="318" spans="1:33" ht="11.25" customHeight="1" x14ac:dyDescent="0.25">
      <c r="A318" s="4" t="s">
        <v>28</v>
      </c>
      <c r="B318" s="4" t="s">
        <v>22</v>
      </c>
      <c r="C318" s="4" t="s">
        <v>23</v>
      </c>
      <c r="D318" s="4" t="s">
        <v>24</v>
      </c>
      <c r="E318" s="4" t="s">
        <v>29</v>
      </c>
      <c r="F318" s="4" t="s">
        <v>25</v>
      </c>
      <c r="G318" s="4" t="s">
        <v>25</v>
      </c>
      <c r="H318" s="4" t="s">
        <v>25</v>
      </c>
      <c r="I318" s="5">
        <v>44440</v>
      </c>
      <c r="J318" s="6">
        <v>0</v>
      </c>
      <c r="K318" s="6">
        <v>0</v>
      </c>
      <c r="L318" s="6">
        <v>6.2E-2</v>
      </c>
      <c r="M318" s="6">
        <v>-9.9199999999999997E-2</v>
      </c>
      <c r="N318" s="6">
        <v>6.2E-2</v>
      </c>
      <c r="O318" s="6">
        <v>-9.9199999999999997E-2</v>
      </c>
      <c r="P318" s="6">
        <v>0</v>
      </c>
      <c r="Q318" s="4" t="s">
        <v>26</v>
      </c>
      <c r="R318" s="4">
        <v>0</v>
      </c>
      <c r="S318" s="6">
        <v>0</v>
      </c>
      <c r="T318" s="6">
        <v>12</v>
      </c>
      <c r="U318" s="6">
        <v>77</v>
      </c>
      <c r="V318" s="6">
        <f>IF(ISERROR(VLOOKUP($S$318,'TAR FIN'!$A$1:$O$88,15,0)),0,VLOOKUP($S$318,'TAR FIN'!$A$1:$O$88,15,0))</f>
        <v>0</v>
      </c>
      <c r="W318" s="6">
        <f>IF(ISERROR(VLOOKUP($T$318,'TAR FIN'!$A$1:$O$88,15,0)),0,VLOOKUP($T$318,'TAR FIN'!$A$1:$O$88,15,0))</f>
        <v>124.73</v>
      </c>
      <c r="X318" s="6">
        <f>IF(ISERROR(VLOOKUP($U$318,'TAR FIN'!$A$1:$O$88,15,0)),0,VLOOKUP($U$318,'TAR FIN'!$A$1:$O$88,15,0))</f>
        <v>88.28</v>
      </c>
      <c r="Y318" s="6"/>
      <c r="Z318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18" s="6">
        <f>('TE BE'!$AB$11+'TE BF'!$AB$11+'TE CVA'!$AB$11)*(1-CUSTOS!$M$34)</f>
        <v>88.173573448407112</v>
      </c>
      <c r="AB318" s="6">
        <f>$K$318*$V$318</f>
        <v>0</v>
      </c>
      <c r="AC318" s="6">
        <f>$M$318*$W$318</f>
        <v>-12.373215999999999</v>
      </c>
      <c r="AD318" s="6">
        <f>$O$318*$X$318</f>
        <v>-8.7573759999999989</v>
      </c>
      <c r="AE318" s="6">
        <f>$K$318*$Y$318</f>
        <v>0</v>
      </c>
      <c r="AF318" s="6">
        <f ca="1">$M$318*$Z$318</f>
        <v>-13.418217465372351</v>
      </c>
      <c r="AG318" s="6">
        <f>$O$318*$AA$318</f>
        <v>-8.7468184860819846</v>
      </c>
    </row>
    <row r="319" spans="1:33" ht="11.25" customHeight="1" x14ac:dyDescent="0.25">
      <c r="A319" s="4" t="s">
        <v>21</v>
      </c>
      <c r="B319" s="4" t="s">
        <v>22</v>
      </c>
      <c r="C319" s="4" t="s">
        <v>23</v>
      </c>
      <c r="D319" s="4" t="s">
        <v>24</v>
      </c>
      <c r="E319" s="4" t="s">
        <v>29</v>
      </c>
      <c r="F319" s="4" t="s">
        <v>25</v>
      </c>
      <c r="G319" s="4" t="s">
        <v>25</v>
      </c>
      <c r="H319" s="4" t="s">
        <v>25</v>
      </c>
      <c r="I319" s="5">
        <v>44470</v>
      </c>
      <c r="J319" s="6">
        <v>0</v>
      </c>
      <c r="K319" s="6">
        <v>0</v>
      </c>
      <c r="L319" s="6">
        <v>8.67</v>
      </c>
      <c r="M319" s="6">
        <v>8.67</v>
      </c>
      <c r="N319" s="6">
        <v>8.67</v>
      </c>
      <c r="O319" s="6">
        <v>8.67</v>
      </c>
      <c r="P319" s="6">
        <v>21</v>
      </c>
      <c r="Q319" s="4" t="s">
        <v>26</v>
      </c>
      <c r="R319" s="4">
        <v>0</v>
      </c>
      <c r="S319" s="6">
        <v>0</v>
      </c>
      <c r="T319" s="6">
        <v>12</v>
      </c>
      <c r="U319" s="6">
        <v>77</v>
      </c>
      <c r="V319" s="6">
        <f>IF(ISERROR(VLOOKUP($S$319,'TAR FIN'!$A$1:$O$88,15,0)),0,VLOOKUP($S$319,'TAR FIN'!$A$1:$O$88,15,0))</f>
        <v>0</v>
      </c>
      <c r="W319" s="6">
        <f>IF(ISERROR(VLOOKUP($T$319,'TAR FIN'!$A$1:$O$88,15,0)),0,VLOOKUP($T$319,'TAR FIN'!$A$1:$O$88,15,0))</f>
        <v>124.73</v>
      </c>
      <c r="X319" s="6">
        <f>IF(ISERROR(VLOOKUP($U$319,'TAR FIN'!$A$1:$O$88,15,0)),0,VLOOKUP($U$319,'TAR FIN'!$A$1:$O$88,15,0))</f>
        <v>88.28</v>
      </c>
      <c r="Y319" s="6"/>
      <c r="Z319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19" s="6">
        <f>('TE BE'!$AB$11+'TE BF'!$AB$11+'TE CVA'!$AB$11)*(1-CUSTOS!$M$34)</f>
        <v>88.173573448407112</v>
      </c>
      <c r="AB319" s="6">
        <f>$K$319*$V$319</f>
        <v>0</v>
      </c>
      <c r="AC319" s="6">
        <f>$M$319*$W$319</f>
        <v>1081.4091000000001</v>
      </c>
      <c r="AD319" s="6">
        <f>$O$319*$X$319</f>
        <v>765.38760000000002</v>
      </c>
      <c r="AE319" s="6">
        <f>$K$319*$Y$319</f>
        <v>0</v>
      </c>
      <c r="AF319" s="6">
        <f ca="1">$M$319*$Z$319</f>
        <v>1172.7413853304263</v>
      </c>
      <c r="AG319" s="6">
        <f>$O$319*$AA$319</f>
        <v>764.4648817976896</v>
      </c>
    </row>
    <row r="320" spans="1:33" ht="11.25" customHeight="1" x14ac:dyDescent="0.25">
      <c r="A320" s="4" t="s">
        <v>28</v>
      </c>
      <c r="B320" s="4" t="s">
        <v>22</v>
      </c>
      <c r="C320" s="4" t="s">
        <v>23</v>
      </c>
      <c r="D320" s="4" t="s">
        <v>24</v>
      </c>
      <c r="E320" s="4" t="s">
        <v>29</v>
      </c>
      <c r="F320" s="4" t="s">
        <v>25</v>
      </c>
      <c r="G320" s="4" t="s">
        <v>25</v>
      </c>
      <c r="H320" s="4" t="s">
        <v>25</v>
      </c>
      <c r="I320" s="5">
        <v>44470</v>
      </c>
      <c r="J320" s="6">
        <v>0</v>
      </c>
      <c r="K320" s="6">
        <v>0</v>
      </c>
      <c r="L320" s="6">
        <v>5.3999999999999999E-2</v>
      </c>
      <c r="M320" s="6">
        <v>-8.6400000000000005E-2</v>
      </c>
      <c r="N320" s="6">
        <v>5.3999999999999999E-2</v>
      </c>
      <c r="O320" s="6">
        <v>-8.6400000000000005E-2</v>
      </c>
      <c r="P320" s="6">
        <v>0</v>
      </c>
      <c r="Q320" s="4" t="s">
        <v>26</v>
      </c>
      <c r="R320" s="4">
        <v>0</v>
      </c>
      <c r="S320" s="6">
        <v>0</v>
      </c>
      <c r="T320" s="6">
        <v>12</v>
      </c>
      <c r="U320" s="6">
        <v>77</v>
      </c>
      <c r="V320" s="6">
        <f>IF(ISERROR(VLOOKUP($S$320,'TAR FIN'!$A$1:$O$88,15,0)),0,VLOOKUP($S$320,'TAR FIN'!$A$1:$O$88,15,0))</f>
        <v>0</v>
      </c>
      <c r="W320" s="6">
        <f>IF(ISERROR(VLOOKUP($T$320,'TAR FIN'!$A$1:$O$88,15,0)),0,VLOOKUP($T$320,'TAR FIN'!$A$1:$O$88,15,0))</f>
        <v>124.73</v>
      </c>
      <c r="X320" s="6">
        <f>IF(ISERROR(VLOOKUP($U$320,'TAR FIN'!$A$1:$O$88,15,0)),0,VLOOKUP($U$320,'TAR FIN'!$A$1:$O$88,15,0))</f>
        <v>88.28</v>
      </c>
      <c r="Y320" s="6"/>
      <c r="Z320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0" s="6">
        <f>('TE BE'!$AB$11+'TE BF'!$AB$11+'TE CVA'!$AB$11)*(1-CUSTOS!$M$34)</f>
        <v>88.173573448407112</v>
      </c>
      <c r="AB320" s="6">
        <f>$K$320*$V$320</f>
        <v>0</v>
      </c>
      <c r="AC320" s="6">
        <f>$M$320*$W$320</f>
        <v>-10.776672000000001</v>
      </c>
      <c r="AD320" s="6">
        <f>$O$320*$X$320</f>
        <v>-7.6273920000000004</v>
      </c>
      <c r="AE320" s="6">
        <f>$K$320*$Y$320</f>
        <v>0</v>
      </c>
      <c r="AF320" s="6">
        <f ca="1">$M$320*$Z$320</f>
        <v>-11.68683456661463</v>
      </c>
      <c r="AG320" s="6">
        <f>$O$320*$AA$320</f>
        <v>-7.6181967459423747</v>
      </c>
    </row>
    <row r="321" spans="1:33" ht="11.25" customHeight="1" x14ac:dyDescent="0.25">
      <c r="A321" s="4" t="s">
        <v>21</v>
      </c>
      <c r="B321" s="4" t="s">
        <v>22</v>
      </c>
      <c r="C321" s="4" t="s">
        <v>23</v>
      </c>
      <c r="D321" s="4" t="s">
        <v>24</v>
      </c>
      <c r="E321" s="4" t="s">
        <v>29</v>
      </c>
      <c r="F321" s="4" t="s">
        <v>25</v>
      </c>
      <c r="G321" s="4" t="s">
        <v>25</v>
      </c>
      <c r="H321" s="4" t="s">
        <v>25</v>
      </c>
      <c r="I321" s="5">
        <v>44501</v>
      </c>
      <c r="J321" s="6">
        <v>0</v>
      </c>
      <c r="K321" s="6">
        <v>0</v>
      </c>
      <c r="L321" s="6">
        <v>8.73</v>
      </c>
      <c r="M321" s="6">
        <v>8.73</v>
      </c>
      <c r="N321" s="6">
        <v>8.73</v>
      </c>
      <c r="O321" s="6">
        <v>8.73</v>
      </c>
      <c r="P321" s="6">
        <v>14</v>
      </c>
      <c r="Q321" s="4" t="s">
        <v>26</v>
      </c>
      <c r="R321" s="4">
        <v>0</v>
      </c>
      <c r="S321" s="6">
        <v>0</v>
      </c>
      <c r="T321" s="6">
        <v>12</v>
      </c>
      <c r="U321" s="6">
        <v>77</v>
      </c>
      <c r="V321" s="6">
        <f>IF(ISERROR(VLOOKUP($S$321,'TAR FIN'!$A$1:$O$88,15,0)),0,VLOOKUP($S$321,'TAR FIN'!$A$1:$O$88,15,0))</f>
        <v>0</v>
      </c>
      <c r="W321" s="6">
        <f>IF(ISERROR(VLOOKUP($T$321,'TAR FIN'!$A$1:$O$88,15,0)),0,VLOOKUP($T$321,'TAR FIN'!$A$1:$O$88,15,0))</f>
        <v>124.73</v>
      </c>
      <c r="X321" s="6">
        <f>IF(ISERROR(VLOOKUP($U$321,'TAR FIN'!$A$1:$O$88,15,0)),0,VLOOKUP($U$321,'TAR FIN'!$A$1:$O$88,15,0))</f>
        <v>88.28</v>
      </c>
      <c r="Y321" s="6"/>
      <c r="Z321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1" s="6">
        <f>('TE BE'!$AB$11+'TE BF'!$AB$11+'TE CVA'!$AB$11)*(1-CUSTOS!$M$34)</f>
        <v>88.173573448407112</v>
      </c>
      <c r="AB321" s="6">
        <f>$K$321*$V$321</f>
        <v>0</v>
      </c>
      <c r="AC321" s="6">
        <f>$M$321*$W$321</f>
        <v>1088.8929000000001</v>
      </c>
      <c r="AD321" s="6">
        <f>$O$321*$X$321</f>
        <v>770.6844000000001</v>
      </c>
      <c r="AE321" s="6">
        <f>$K$321*$Y$321</f>
        <v>0</v>
      </c>
      <c r="AF321" s="6">
        <f ca="1">$M$321*$Z$321</f>
        <v>1180.8572426683531</v>
      </c>
      <c r="AG321" s="6">
        <f>$O$321*$AA$321</f>
        <v>769.75529620459417</v>
      </c>
    </row>
    <row r="322" spans="1:33" ht="11.25" customHeight="1" x14ac:dyDescent="0.25">
      <c r="A322" s="4" t="s">
        <v>28</v>
      </c>
      <c r="B322" s="4" t="s">
        <v>22</v>
      </c>
      <c r="C322" s="4" t="s">
        <v>23</v>
      </c>
      <c r="D322" s="4" t="s">
        <v>24</v>
      </c>
      <c r="E322" s="4" t="s">
        <v>29</v>
      </c>
      <c r="F322" s="4" t="s">
        <v>25</v>
      </c>
      <c r="G322" s="4" t="s">
        <v>25</v>
      </c>
      <c r="H322" s="4" t="s">
        <v>25</v>
      </c>
      <c r="I322" s="5">
        <v>44501</v>
      </c>
      <c r="J322" s="6">
        <v>0</v>
      </c>
      <c r="K322" s="6">
        <v>0</v>
      </c>
      <c r="L322" s="6">
        <v>0.06</v>
      </c>
      <c r="M322" s="6">
        <v>-9.6000000000000002E-2</v>
      </c>
      <c r="N322" s="6">
        <v>0.06</v>
      </c>
      <c r="O322" s="6">
        <v>-9.6000000000000002E-2</v>
      </c>
      <c r="P322" s="6">
        <v>0</v>
      </c>
      <c r="Q322" s="4" t="s">
        <v>26</v>
      </c>
      <c r="R322" s="4">
        <v>0</v>
      </c>
      <c r="S322" s="6">
        <v>0</v>
      </c>
      <c r="T322" s="6">
        <v>12</v>
      </c>
      <c r="U322" s="6">
        <v>77</v>
      </c>
      <c r="V322" s="6">
        <f>IF(ISERROR(VLOOKUP($S$322,'TAR FIN'!$A$1:$O$88,15,0)),0,VLOOKUP($S$322,'TAR FIN'!$A$1:$O$88,15,0))</f>
        <v>0</v>
      </c>
      <c r="W322" s="6">
        <f>IF(ISERROR(VLOOKUP($T$322,'TAR FIN'!$A$1:$O$88,15,0)),0,VLOOKUP($T$322,'TAR FIN'!$A$1:$O$88,15,0))</f>
        <v>124.73</v>
      </c>
      <c r="X322" s="6">
        <f>IF(ISERROR(VLOOKUP($U$322,'TAR FIN'!$A$1:$O$88,15,0)),0,VLOOKUP($U$322,'TAR FIN'!$A$1:$O$88,15,0))</f>
        <v>88.28</v>
      </c>
      <c r="Y322" s="6"/>
      <c r="Z322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2" s="6">
        <f>('TE BE'!$AB$11+'TE BF'!$AB$11+'TE CVA'!$AB$11)*(1-CUSTOS!$M$34)</f>
        <v>88.173573448407112</v>
      </c>
      <c r="AB322" s="6">
        <f>$K$322*$V$322</f>
        <v>0</v>
      </c>
      <c r="AC322" s="6">
        <f>$M$322*$W$322</f>
        <v>-11.974080000000001</v>
      </c>
      <c r="AD322" s="6">
        <f>$O$322*$X$322</f>
        <v>-8.4748800000000006</v>
      </c>
      <c r="AE322" s="6">
        <f>$K$322*$Y$322</f>
        <v>0</v>
      </c>
      <c r="AF322" s="6">
        <f ca="1">$M$322*$Z$322</f>
        <v>-12.985371740682922</v>
      </c>
      <c r="AG322" s="6">
        <f>$O$322*$AA$322</f>
        <v>-8.4646630510470828</v>
      </c>
    </row>
    <row r="323" spans="1:33" ht="11.25" customHeight="1" x14ac:dyDescent="0.25">
      <c r="A323" s="4" t="s">
        <v>21</v>
      </c>
      <c r="B323" s="4" t="s">
        <v>22</v>
      </c>
      <c r="C323" s="4" t="s">
        <v>23</v>
      </c>
      <c r="D323" s="4" t="s">
        <v>24</v>
      </c>
      <c r="E323" s="4" t="s">
        <v>29</v>
      </c>
      <c r="F323" s="4" t="s">
        <v>25</v>
      </c>
      <c r="G323" s="4" t="s">
        <v>25</v>
      </c>
      <c r="H323" s="4" t="s">
        <v>25</v>
      </c>
      <c r="I323" s="5">
        <v>44531</v>
      </c>
      <c r="J323" s="6">
        <v>0</v>
      </c>
      <c r="K323" s="6">
        <v>0</v>
      </c>
      <c r="L323" s="6">
        <v>9.06</v>
      </c>
      <c r="M323" s="6">
        <v>9.06</v>
      </c>
      <c r="N323" s="6">
        <v>9.06</v>
      </c>
      <c r="O323" s="6">
        <v>9.06</v>
      </c>
      <c r="P323" s="6">
        <v>13</v>
      </c>
      <c r="Q323" s="4" t="s">
        <v>26</v>
      </c>
      <c r="R323" s="4">
        <v>0</v>
      </c>
      <c r="S323" s="6">
        <v>0</v>
      </c>
      <c r="T323" s="6">
        <v>12</v>
      </c>
      <c r="U323" s="6">
        <v>77</v>
      </c>
      <c r="V323" s="6">
        <f>IF(ISERROR(VLOOKUP($S$323,'TAR FIN'!$A$1:$O$88,15,0)),0,VLOOKUP($S$323,'TAR FIN'!$A$1:$O$88,15,0))</f>
        <v>0</v>
      </c>
      <c r="W323" s="6">
        <f>IF(ISERROR(VLOOKUP($T$323,'TAR FIN'!$A$1:$O$88,15,0)),0,VLOOKUP($T$323,'TAR FIN'!$A$1:$O$88,15,0))</f>
        <v>124.73</v>
      </c>
      <c r="X323" s="6">
        <f>IF(ISERROR(VLOOKUP($U$323,'TAR FIN'!$A$1:$O$88,15,0)),0,VLOOKUP($U$323,'TAR FIN'!$A$1:$O$88,15,0))</f>
        <v>88.28</v>
      </c>
      <c r="Y323" s="6"/>
      <c r="Z323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3" s="6">
        <f>('TE BE'!$AB$11+'TE BF'!$AB$11+'TE CVA'!$AB$11)*(1-CUSTOS!$M$34)</f>
        <v>88.173573448407112</v>
      </c>
      <c r="AB323" s="6">
        <f>$K$323*$V$323</f>
        <v>0</v>
      </c>
      <c r="AC323" s="6">
        <f>$M$323*$W$323</f>
        <v>1130.0538000000001</v>
      </c>
      <c r="AD323" s="6">
        <f>$O$323*$X$323</f>
        <v>799.81680000000006</v>
      </c>
      <c r="AE323" s="6">
        <f>$K$323*$Y$323</f>
        <v>0</v>
      </c>
      <c r="AF323" s="6">
        <f ca="1">$M$323*$Z$323</f>
        <v>1225.4944580269507</v>
      </c>
      <c r="AG323" s="6">
        <f>$O$323*$AA$323</f>
        <v>798.85257544256842</v>
      </c>
    </row>
    <row r="324" spans="1:33" ht="11.25" customHeight="1" x14ac:dyDescent="0.25">
      <c r="A324" s="4" t="s">
        <v>28</v>
      </c>
      <c r="B324" s="4" t="s">
        <v>22</v>
      </c>
      <c r="C324" s="4" t="s">
        <v>23</v>
      </c>
      <c r="D324" s="4" t="s">
        <v>24</v>
      </c>
      <c r="E324" s="4" t="s">
        <v>29</v>
      </c>
      <c r="F324" s="4" t="s">
        <v>25</v>
      </c>
      <c r="G324" s="4" t="s">
        <v>25</v>
      </c>
      <c r="H324" s="4" t="s">
        <v>25</v>
      </c>
      <c r="I324" s="5">
        <v>44531</v>
      </c>
      <c r="J324" s="6">
        <v>0</v>
      </c>
      <c r="K324" s="6">
        <v>0</v>
      </c>
      <c r="L324" s="6">
        <v>0.06</v>
      </c>
      <c r="M324" s="6">
        <v>-5.7000000000000002E-2</v>
      </c>
      <c r="N324" s="6">
        <v>0.06</v>
      </c>
      <c r="O324" s="6">
        <v>-5.7000000000000002E-2</v>
      </c>
      <c r="P324" s="6">
        <v>0</v>
      </c>
      <c r="Q324" s="4" t="s">
        <v>26</v>
      </c>
      <c r="R324" s="4">
        <v>0</v>
      </c>
      <c r="S324" s="6">
        <v>0</v>
      </c>
      <c r="T324" s="6">
        <v>12</v>
      </c>
      <c r="U324" s="6">
        <v>77</v>
      </c>
      <c r="V324" s="6">
        <f>IF(ISERROR(VLOOKUP($S$324,'TAR FIN'!$A$1:$O$88,15,0)),0,VLOOKUP($S$324,'TAR FIN'!$A$1:$O$88,15,0))</f>
        <v>0</v>
      </c>
      <c r="W324" s="6">
        <f>IF(ISERROR(VLOOKUP($T$324,'TAR FIN'!$A$1:$O$88,15,0)),0,VLOOKUP($T$324,'TAR FIN'!$A$1:$O$88,15,0))</f>
        <v>124.73</v>
      </c>
      <c r="X324" s="6">
        <f>IF(ISERROR(VLOOKUP($U$324,'TAR FIN'!$A$1:$O$88,15,0)),0,VLOOKUP($U$324,'TAR FIN'!$A$1:$O$88,15,0))</f>
        <v>88.28</v>
      </c>
      <c r="Y324" s="6"/>
      <c r="Z324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4" s="6">
        <f>('TE BE'!$AB$11+'TE BF'!$AB$11+'TE CVA'!$AB$11)*(1-CUSTOS!$M$34)</f>
        <v>88.173573448407112</v>
      </c>
      <c r="AB324" s="6">
        <f>$K$324*$V$324</f>
        <v>0</v>
      </c>
      <c r="AC324" s="6">
        <f>$M$324*$W$324</f>
        <v>-7.1096100000000009</v>
      </c>
      <c r="AD324" s="6">
        <f>$O$324*$X$324</f>
        <v>-5.0319600000000007</v>
      </c>
      <c r="AE324" s="6">
        <f>$K$324*$Y$324</f>
        <v>0</v>
      </c>
      <c r="AF324" s="6">
        <f ca="1">$M$324*$Z$324</f>
        <v>-7.7100644710304849</v>
      </c>
      <c r="AG324" s="6">
        <f>$O$324*$AA$324</f>
        <v>-5.0258936865592059</v>
      </c>
    </row>
    <row r="325" spans="1:33" ht="11.25" customHeight="1" x14ac:dyDescent="0.25">
      <c r="A325" s="4" t="s">
        <v>21</v>
      </c>
      <c r="B325" s="4" t="s">
        <v>22</v>
      </c>
      <c r="C325" s="4" t="s">
        <v>23</v>
      </c>
      <c r="D325" s="4" t="s">
        <v>24</v>
      </c>
      <c r="E325" s="4" t="s">
        <v>29</v>
      </c>
      <c r="F325" s="4" t="s">
        <v>25</v>
      </c>
      <c r="G325" s="4" t="s">
        <v>25</v>
      </c>
      <c r="H325" s="4" t="s">
        <v>25</v>
      </c>
      <c r="I325" s="5">
        <v>44562</v>
      </c>
      <c r="J325" s="6">
        <v>0</v>
      </c>
      <c r="K325" s="6">
        <v>0</v>
      </c>
      <c r="L325" s="6">
        <v>9.2100000000000009</v>
      </c>
      <c r="M325" s="6">
        <v>9.2100000000000009</v>
      </c>
      <c r="N325" s="6">
        <v>9.2100000000000009</v>
      </c>
      <c r="O325" s="6">
        <v>9.2100000000000009</v>
      </c>
      <c r="P325" s="6">
        <v>14</v>
      </c>
      <c r="Q325" s="4" t="s">
        <v>26</v>
      </c>
      <c r="R325" s="4">
        <v>0</v>
      </c>
      <c r="S325" s="6">
        <v>0</v>
      </c>
      <c r="T325" s="6">
        <v>12</v>
      </c>
      <c r="U325" s="6">
        <v>77</v>
      </c>
      <c r="V325" s="6">
        <f>IF(ISERROR(VLOOKUP($S$325,'TAR FIN'!$A$1:$O$88,15,0)),0,VLOOKUP($S$325,'TAR FIN'!$A$1:$O$88,15,0))</f>
        <v>0</v>
      </c>
      <c r="W325" s="6">
        <f>IF(ISERROR(VLOOKUP($T$325,'TAR FIN'!$A$1:$O$88,15,0)),0,VLOOKUP($T$325,'TAR FIN'!$A$1:$O$88,15,0))</f>
        <v>124.73</v>
      </c>
      <c r="X325" s="6">
        <f>IF(ISERROR(VLOOKUP($U$325,'TAR FIN'!$A$1:$O$88,15,0)),0,VLOOKUP($U$325,'TAR FIN'!$A$1:$O$88,15,0))</f>
        <v>88.28</v>
      </c>
      <c r="Y325" s="6"/>
      <c r="Z325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5" s="6">
        <f>('TE BE'!$AB$11+'TE BF'!$AB$11+'TE CVA'!$AB$11)*(1-CUSTOS!$M$34)</f>
        <v>88.173573448407112</v>
      </c>
      <c r="AB325" s="6">
        <f>$K$325*$V$325</f>
        <v>0</v>
      </c>
      <c r="AC325" s="6">
        <f>$M$325*$W$325</f>
        <v>1148.7633000000001</v>
      </c>
      <c r="AD325" s="6">
        <f>$O$325*$X$325</f>
        <v>813.05880000000013</v>
      </c>
      <c r="AE325" s="6">
        <f>$K$325*$Y$325</f>
        <v>0</v>
      </c>
      <c r="AF325" s="6">
        <f ca="1">$M$325*$Z$325</f>
        <v>1245.7841013717677</v>
      </c>
      <c r="AG325" s="6">
        <f>$O$325*$AA$325</f>
        <v>812.07861145982952</v>
      </c>
    </row>
    <row r="326" spans="1:33" ht="11.25" customHeight="1" x14ac:dyDescent="0.25">
      <c r="A326" s="4" t="s">
        <v>28</v>
      </c>
      <c r="B326" s="4" t="s">
        <v>22</v>
      </c>
      <c r="C326" s="4" t="s">
        <v>23</v>
      </c>
      <c r="D326" s="4" t="s">
        <v>24</v>
      </c>
      <c r="E326" s="4" t="s">
        <v>29</v>
      </c>
      <c r="F326" s="4" t="s">
        <v>25</v>
      </c>
      <c r="G326" s="4" t="s">
        <v>25</v>
      </c>
      <c r="H326" s="4" t="s">
        <v>25</v>
      </c>
      <c r="I326" s="5">
        <v>44562</v>
      </c>
      <c r="J326" s="6">
        <v>0</v>
      </c>
      <c r="K326" s="6">
        <v>0</v>
      </c>
      <c r="L326" s="6">
        <v>0.06</v>
      </c>
      <c r="M326" s="6">
        <v>-5.7000000000000002E-2</v>
      </c>
      <c r="N326" s="6">
        <v>0.06</v>
      </c>
      <c r="O326" s="6">
        <v>-5.7000000000000002E-2</v>
      </c>
      <c r="P326" s="6">
        <v>0</v>
      </c>
      <c r="Q326" s="4" t="s">
        <v>26</v>
      </c>
      <c r="R326" s="4">
        <v>0</v>
      </c>
      <c r="S326" s="6">
        <v>0</v>
      </c>
      <c r="T326" s="6">
        <v>12</v>
      </c>
      <c r="U326" s="6">
        <v>77</v>
      </c>
      <c r="V326" s="6">
        <f>IF(ISERROR(VLOOKUP($S$326,'TAR FIN'!$A$1:$O$88,15,0)),0,VLOOKUP($S$326,'TAR FIN'!$A$1:$O$88,15,0))</f>
        <v>0</v>
      </c>
      <c r="W326" s="6">
        <f>IF(ISERROR(VLOOKUP($T$326,'TAR FIN'!$A$1:$O$88,15,0)),0,VLOOKUP($T$326,'TAR FIN'!$A$1:$O$88,15,0))</f>
        <v>124.73</v>
      </c>
      <c r="X326" s="6">
        <f>IF(ISERROR(VLOOKUP($U$326,'TAR FIN'!$A$1:$O$88,15,0)),0,VLOOKUP($U$326,'TAR FIN'!$A$1:$O$88,15,0))</f>
        <v>88.28</v>
      </c>
      <c r="Y326" s="6"/>
      <c r="Z326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6" s="6">
        <f>('TE BE'!$AB$11+'TE BF'!$AB$11+'TE CVA'!$AB$11)*(1-CUSTOS!$M$34)</f>
        <v>88.173573448407112</v>
      </c>
      <c r="AB326" s="6">
        <f>$K$326*$V$326</f>
        <v>0</v>
      </c>
      <c r="AC326" s="6">
        <f>$M$326*$W$326</f>
        <v>-7.1096100000000009</v>
      </c>
      <c r="AD326" s="6">
        <f>$O$326*$X$326</f>
        <v>-5.0319600000000007</v>
      </c>
      <c r="AE326" s="6">
        <f>$K$326*$Y$326</f>
        <v>0</v>
      </c>
      <c r="AF326" s="6">
        <f ca="1">$M$326*$Z$326</f>
        <v>-7.7100644710304849</v>
      </c>
      <c r="AG326" s="6">
        <f>$O$326*$AA$326</f>
        <v>-5.0258936865592059</v>
      </c>
    </row>
    <row r="327" spans="1:33" ht="11.25" customHeight="1" x14ac:dyDescent="0.25">
      <c r="A327" s="4" t="s">
        <v>21</v>
      </c>
      <c r="B327" s="4" t="s">
        <v>22</v>
      </c>
      <c r="C327" s="4" t="s">
        <v>23</v>
      </c>
      <c r="D327" s="4" t="s">
        <v>24</v>
      </c>
      <c r="E327" s="4" t="s">
        <v>29</v>
      </c>
      <c r="F327" s="4" t="s">
        <v>25</v>
      </c>
      <c r="G327" s="4" t="s">
        <v>25</v>
      </c>
      <c r="H327" s="4" t="s">
        <v>25</v>
      </c>
      <c r="I327" s="5">
        <v>44593</v>
      </c>
      <c r="J327" s="6">
        <v>0</v>
      </c>
      <c r="K327" s="6">
        <v>0</v>
      </c>
      <c r="L327" s="6">
        <v>9.33</v>
      </c>
      <c r="M327" s="6">
        <v>9.33</v>
      </c>
      <c r="N327" s="6">
        <v>9.33</v>
      </c>
      <c r="O327" s="6">
        <v>9.33</v>
      </c>
      <c r="P327" s="6">
        <v>8</v>
      </c>
      <c r="Q327" s="4" t="s">
        <v>26</v>
      </c>
      <c r="R327" s="4">
        <v>0</v>
      </c>
      <c r="S327" s="6">
        <v>0</v>
      </c>
      <c r="T327" s="6">
        <v>12</v>
      </c>
      <c r="U327" s="6">
        <v>77</v>
      </c>
      <c r="V327" s="6">
        <f>IF(ISERROR(VLOOKUP($S$327,'TAR FIN'!$A$1:$O$88,15,0)),0,VLOOKUP($S$327,'TAR FIN'!$A$1:$O$88,15,0))</f>
        <v>0</v>
      </c>
      <c r="W327" s="6">
        <f>IF(ISERROR(VLOOKUP($T$327,'TAR FIN'!$A$1:$O$88,15,0)),0,VLOOKUP($T$327,'TAR FIN'!$A$1:$O$88,15,0))</f>
        <v>124.73</v>
      </c>
      <c r="X327" s="6">
        <f>IF(ISERROR(VLOOKUP($U$327,'TAR FIN'!$A$1:$O$88,15,0)),0,VLOOKUP($U$327,'TAR FIN'!$A$1:$O$88,15,0))</f>
        <v>88.28</v>
      </c>
      <c r="Y327" s="6"/>
      <c r="Z327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7" s="6">
        <f>('TE BE'!$AB$11+'TE BF'!$AB$11+'TE CVA'!$AB$11)*(1-CUSTOS!$M$34)</f>
        <v>88.173573448407112</v>
      </c>
      <c r="AB327" s="6">
        <f>$K$327*$V$327</f>
        <v>0</v>
      </c>
      <c r="AC327" s="6">
        <f>$M$327*$W$327</f>
        <v>1163.7309</v>
      </c>
      <c r="AD327" s="6">
        <f>$O$327*$X$327</f>
        <v>823.65240000000006</v>
      </c>
      <c r="AE327" s="6">
        <f>$K$327*$Y$327</f>
        <v>0</v>
      </c>
      <c r="AF327" s="6">
        <f ca="1">$M$327*$Z$327</f>
        <v>1262.0158160476215</v>
      </c>
      <c r="AG327" s="6">
        <f>$O$327*$AA$327</f>
        <v>822.65944027363832</v>
      </c>
    </row>
    <row r="328" spans="1:33" ht="11.25" customHeight="1" x14ac:dyDescent="0.25">
      <c r="A328" s="4" t="s">
        <v>28</v>
      </c>
      <c r="B328" s="4" t="s">
        <v>22</v>
      </c>
      <c r="C328" s="4" t="s">
        <v>23</v>
      </c>
      <c r="D328" s="4" t="s">
        <v>24</v>
      </c>
      <c r="E328" s="4" t="s">
        <v>29</v>
      </c>
      <c r="F328" s="4" t="s">
        <v>25</v>
      </c>
      <c r="G328" s="4" t="s">
        <v>25</v>
      </c>
      <c r="H328" s="4" t="s">
        <v>25</v>
      </c>
      <c r="I328" s="5">
        <v>44593</v>
      </c>
      <c r="J328" s="6">
        <v>0</v>
      </c>
      <c r="K328" s="6">
        <v>0</v>
      </c>
      <c r="L328" s="6">
        <v>0.09</v>
      </c>
      <c r="M328" s="6">
        <v>-8.5500000000000007E-2</v>
      </c>
      <c r="N328" s="6">
        <v>0.09</v>
      </c>
      <c r="O328" s="6">
        <v>-8.5500000000000007E-2</v>
      </c>
      <c r="P328" s="6">
        <v>0</v>
      </c>
      <c r="Q328" s="4" t="s">
        <v>26</v>
      </c>
      <c r="R328" s="4">
        <v>0</v>
      </c>
      <c r="S328" s="6">
        <v>0</v>
      </c>
      <c r="T328" s="6">
        <v>12</v>
      </c>
      <c r="U328" s="6">
        <v>77</v>
      </c>
      <c r="V328" s="6">
        <f>IF(ISERROR(VLOOKUP($S$328,'TAR FIN'!$A$1:$O$88,15,0)),0,VLOOKUP($S$328,'TAR FIN'!$A$1:$O$88,15,0))</f>
        <v>0</v>
      </c>
      <c r="W328" s="6">
        <f>IF(ISERROR(VLOOKUP($T$328,'TAR FIN'!$A$1:$O$88,15,0)),0,VLOOKUP($T$328,'TAR FIN'!$A$1:$O$88,15,0))</f>
        <v>124.73</v>
      </c>
      <c r="X328" s="6">
        <f>IF(ISERROR(VLOOKUP($U$328,'TAR FIN'!$A$1:$O$88,15,0)),0,VLOOKUP($U$328,'TAR FIN'!$A$1:$O$88,15,0))</f>
        <v>88.28</v>
      </c>
      <c r="Y328" s="6"/>
      <c r="Z328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8" s="6">
        <f>('TE BE'!$AB$11+'TE BF'!$AB$11+'TE CVA'!$AB$11)*(1-CUSTOS!$M$34)</f>
        <v>88.173573448407112</v>
      </c>
      <c r="AB328" s="6">
        <f>$K$328*$V$328</f>
        <v>0</v>
      </c>
      <c r="AC328" s="6">
        <f>$M$328*$W$328</f>
        <v>-10.664415000000002</v>
      </c>
      <c r="AD328" s="6">
        <f>$O$328*$X$328</f>
        <v>-7.5479400000000005</v>
      </c>
      <c r="AE328" s="6">
        <f>$K$328*$Y$328</f>
        <v>0</v>
      </c>
      <c r="AF328" s="6">
        <f ca="1">$M$328*$Z$328</f>
        <v>-11.565096706545727</v>
      </c>
      <c r="AG328" s="6">
        <f>$O$328*$AA$328</f>
        <v>-7.5388405298388088</v>
      </c>
    </row>
    <row r="329" spans="1:33" ht="11.25" customHeight="1" x14ac:dyDescent="0.25">
      <c r="A329" s="4" t="s">
        <v>21</v>
      </c>
      <c r="B329" s="4" t="s">
        <v>22</v>
      </c>
      <c r="C329" s="4" t="s">
        <v>23</v>
      </c>
      <c r="D329" s="4" t="s">
        <v>24</v>
      </c>
      <c r="E329" s="4" t="s">
        <v>29</v>
      </c>
      <c r="F329" s="4" t="s">
        <v>25</v>
      </c>
      <c r="G329" s="4" t="s">
        <v>25</v>
      </c>
      <c r="H329" s="4" t="s">
        <v>25</v>
      </c>
      <c r="I329" s="5">
        <v>44621</v>
      </c>
      <c r="J329" s="6">
        <v>0</v>
      </c>
      <c r="K329" s="6">
        <v>0</v>
      </c>
      <c r="L329" s="6">
        <v>9.6300000000000008</v>
      </c>
      <c r="M329" s="6">
        <v>9.6300000000000008</v>
      </c>
      <c r="N329" s="6">
        <v>9.6300000000000008</v>
      </c>
      <c r="O329" s="6">
        <v>9.6300000000000008</v>
      </c>
      <c r="P329" s="6">
        <v>14</v>
      </c>
      <c r="Q329" s="4" t="s">
        <v>26</v>
      </c>
      <c r="R329" s="4">
        <v>0</v>
      </c>
      <c r="S329" s="6">
        <v>0</v>
      </c>
      <c r="T329" s="6">
        <v>12</v>
      </c>
      <c r="U329" s="6">
        <v>77</v>
      </c>
      <c r="V329" s="6">
        <f>IF(ISERROR(VLOOKUP($S$329,'TAR FIN'!$A$1:$O$88,15,0)),0,VLOOKUP($S$329,'TAR FIN'!$A$1:$O$88,15,0))</f>
        <v>0</v>
      </c>
      <c r="W329" s="6">
        <f>IF(ISERROR(VLOOKUP($T$329,'TAR FIN'!$A$1:$O$88,15,0)),0,VLOOKUP($T$329,'TAR FIN'!$A$1:$O$88,15,0))</f>
        <v>124.73</v>
      </c>
      <c r="X329" s="6">
        <f>IF(ISERROR(VLOOKUP($U$329,'TAR FIN'!$A$1:$O$88,15,0)),0,VLOOKUP($U$329,'TAR FIN'!$A$1:$O$88,15,0))</f>
        <v>88.28</v>
      </c>
      <c r="Y329" s="6"/>
      <c r="Z329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29" s="6">
        <f>('TE BE'!$AB$11+'TE BF'!$AB$11+'TE CVA'!$AB$11)*(1-CUSTOS!$M$34)</f>
        <v>88.173573448407112</v>
      </c>
      <c r="AB329" s="6">
        <f>$K$329*$V$329</f>
        <v>0</v>
      </c>
      <c r="AC329" s="6">
        <f>$M$329*$W$329</f>
        <v>1201.1499000000001</v>
      </c>
      <c r="AD329" s="6">
        <f>$O$329*$X$329</f>
        <v>850.13640000000009</v>
      </c>
      <c r="AE329" s="6">
        <f>$K$329*$Y$329</f>
        <v>0</v>
      </c>
      <c r="AF329" s="6">
        <f ca="1">$M$329*$Z$329</f>
        <v>1302.5951027372557</v>
      </c>
      <c r="AG329" s="6">
        <f>$O$329*$AA$329</f>
        <v>849.11151230816051</v>
      </c>
    </row>
    <row r="330" spans="1:33" ht="11.25" customHeight="1" x14ac:dyDescent="0.25">
      <c r="A330" s="4" t="s">
        <v>28</v>
      </c>
      <c r="B330" s="4" t="s">
        <v>22</v>
      </c>
      <c r="C330" s="4" t="s">
        <v>23</v>
      </c>
      <c r="D330" s="4" t="s">
        <v>24</v>
      </c>
      <c r="E330" s="4" t="s">
        <v>29</v>
      </c>
      <c r="F330" s="4" t="s">
        <v>25</v>
      </c>
      <c r="G330" s="4" t="s">
        <v>25</v>
      </c>
      <c r="H330" s="4" t="s">
        <v>25</v>
      </c>
      <c r="I330" s="5">
        <v>44621</v>
      </c>
      <c r="J330" s="6">
        <v>0</v>
      </c>
      <c r="K330" s="6">
        <v>0</v>
      </c>
      <c r="L330" s="6">
        <v>0.09</v>
      </c>
      <c r="M330" s="6">
        <v>-0.14399999999999999</v>
      </c>
      <c r="N330" s="6">
        <v>0.09</v>
      </c>
      <c r="O330" s="6">
        <v>-0.14399999999999999</v>
      </c>
      <c r="P330" s="6">
        <v>0</v>
      </c>
      <c r="Q330" s="4" t="s">
        <v>26</v>
      </c>
      <c r="R330" s="4">
        <v>0</v>
      </c>
      <c r="S330" s="6">
        <v>0</v>
      </c>
      <c r="T330" s="6">
        <v>12</v>
      </c>
      <c r="U330" s="6">
        <v>77</v>
      </c>
      <c r="V330" s="6">
        <f>IF(ISERROR(VLOOKUP($S$330,'TAR FIN'!$A$1:$O$88,15,0)),0,VLOOKUP($S$330,'TAR FIN'!$A$1:$O$88,15,0))</f>
        <v>0</v>
      </c>
      <c r="W330" s="6">
        <f>IF(ISERROR(VLOOKUP($T$330,'TAR FIN'!$A$1:$O$88,15,0)),0,VLOOKUP($T$330,'TAR FIN'!$A$1:$O$88,15,0))</f>
        <v>124.73</v>
      </c>
      <c r="X330" s="6">
        <f>IF(ISERROR(VLOOKUP($U$330,'TAR FIN'!$A$1:$O$88,15,0)),0,VLOOKUP($U$330,'TAR FIN'!$A$1:$O$88,15,0))</f>
        <v>88.28</v>
      </c>
      <c r="Y330" s="6"/>
      <c r="Z330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30" s="6">
        <f>('TE BE'!$AB$11+'TE BF'!$AB$11+'TE CVA'!$AB$11)*(1-CUSTOS!$M$34)</f>
        <v>88.173573448407112</v>
      </c>
      <c r="AB330" s="6">
        <f>$K$330*$V$330</f>
        <v>0</v>
      </c>
      <c r="AC330" s="6">
        <f>$M$330*$W$330</f>
        <v>-17.961119999999998</v>
      </c>
      <c r="AD330" s="6">
        <f>$O$330*$X$330</f>
        <v>-12.71232</v>
      </c>
      <c r="AE330" s="6">
        <f>$K$330*$Y$330</f>
        <v>0</v>
      </c>
      <c r="AF330" s="6">
        <f ca="1">$M$330*$Z$330</f>
        <v>-19.478057611024379</v>
      </c>
      <c r="AG330" s="6">
        <f>$O$330*$AA$330</f>
        <v>-12.696994576570622</v>
      </c>
    </row>
    <row r="331" spans="1:33" ht="11.25" customHeight="1" x14ac:dyDescent="0.25">
      <c r="A331" s="4" t="s">
        <v>21</v>
      </c>
      <c r="B331" s="4" t="s">
        <v>22</v>
      </c>
      <c r="C331" s="4" t="s">
        <v>23</v>
      </c>
      <c r="D331" s="4" t="s">
        <v>24</v>
      </c>
      <c r="E331" s="4" t="s">
        <v>29</v>
      </c>
      <c r="F331" s="4" t="s">
        <v>25</v>
      </c>
      <c r="G331" s="4" t="s">
        <v>25</v>
      </c>
      <c r="H331" s="4" t="s">
        <v>25</v>
      </c>
      <c r="I331" s="5">
        <v>44652</v>
      </c>
      <c r="J331" s="6">
        <v>0</v>
      </c>
      <c r="K331" s="6">
        <v>0</v>
      </c>
      <c r="L331" s="6">
        <v>22.948</v>
      </c>
      <c r="M331" s="6">
        <v>22.948</v>
      </c>
      <c r="N331" s="6">
        <v>22.948</v>
      </c>
      <c r="O331" s="6">
        <v>22.948</v>
      </c>
      <c r="P331" s="6">
        <v>68</v>
      </c>
      <c r="Q331" s="4" t="s">
        <v>26</v>
      </c>
      <c r="R331" s="4">
        <v>0</v>
      </c>
      <c r="S331" s="6">
        <v>0</v>
      </c>
      <c r="T331" s="6">
        <v>12</v>
      </c>
      <c r="U331" s="6">
        <v>77</v>
      </c>
      <c r="V331" s="6">
        <f>IF(ISERROR(VLOOKUP($S$331,'TAR FIN'!$A$1:$O$88,15,0)),0,VLOOKUP($S$331,'TAR FIN'!$A$1:$O$88,15,0))</f>
        <v>0</v>
      </c>
      <c r="W331" s="6">
        <f>IF(ISERROR(VLOOKUP($T$331,'TAR FIN'!$A$1:$O$88,15,0)),0,VLOOKUP($T$331,'TAR FIN'!$A$1:$O$88,15,0))</f>
        <v>124.73</v>
      </c>
      <c r="X331" s="6">
        <f>IF(ISERROR(VLOOKUP($U$331,'TAR FIN'!$A$1:$O$88,15,0)),0,VLOOKUP($U$331,'TAR FIN'!$A$1:$O$88,15,0))</f>
        <v>88.28</v>
      </c>
      <c r="Y331" s="6"/>
      <c r="Z331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31" s="6">
        <f>('TE BE'!$AB$11+'TE BF'!$AB$11+'TE CVA'!$AB$11)*(1-CUSTOS!$M$34)</f>
        <v>88.173573448407112</v>
      </c>
      <c r="AB331" s="6">
        <f>$K$331*$V$331</f>
        <v>0</v>
      </c>
      <c r="AC331" s="6">
        <f>$M$331*$W$331</f>
        <v>2862.30404</v>
      </c>
      <c r="AD331" s="6">
        <f>$O$331*$X$331</f>
        <v>2025.84944</v>
      </c>
      <c r="AE331" s="6">
        <f>$K$331*$Y$331</f>
        <v>0</v>
      </c>
      <c r="AF331" s="6">
        <f ca="1">$M$331*$Z$331</f>
        <v>3104.0449031790799</v>
      </c>
      <c r="AG331" s="6">
        <f>$O$331*$AA$331</f>
        <v>2023.4071634940465</v>
      </c>
    </row>
    <row r="332" spans="1:33" ht="11.25" customHeight="1" x14ac:dyDescent="0.25">
      <c r="A332" s="4" t="s">
        <v>28</v>
      </c>
      <c r="B332" s="4" t="s">
        <v>22</v>
      </c>
      <c r="C332" s="4" t="s">
        <v>23</v>
      </c>
      <c r="D332" s="4" t="s">
        <v>24</v>
      </c>
      <c r="E332" s="4" t="s">
        <v>29</v>
      </c>
      <c r="F332" s="4" t="s">
        <v>25</v>
      </c>
      <c r="G332" s="4" t="s">
        <v>25</v>
      </c>
      <c r="H332" s="4" t="s">
        <v>25</v>
      </c>
      <c r="I332" s="5">
        <v>44652</v>
      </c>
      <c r="J332" s="6">
        <v>0</v>
      </c>
      <c r="K332" s="6">
        <v>0</v>
      </c>
      <c r="L332" s="6">
        <v>8.8999999999999996E-2</v>
      </c>
      <c r="M332" s="6">
        <v>-0.54735</v>
      </c>
      <c r="N332" s="6">
        <v>8.8999999999999996E-2</v>
      </c>
      <c r="O332" s="6">
        <v>-0.54735</v>
      </c>
      <c r="P332" s="6">
        <v>0</v>
      </c>
      <c r="Q332" s="4" t="s">
        <v>26</v>
      </c>
      <c r="R332" s="4">
        <v>0</v>
      </c>
      <c r="S332" s="6">
        <v>0</v>
      </c>
      <c r="T332" s="6">
        <v>12</v>
      </c>
      <c r="U332" s="6">
        <v>77</v>
      </c>
      <c r="V332" s="6">
        <f>IF(ISERROR(VLOOKUP($S$332,'TAR FIN'!$A$1:$O$88,15,0)),0,VLOOKUP($S$332,'TAR FIN'!$A$1:$O$88,15,0))</f>
        <v>0</v>
      </c>
      <c r="W332" s="6">
        <f>IF(ISERROR(VLOOKUP($T$332,'TAR FIN'!$A$1:$O$88,15,0)),0,VLOOKUP($T$332,'TAR FIN'!$A$1:$O$88,15,0))</f>
        <v>124.73</v>
      </c>
      <c r="X332" s="6">
        <f>IF(ISERROR(VLOOKUP($U$332,'TAR FIN'!$A$1:$O$88,15,0)),0,VLOOKUP($U$332,'TAR FIN'!$A$1:$O$88,15,0))</f>
        <v>88.28</v>
      </c>
      <c r="Y332" s="6"/>
      <c r="Z332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32" s="6">
        <f>('TE BE'!$AB$11+'TE BF'!$AB$11+'TE CVA'!$AB$11)*(1-CUSTOS!$M$34)</f>
        <v>88.173573448407112</v>
      </c>
      <c r="AB332" s="6">
        <f>$K$332*$V$332</f>
        <v>0</v>
      </c>
      <c r="AC332" s="6">
        <f>$M$332*$W$332</f>
        <v>-68.270965500000003</v>
      </c>
      <c r="AD332" s="6">
        <f>$O$332*$X$332</f>
        <v>-48.320058000000003</v>
      </c>
      <c r="AE332" s="6">
        <f>$K$332*$Y$332</f>
        <v>0</v>
      </c>
      <c r="AF332" s="6">
        <f ca="1">$M$332*$Z$332</f>
        <v>-74.036908565237468</v>
      </c>
      <c r="AG332" s="6">
        <f>$O$332*$AA$332</f>
        <v>-48.261805426985632</v>
      </c>
    </row>
    <row r="333" spans="1:33" ht="11.25" customHeight="1" x14ac:dyDescent="0.25">
      <c r="A333" s="4" t="s">
        <v>21</v>
      </c>
      <c r="B333" s="4" t="s">
        <v>22</v>
      </c>
      <c r="C333" s="4" t="s">
        <v>23</v>
      </c>
      <c r="D333" s="4" t="s">
        <v>24</v>
      </c>
      <c r="E333" s="4" t="s">
        <v>29</v>
      </c>
      <c r="F333" s="4" t="s">
        <v>25</v>
      </c>
      <c r="G333" s="4" t="s">
        <v>25</v>
      </c>
      <c r="H333" s="4" t="s">
        <v>25</v>
      </c>
      <c r="I333" s="5">
        <v>44682</v>
      </c>
      <c r="J333" s="6">
        <v>0</v>
      </c>
      <c r="K333" s="6">
        <v>0</v>
      </c>
      <c r="L333" s="6">
        <v>23.457000000000001</v>
      </c>
      <c r="M333" s="6">
        <v>23.457000000000001</v>
      </c>
      <c r="N333" s="6">
        <v>23.457000000000001</v>
      </c>
      <c r="O333" s="6">
        <v>23.457000000000001</v>
      </c>
      <c r="P333" s="6">
        <v>74</v>
      </c>
      <c r="Q333" s="4" t="s">
        <v>26</v>
      </c>
      <c r="R333" s="4">
        <v>0</v>
      </c>
      <c r="S333" s="6">
        <v>0</v>
      </c>
      <c r="T333" s="6">
        <v>12</v>
      </c>
      <c r="U333" s="6">
        <v>77</v>
      </c>
      <c r="V333" s="6">
        <f>IF(ISERROR(VLOOKUP($S$333,'TAR FIN'!$A$1:$O$88,15,0)),0,VLOOKUP($S$333,'TAR FIN'!$A$1:$O$88,15,0))</f>
        <v>0</v>
      </c>
      <c r="W333" s="6">
        <f>IF(ISERROR(VLOOKUP($T$333,'TAR FIN'!$A$1:$O$88,15,0)),0,VLOOKUP($T$333,'TAR FIN'!$A$1:$O$88,15,0))</f>
        <v>124.73</v>
      </c>
      <c r="X333" s="6">
        <f>IF(ISERROR(VLOOKUP($U$333,'TAR FIN'!$A$1:$O$88,15,0)),0,VLOOKUP($U$333,'TAR FIN'!$A$1:$O$88,15,0))</f>
        <v>88.28</v>
      </c>
      <c r="Y333" s="6"/>
      <c r="Z333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33" s="6">
        <f>('TE BE'!$AB$11+'TE BF'!$AB$11+'TE CVA'!$AB$11)*(1-CUSTOS!$M$34)</f>
        <v>88.173573448407112</v>
      </c>
      <c r="AB333" s="6">
        <f>$K$333*$V$333</f>
        <v>0</v>
      </c>
      <c r="AC333" s="6">
        <f>$M$333*$W$333</f>
        <v>2925.7916100000002</v>
      </c>
      <c r="AD333" s="6">
        <f>$O$333*$X$333</f>
        <v>2070.7839600000002</v>
      </c>
      <c r="AE333" s="6">
        <f>$K$333*$Y$333</f>
        <v>0</v>
      </c>
      <c r="AF333" s="6">
        <f ca="1">$M$333*$Z$333</f>
        <v>3172.8944262624927</v>
      </c>
      <c r="AG333" s="6">
        <f>$O$333*$AA$333</f>
        <v>2068.2875123792855</v>
      </c>
    </row>
    <row r="334" spans="1:33" ht="11.25" customHeight="1" x14ac:dyDescent="0.25">
      <c r="A334" s="4" t="s">
        <v>28</v>
      </c>
      <c r="B334" s="4" t="s">
        <v>22</v>
      </c>
      <c r="C334" s="4" t="s">
        <v>23</v>
      </c>
      <c r="D334" s="4" t="s">
        <v>24</v>
      </c>
      <c r="E334" s="4" t="s">
        <v>29</v>
      </c>
      <c r="F334" s="4" t="s">
        <v>25</v>
      </c>
      <c r="G334" s="4" t="s">
        <v>25</v>
      </c>
      <c r="H334" s="4" t="s">
        <v>25</v>
      </c>
      <c r="I334" s="5">
        <v>44682</v>
      </c>
      <c r="J334" s="6">
        <v>0</v>
      </c>
      <c r="K334" s="6">
        <v>0</v>
      </c>
      <c r="L334" s="6">
        <v>0.19900000000000001</v>
      </c>
      <c r="M334" s="6">
        <v>-1.2238500000000001</v>
      </c>
      <c r="N334" s="6">
        <v>0.19900000000000001</v>
      </c>
      <c r="O334" s="6">
        <v>-1.2238500000000001</v>
      </c>
      <c r="P334" s="6">
        <v>0</v>
      </c>
      <c r="Q334" s="4" t="s">
        <v>26</v>
      </c>
      <c r="R334" s="4">
        <v>0</v>
      </c>
      <c r="S334" s="6">
        <v>0</v>
      </c>
      <c r="T334" s="6">
        <v>12</v>
      </c>
      <c r="U334" s="6">
        <v>77</v>
      </c>
      <c r="V334" s="6">
        <f>IF(ISERROR(VLOOKUP($S$334,'TAR FIN'!$A$1:$O$88,15,0)),0,VLOOKUP($S$334,'TAR FIN'!$A$1:$O$88,15,0))</f>
        <v>0</v>
      </c>
      <c r="W334" s="6">
        <f>IF(ISERROR(VLOOKUP($T$334,'TAR FIN'!$A$1:$O$88,15,0)),0,VLOOKUP($T$334,'TAR FIN'!$A$1:$O$88,15,0))</f>
        <v>124.73</v>
      </c>
      <c r="X334" s="6">
        <f>IF(ISERROR(VLOOKUP($U$334,'TAR FIN'!$A$1:$O$88,15,0)),0,VLOOKUP($U$334,'TAR FIN'!$A$1:$O$88,15,0))</f>
        <v>88.28</v>
      </c>
      <c r="Y334" s="6"/>
      <c r="Z334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34" s="6">
        <f>('TE BE'!$AB$11+'TE BF'!$AB$11+'TE CVA'!$AB$11)*(1-CUSTOS!$M$34)</f>
        <v>88.173573448407112</v>
      </c>
      <c r="AB334" s="6">
        <f>$K$334*$V$334</f>
        <v>0</v>
      </c>
      <c r="AC334" s="6">
        <f>$M$334*$W$334</f>
        <v>-152.65081050000001</v>
      </c>
      <c r="AD334" s="6">
        <f>$O$334*$X$334</f>
        <v>-108.04147800000001</v>
      </c>
      <c r="AE334" s="6">
        <f>$K$334*$Y$334</f>
        <v>0</v>
      </c>
      <c r="AF334" s="6">
        <f ca="1">$M$334*$Z$334</f>
        <v>-165.54320005036243</v>
      </c>
      <c r="AG334" s="6">
        <f>$O$334*$AA$334</f>
        <v>-107.91122786483305</v>
      </c>
    </row>
    <row r="335" spans="1:33" ht="11.25" customHeight="1" x14ac:dyDescent="0.25">
      <c r="A335" s="4" t="s">
        <v>21</v>
      </c>
      <c r="B335" s="4" t="s">
        <v>22</v>
      </c>
      <c r="C335" s="4" t="s">
        <v>23</v>
      </c>
      <c r="D335" s="4" t="s">
        <v>24</v>
      </c>
      <c r="E335" s="4" t="s">
        <v>29</v>
      </c>
      <c r="F335" s="4" t="s">
        <v>25</v>
      </c>
      <c r="G335" s="4" t="s">
        <v>25</v>
      </c>
      <c r="H335" s="4" t="s">
        <v>25</v>
      </c>
      <c r="I335" s="5">
        <v>44713</v>
      </c>
      <c r="J335" s="6">
        <v>0</v>
      </c>
      <c r="K335" s="6">
        <v>0</v>
      </c>
      <c r="L335" s="6">
        <v>24.93</v>
      </c>
      <c r="M335" s="6">
        <v>24.93</v>
      </c>
      <c r="N335" s="6">
        <v>24.93</v>
      </c>
      <c r="O335" s="6">
        <v>24.93</v>
      </c>
      <c r="P335" s="6">
        <v>96</v>
      </c>
      <c r="Q335" s="4" t="s">
        <v>26</v>
      </c>
      <c r="R335" s="4">
        <v>0</v>
      </c>
      <c r="S335" s="6">
        <v>0</v>
      </c>
      <c r="T335" s="6">
        <v>12</v>
      </c>
      <c r="U335" s="6">
        <v>77</v>
      </c>
      <c r="V335" s="6">
        <f>IF(ISERROR(VLOOKUP($S$335,'TAR FIN'!$A$1:$O$88,15,0)),0,VLOOKUP($S$335,'TAR FIN'!$A$1:$O$88,15,0))</f>
        <v>0</v>
      </c>
      <c r="W335" s="6">
        <f>IF(ISERROR(VLOOKUP($T$335,'TAR FIN'!$A$1:$O$88,15,0)),0,VLOOKUP($T$335,'TAR FIN'!$A$1:$O$88,15,0))</f>
        <v>124.73</v>
      </c>
      <c r="X335" s="6">
        <f>IF(ISERROR(VLOOKUP($U$335,'TAR FIN'!$A$1:$O$88,15,0)),0,VLOOKUP($U$335,'TAR FIN'!$A$1:$O$88,15,0))</f>
        <v>88.28</v>
      </c>
      <c r="Y335" s="6"/>
      <c r="Z335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35" s="6">
        <f>('TE BE'!$AB$11+'TE BF'!$AB$11+'TE CVA'!$AB$11)*(1-CUSTOS!$M$34)</f>
        <v>88.173573448407112</v>
      </c>
      <c r="AB335" s="6">
        <f>$K$335*$V$335</f>
        <v>0</v>
      </c>
      <c r="AC335" s="6">
        <f>$M$335*$W$335</f>
        <v>3109.5189</v>
      </c>
      <c r="AD335" s="6">
        <f>$O$335*$X$335</f>
        <v>2200.8204000000001</v>
      </c>
      <c r="AE335" s="6">
        <f>$K$335*$Y$335</f>
        <v>0</v>
      </c>
      <c r="AF335" s="6">
        <f ca="1">$M$335*$Z$335</f>
        <v>3372.1387239085961</v>
      </c>
      <c r="AG335" s="6">
        <f>$O$335*$AA$335</f>
        <v>2198.1671860687893</v>
      </c>
    </row>
    <row r="336" spans="1:33" ht="11.25" customHeight="1" x14ac:dyDescent="0.25">
      <c r="A336" s="4" t="s">
        <v>28</v>
      </c>
      <c r="B336" s="4" t="s">
        <v>22</v>
      </c>
      <c r="C336" s="4" t="s">
        <v>23</v>
      </c>
      <c r="D336" s="4" t="s">
        <v>24</v>
      </c>
      <c r="E336" s="4" t="s">
        <v>29</v>
      </c>
      <c r="F336" s="4" t="s">
        <v>25</v>
      </c>
      <c r="G336" s="4" t="s">
        <v>25</v>
      </c>
      <c r="H336" s="4" t="s">
        <v>25</v>
      </c>
      <c r="I336" s="5">
        <v>44713</v>
      </c>
      <c r="J336" s="6">
        <v>0</v>
      </c>
      <c r="K336" s="6">
        <v>0</v>
      </c>
      <c r="L336" s="6">
        <v>0.26300000000000001</v>
      </c>
      <c r="M336" s="6">
        <v>-1.6174500000000001</v>
      </c>
      <c r="N336" s="6">
        <v>0.26300000000000001</v>
      </c>
      <c r="O336" s="6">
        <v>-1.6174500000000001</v>
      </c>
      <c r="P336" s="6">
        <v>0</v>
      </c>
      <c r="Q336" s="4" t="s">
        <v>26</v>
      </c>
      <c r="R336" s="4">
        <v>0</v>
      </c>
      <c r="S336" s="6">
        <v>0</v>
      </c>
      <c r="T336" s="6">
        <v>12</v>
      </c>
      <c r="U336" s="6">
        <v>77</v>
      </c>
      <c r="V336" s="6">
        <f>IF(ISERROR(VLOOKUP($S$336,'TAR FIN'!$A$1:$O$88,15,0)),0,VLOOKUP($S$336,'TAR FIN'!$A$1:$O$88,15,0))</f>
        <v>0</v>
      </c>
      <c r="W336" s="6">
        <f>IF(ISERROR(VLOOKUP($T$336,'TAR FIN'!$A$1:$O$88,15,0)),0,VLOOKUP($T$336,'TAR FIN'!$A$1:$O$88,15,0))</f>
        <v>124.73</v>
      </c>
      <c r="X336" s="6">
        <f>IF(ISERROR(VLOOKUP($U$336,'TAR FIN'!$A$1:$O$88,15,0)),0,VLOOKUP($U$336,'TAR FIN'!$A$1:$O$88,15,0))</f>
        <v>88.28</v>
      </c>
      <c r="Y336" s="6"/>
      <c r="Z336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336" s="6">
        <f>('TE BE'!$AB$11+'TE BF'!$AB$11+'TE CVA'!$AB$11)*(1-CUSTOS!$M$34)</f>
        <v>88.173573448407112</v>
      </c>
      <c r="AB336" s="6">
        <f>$K$336*$V$336</f>
        <v>0</v>
      </c>
      <c r="AC336" s="6">
        <f>$M$336*$W$336</f>
        <v>-201.7445385</v>
      </c>
      <c r="AD336" s="6">
        <f>$O$336*$X$336</f>
        <v>-142.78848600000001</v>
      </c>
      <c r="AE336" s="6">
        <f>$K$336*$Y$336</f>
        <v>0</v>
      </c>
      <c r="AF336" s="6">
        <f ca="1">$M$336*$Z$336</f>
        <v>-218.7832241871624</v>
      </c>
      <c r="AG336" s="6">
        <f>$O$336*$AA$336</f>
        <v>-142.6163463741261</v>
      </c>
    </row>
    <row r="337" spans="1:33" ht="11.25" customHeight="1" x14ac:dyDescent="0.25">
      <c r="A337" s="4" t="s">
        <v>21</v>
      </c>
      <c r="B337" s="4" t="s">
        <v>22</v>
      </c>
      <c r="C337" s="4" t="s">
        <v>23</v>
      </c>
      <c r="D337" s="4" t="s">
        <v>24</v>
      </c>
      <c r="E337" s="4" t="s">
        <v>30</v>
      </c>
      <c r="F337" s="4" t="s">
        <v>25</v>
      </c>
      <c r="G337" s="4" t="s">
        <v>25</v>
      </c>
      <c r="H337" s="4" t="s">
        <v>25</v>
      </c>
      <c r="I337" s="5">
        <v>44378</v>
      </c>
      <c r="J337" s="6">
        <v>0</v>
      </c>
      <c r="K337" s="6">
        <v>0</v>
      </c>
      <c r="L337" s="6">
        <v>13.337999999999999</v>
      </c>
      <c r="M337" s="6">
        <v>13.337999999999999</v>
      </c>
      <c r="N337" s="6">
        <v>13.337999999999999</v>
      </c>
      <c r="O337" s="6">
        <v>13.337999999999999</v>
      </c>
      <c r="P337" s="6">
        <v>110</v>
      </c>
      <c r="Q337" s="4" t="s">
        <v>26</v>
      </c>
      <c r="R337" s="4">
        <v>0</v>
      </c>
      <c r="S337" s="6">
        <v>0</v>
      </c>
      <c r="T337" s="6">
        <v>55</v>
      </c>
      <c r="U337" s="6">
        <v>50</v>
      </c>
      <c r="V337" s="6">
        <f>IF(ISERROR(VLOOKUP($S$337,'TAR FIN'!$A$1:$O$88,15,0)),0,VLOOKUP($S$337,'TAR FIN'!$A$1:$O$88,15,0))</f>
        <v>0</v>
      </c>
      <c r="W337" s="6">
        <f>IF(ISERROR(VLOOKUP($T$337,'TAR FIN'!$A$1:$O$88,15,0)),0,VLOOKUP($T$337,'TAR FIN'!$A$1:$O$88,15,0))</f>
        <v>213.82</v>
      </c>
      <c r="X337" s="6">
        <f>IF(ISERROR(VLOOKUP($U$337,'TAR FIN'!$A$1:$O$88,15,0)),0,VLOOKUP($U$337,'TAR FIN'!$A$1:$O$88,15,0))</f>
        <v>151.33000000000001</v>
      </c>
      <c r="Y337" s="6"/>
      <c r="Z337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37" s="6">
        <f>('TE BE'!$AB$12+'TE BF'!$AB$12+'TE CVA'!$AB$12)*(1-CUSTOS!$M$35)</f>
        <v>151.15469734012649</v>
      </c>
      <c r="AB337" s="6">
        <f>$K$337*$V$337</f>
        <v>0</v>
      </c>
      <c r="AC337" s="6">
        <f>$M$337*$W$337</f>
        <v>2851.9311599999996</v>
      </c>
      <c r="AD337" s="6">
        <f>$O$337*$X$337</f>
        <v>2018.4395400000001</v>
      </c>
      <c r="AE337" s="6">
        <f>$K$337*$Y$337</f>
        <v>0</v>
      </c>
      <c r="AF337" s="6">
        <f ca="1">$M$337*$Z$337</f>
        <v>3092.8372906647996</v>
      </c>
      <c r="AG337" s="6">
        <f>$O$337*$AA$337</f>
        <v>2016.101353122607</v>
      </c>
    </row>
    <row r="338" spans="1:33" ht="11.25" customHeight="1" x14ac:dyDescent="0.25">
      <c r="A338" s="4" t="s">
        <v>28</v>
      </c>
      <c r="B338" s="4" t="s">
        <v>22</v>
      </c>
      <c r="C338" s="4" t="s">
        <v>23</v>
      </c>
      <c r="D338" s="4" t="s">
        <v>24</v>
      </c>
      <c r="E338" s="4" t="s">
        <v>30</v>
      </c>
      <c r="F338" s="4" t="s">
        <v>25</v>
      </c>
      <c r="G338" s="4" t="s">
        <v>25</v>
      </c>
      <c r="H338" s="4" t="s">
        <v>25</v>
      </c>
      <c r="I338" s="5">
        <v>44378</v>
      </c>
      <c r="J338" s="6">
        <v>0</v>
      </c>
      <c r="K338" s="6">
        <v>0</v>
      </c>
      <c r="L338" s="6">
        <v>4.2999999999999997E-2</v>
      </c>
      <c r="M338" s="6">
        <v>-8.6E-3</v>
      </c>
      <c r="N338" s="6">
        <v>4.2999999999999997E-2</v>
      </c>
      <c r="O338" s="6">
        <v>-8.6E-3</v>
      </c>
      <c r="P338" s="6">
        <v>0</v>
      </c>
      <c r="Q338" s="4" t="s">
        <v>26</v>
      </c>
      <c r="R338" s="4">
        <v>0</v>
      </c>
      <c r="S338" s="6">
        <v>0</v>
      </c>
      <c r="T338" s="6">
        <v>55</v>
      </c>
      <c r="U338" s="6">
        <v>50</v>
      </c>
      <c r="V338" s="6">
        <f>IF(ISERROR(VLOOKUP($S$338,'TAR FIN'!$A$1:$O$88,15,0)),0,VLOOKUP($S$338,'TAR FIN'!$A$1:$O$88,15,0))</f>
        <v>0</v>
      </c>
      <c r="W338" s="6">
        <f>IF(ISERROR(VLOOKUP($T$338,'TAR FIN'!$A$1:$O$88,15,0)),0,VLOOKUP($T$338,'TAR FIN'!$A$1:$O$88,15,0))</f>
        <v>213.82</v>
      </c>
      <c r="X338" s="6">
        <f>IF(ISERROR(VLOOKUP($U$338,'TAR FIN'!$A$1:$O$88,15,0)),0,VLOOKUP($U$338,'TAR FIN'!$A$1:$O$88,15,0))</f>
        <v>151.33000000000001</v>
      </c>
      <c r="Y338" s="6"/>
      <c r="Z338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38" s="6">
        <f>('TE BE'!$AB$12+'TE BF'!$AB$12+'TE CVA'!$AB$12)*(1-CUSTOS!$M$35)</f>
        <v>151.15469734012649</v>
      </c>
      <c r="AB338" s="6">
        <f>$K$338*$V$338</f>
        <v>0</v>
      </c>
      <c r="AC338" s="6">
        <f>$M$338*$W$338</f>
        <v>-1.8388519999999999</v>
      </c>
      <c r="AD338" s="6">
        <f>$O$338*$X$338</f>
        <v>-1.3014380000000001</v>
      </c>
      <c r="AE338" s="6">
        <f>$K$338*$Y$338</f>
        <v>0</v>
      </c>
      <c r="AF338" s="6">
        <f ca="1">$M$338*$Z$338</f>
        <v>-1.9941820887477344</v>
      </c>
      <c r="AG338" s="6">
        <f>$O$338*$AA$338</f>
        <v>-1.2999303971250877</v>
      </c>
    </row>
    <row r="339" spans="1:33" ht="11.25" customHeight="1" x14ac:dyDescent="0.25">
      <c r="A339" s="4" t="s">
        <v>21</v>
      </c>
      <c r="B339" s="4" t="s">
        <v>22</v>
      </c>
      <c r="C339" s="4" t="s">
        <v>23</v>
      </c>
      <c r="D339" s="4" t="s">
        <v>24</v>
      </c>
      <c r="E339" s="4" t="s">
        <v>30</v>
      </c>
      <c r="F339" s="4" t="s">
        <v>25</v>
      </c>
      <c r="G339" s="4" t="s">
        <v>25</v>
      </c>
      <c r="H339" s="4" t="s">
        <v>25</v>
      </c>
      <c r="I339" s="5">
        <v>44409</v>
      </c>
      <c r="J339" s="6">
        <v>0</v>
      </c>
      <c r="K339" s="6">
        <v>0</v>
      </c>
      <c r="L339" s="6">
        <v>14.515000000000001</v>
      </c>
      <c r="M339" s="6">
        <v>14.515000000000001</v>
      </c>
      <c r="N339" s="6">
        <v>14.515000000000001</v>
      </c>
      <c r="O339" s="6">
        <v>14.515000000000001</v>
      </c>
      <c r="P339" s="6">
        <v>113</v>
      </c>
      <c r="Q339" s="4" t="s">
        <v>26</v>
      </c>
      <c r="R339" s="4">
        <v>0</v>
      </c>
      <c r="S339" s="6">
        <v>0</v>
      </c>
      <c r="T339" s="6">
        <v>55</v>
      </c>
      <c r="U339" s="6">
        <v>50</v>
      </c>
      <c r="V339" s="6">
        <f>IF(ISERROR(VLOOKUP($S$339,'TAR FIN'!$A$1:$O$88,15,0)),0,VLOOKUP($S$339,'TAR FIN'!$A$1:$O$88,15,0))</f>
        <v>0</v>
      </c>
      <c r="W339" s="6">
        <f>IF(ISERROR(VLOOKUP($T$339,'TAR FIN'!$A$1:$O$88,15,0)),0,VLOOKUP($T$339,'TAR FIN'!$A$1:$O$88,15,0))</f>
        <v>213.82</v>
      </c>
      <c r="X339" s="6">
        <f>IF(ISERROR(VLOOKUP($U$339,'TAR FIN'!$A$1:$O$88,15,0)),0,VLOOKUP($U$339,'TAR FIN'!$A$1:$O$88,15,0))</f>
        <v>151.33000000000001</v>
      </c>
      <c r="Y339" s="6"/>
      <c r="Z339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39" s="6">
        <f>('TE BE'!$AB$12+'TE BF'!$AB$12+'TE CVA'!$AB$12)*(1-CUSTOS!$M$35)</f>
        <v>151.15469734012649</v>
      </c>
      <c r="AB339" s="6">
        <f>$K$339*$V$339</f>
        <v>0</v>
      </c>
      <c r="AC339" s="6">
        <f>$M$339*$W$339</f>
        <v>3103.5972999999999</v>
      </c>
      <c r="AD339" s="6">
        <f>$O$339*$X$339</f>
        <v>2196.5549500000002</v>
      </c>
      <c r="AE339" s="6">
        <f>$K$339*$Y$339</f>
        <v>0</v>
      </c>
      <c r="AF339" s="6">
        <f ca="1">$M$339*$Z$339</f>
        <v>3365.7619788573679</v>
      </c>
      <c r="AG339" s="6">
        <f>$O$339*$AA$339</f>
        <v>2194.0104318919362</v>
      </c>
    </row>
    <row r="340" spans="1:33" ht="11.25" customHeight="1" x14ac:dyDescent="0.25">
      <c r="A340" s="4" t="s">
        <v>21</v>
      </c>
      <c r="B340" s="4" t="s">
        <v>22</v>
      </c>
      <c r="C340" s="4" t="s">
        <v>23</v>
      </c>
      <c r="D340" s="4" t="s">
        <v>24</v>
      </c>
      <c r="E340" s="4" t="s">
        <v>30</v>
      </c>
      <c r="F340" s="4" t="s">
        <v>25</v>
      </c>
      <c r="G340" s="4" t="s">
        <v>25</v>
      </c>
      <c r="H340" s="4" t="s">
        <v>25</v>
      </c>
      <c r="I340" s="5">
        <v>44440</v>
      </c>
      <c r="J340" s="6">
        <v>0</v>
      </c>
      <c r="K340" s="6">
        <v>0</v>
      </c>
      <c r="L340" s="6">
        <v>15.045</v>
      </c>
      <c r="M340" s="6">
        <v>15.045</v>
      </c>
      <c r="N340" s="6">
        <v>15.045</v>
      </c>
      <c r="O340" s="6">
        <v>15.045</v>
      </c>
      <c r="P340" s="6">
        <v>102</v>
      </c>
      <c r="Q340" s="4" t="s">
        <v>26</v>
      </c>
      <c r="R340" s="4">
        <v>0</v>
      </c>
      <c r="S340" s="6">
        <v>0</v>
      </c>
      <c r="T340" s="6">
        <v>55</v>
      </c>
      <c r="U340" s="6">
        <v>50</v>
      </c>
      <c r="V340" s="6">
        <f>IF(ISERROR(VLOOKUP($S$340,'TAR FIN'!$A$1:$O$88,15,0)),0,VLOOKUP($S$340,'TAR FIN'!$A$1:$O$88,15,0))</f>
        <v>0</v>
      </c>
      <c r="W340" s="6">
        <f>IF(ISERROR(VLOOKUP($T$340,'TAR FIN'!$A$1:$O$88,15,0)),0,VLOOKUP($T$340,'TAR FIN'!$A$1:$O$88,15,0))</f>
        <v>213.82</v>
      </c>
      <c r="X340" s="6">
        <f>IF(ISERROR(VLOOKUP($U$340,'TAR FIN'!$A$1:$O$88,15,0)),0,VLOOKUP($U$340,'TAR FIN'!$A$1:$O$88,15,0))</f>
        <v>151.33000000000001</v>
      </c>
      <c r="Y340" s="6"/>
      <c r="Z340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0" s="6">
        <f>('TE BE'!$AB$12+'TE BF'!$AB$12+'TE CVA'!$AB$12)*(1-CUSTOS!$M$35)</f>
        <v>151.15469734012649</v>
      </c>
      <c r="AB340" s="6">
        <f>$K$340*$V$340</f>
        <v>0</v>
      </c>
      <c r="AC340" s="6">
        <f>$M$340*$W$340</f>
        <v>3216.9218999999998</v>
      </c>
      <c r="AD340" s="6">
        <f>$O$340*$X$340</f>
        <v>2276.7598500000004</v>
      </c>
      <c r="AE340" s="6">
        <f>$K$340*$Y$340</f>
        <v>0</v>
      </c>
      <c r="AF340" s="6">
        <f ca="1">$M$340*$Z$340</f>
        <v>3488.6592471174026</v>
      </c>
      <c r="AG340" s="6">
        <f>$O$340*$AA$340</f>
        <v>2274.1224214822032</v>
      </c>
    </row>
    <row r="341" spans="1:33" ht="11.25" customHeight="1" x14ac:dyDescent="0.25">
      <c r="A341" s="4" t="s">
        <v>28</v>
      </c>
      <c r="B341" s="4" t="s">
        <v>22</v>
      </c>
      <c r="C341" s="4" t="s">
        <v>23</v>
      </c>
      <c r="D341" s="4" t="s">
        <v>24</v>
      </c>
      <c r="E341" s="4" t="s">
        <v>30</v>
      </c>
      <c r="F341" s="4" t="s">
        <v>25</v>
      </c>
      <c r="G341" s="4" t="s">
        <v>25</v>
      </c>
      <c r="H341" s="4" t="s">
        <v>25</v>
      </c>
      <c r="I341" s="5">
        <v>44440</v>
      </c>
      <c r="J341" s="6">
        <v>0</v>
      </c>
      <c r="K341" s="6">
        <v>0</v>
      </c>
      <c r="L341" s="6">
        <v>1.0999999999999999E-2</v>
      </c>
      <c r="M341" s="6">
        <v>-6.6E-3</v>
      </c>
      <c r="N341" s="6">
        <v>1.0999999999999999E-2</v>
      </c>
      <c r="O341" s="6">
        <v>-6.6E-3</v>
      </c>
      <c r="P341" s="6">
        <v>0</v>
      </c>
      <c r="Q341" s="4" t="s">
        <v>26</v>
      </c>
      <c r="R341" s="4">
        <v>0</v>
      </c>
      <c r="S341" s="6">
        <v>0</v>
      </c>
      <c r="T341" s="6">
        <v>55</v>
      </c>
      <c r="U341" s="6">
        <v>50</v>
      </c>
      <c r="V341" s="6">
        <f>IF(ISERROR(VLOOKUP($S$341,'TAR FIN'!$A$1:$O$88,15,0)),0,VLOOKUP($S$341,'TAR FIN'!$A$1:$O$88,15,0))</f>
        <v>0</v>
      </c>
      <c r="W341" s="6">
        <f>IF(ISERROR(VLOOKUP($T$341,'TAR FIN'!$A$1:$O$88,15,0)),0,VLOOKUP($T$341,'TAR FIN'!$A$1:$O$88,15,0))</f>
        <v>213.82</v>
      </c>
      <c r="X341" s="6">
        <f>IF(ISERROR(VLOOKUP($U$341,'TAR FIN'!$A$1:$O$88,15,0)),0,VLOOKUP($U$341,'TAR FIN'!$A$1:$O$88,15,0))</f>
        <v>151.33000000000001</v>
      </c>
      <c r="Y341" s="6"/>
      <c r="Z341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1" s="6">
        <f>('TE BE'!$AB$12+'TE BF'!$AB$12+'TE CVA'!$AB$12)*(1-CUSTOS!$M$35)</f>
        <v>151.15469734012649</v>
      </c>
      <c r="AB341" s="6">
        <f>$K$341*$V$341</f>
        <v>0</v>
      </c>
      <c r="AC341" s="6">
        <f>$M$341*$W$341</f>
        <v>-1.4112119999999999</v>
      </c>
      <c r="AD341" s="6">
        <f>$O$341*$X$341</f>
        <v>-0.99877800000000005</v>
      </c>
      <c r="AE341" s="6">
        <f>$K$341*$Y$341</f>
        <v>0</v>
      </c>
      <c r="AF341" s="6">
        <f ca="1">$M$341*$Z$341</f>
        <v>-1.5304188122947728</v>
      </c>
      <c r="AG341" s="6">
        <f>$O$341*$AA$341</f>
        <v>-0.99762100244483487</v>
      </c>
    </row>
    <row r="342" spans="1:33" ht="11.25" customHeight="1" x14ac:dyDescent="0.25">
      <c r="A342" s="4" t="s">
        <v>21</v>
      </c>
      <c r="B342" s="4" t="s">
        <v>22</v>
      </c>
      <c r="C342" s="4" t="s">
        <v>23</v>
      </c>
      <c r="D342" s="4" t="s">
        <v>24</v>
      </c>
      <c r="E342" s="4" t="s">
        <v>30</v>
      </c>
      <c r="F342" s="4" t="s">
        <v>25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15.439</v>
      </c>
      <c r="M342" s="6">
        <v>15.439</v>
      </c>
      <c r="N342" s="6">
        <v>15.439</v>
      </c>
      <c r="O342" s="6">
        <v>15.439</v>
      </c>
      <c r="P342" s="6">
        <v>108</v>
      </c>
      <c r="Q342" s="4" t="s">
        <v>26</v>
      </c>
      <c r="R342" s="4">
        <v>0</v>
      </c>
      <c r="S342" s="6">
        <v>0</v>
      </c>
      <c r="T342" s="6">
        <v>55</v>
      </c>
      <c r="U342" s="6">
        <v>50</v>
      </c>
      <c r="V342" s="6">
        <f>IF(ISERROR(VLOOKUP($S$342,'TAR FIN'!$A$1:$O$88,15,0)),0,VLOOKUP($S$342,'TAR FIN'!$A$1:$O$88,15,0))</f>
        <v>0</v>
      </c>
      <c r="W342" s="6">
        <f>IF(ISERROR(VLOOKUP($T$342,'TAR FIN'!$A$1:$O$88,15,0)),0,VLOOKUP($T$342,'TAR FIN'!$A$1:$O$88,15,0))</f>
        <v>213.82</v>
      </c>
      <c r="X342" s="6">
        <f>IF(ISERROR(VLOOKUP($U$342,'TAR FIN'!$A$1:$O$88,15,0)),0,VLOOKUP($U$342,'TAR FIN'!$A$1:$O$88,15,0))</f>
        <v>151.33000000000001</v>
      </c>
      <c r="Y342" s="6"/>
      <c r="Z342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2" s="6">
        <f>('TE BE'!$AB$12+'TE BF'!$AB$12+'TE CVA'!$AB$12)*(1-CUSTOS!$M$35)</f>
        <v>151.15469734012649</v>
      </c>
      <c r="AB342" s="6">
        <f>$K$342*$V$342</f>
        <v>0</v>
      </c>
      <c r="AC342" s="6">
        <f>$M$342*$W$342</f>
        <v>3301.16698</v>
      </c>
      <c r="AD342" s="6">
        <f>$O$342*$X$342</f>
        <v>2336.3838700000001</v>
      </c>
      <c r="AE342" s="6">
        <f>$K$342*$Y$342</f>
        <v>0</v>
      </c>
      <c r="AF342" s="6">
        <f ca="1">$M$342*$Z$342</f>
        <v>3580.0206125786362</v>
      </c>
      <c r="AG342" s="6">
        <f>$O$342*$AA$342</f>
        <v>2333.6773722342127</v>
      </c>
    </row>
    <row r="343" spans="1:33" ht="11.25" customHeight="1" x14ac:dyDescent="0.25">
      <c r="A343" s="4" t="s">
        <v>21</v>
      </c>
      <c r="B343" s="4" t="s">
        <v>22</v>
      </c>
      <c r="C343" s="4" t="s">
        <v>23</v>
      </c>
      <c r="D343" s="4" t="s">
        <v>24</v>
      </c>
      <c r="E343" s="4" t="s">
        <v>30</v>
      </c>
      <c r="F343" s="4" t="s">
        <v>25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16.474</v>
      </c>
      <c r="M343" s="6">
        <v>16.474</v>
      </c>
      <c r="N343" s="6">
        <v>16.474</v>
      </c>
      <c r="O343" s="6">
        <v>16.474</v>
      </c>
      <c r="P343" s="6">
        <v>97</v>
      </c>
      <c r="Q343" s="4" t="s">
        <v>26</v>
      </c>
      <c r="R343" s="4">
        <v>0</v>
      </c>
      <c r="S343" s="6">
        <v>0</v>
      </c>
      <c r="T343" s="6">
        <v>55</v>
      </c>
      <c r="U343" s="6">
        <v>50</v>
      </c>
      <c r="V343" s="6">
        <f>IF(ISERROR(VLOOKUP($S$343,'TAR FIN'!$A$1:$O$88,15,0)),0,VLOOKUP($S$343,'TAR FIN'!$A$1:$O$88,15,0))</f>
        <v>0</v>
      </c>
      <c r="W343" s="6">
        <f>IF(ISERROR(VLOOKUP($T$343,'TAR FIN'!$A$1:$O$88,15,0)),0,VLOOKUP($T$343,'TAR FIN'!$A$1:$O$88,15,0))</f>
        <v>213.82</v>
      </c>
      <c r="X343" s="6">
        <f>IF(ISERROR(VLOOKUP($U$343,'TAR FIN'!$A$1:$O$88,15,0)),0,VLOOKUP($U$343,'TAR FIN'!$A$1:$O$88,15,0))</f>
        <v>151.33000000000001</v>
      </c>
      <c r="Y343" s="6"/>
      <c r="Z343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3" s="6">
        <f>('TE BE'!$AB$12+'TE BF'!$AB$12+'TE CVA'!$AB$12)*(1-CUSTOS!$M$35)</f>
        <v>151.15469734012649</v>
      </c>
      <c r="AB343" s="6">
        <f>$K$343*$V$343</f>
        <v>0</v>
      </c>
      <c r="AC343" s="6">
        <f>$M$343*$W$343</f>
        <v>3522.4706799999999</v>
      </c>
      <c r="AD343" s="6">
        <f>$O$343*$X$343</f>
        <v>2493.0104200000001</v>
      </c>
      <c r="AE343" s="6">
        <f>$K$343*$Y$343</f>
        <v>0</v>
      </c>
      <c r="AF343" s="6">
        <f ca="1">$M$343*$Z$343</f>
        <v>3820.0181081430437</v>
      </c>
      <c r="AG343" s="6">
        <f>$O$343*$AA$343</f>
        <v>2490.1224839812439</v>
      </c>
    </row>
    <row r="344" spans="1:33" ht="11.25" customHeight="1" x14ac:dyDescent="0.25">
      <c r="A344" s="4" t="s">
        <v>28</v>
      </c>
      <c r="B344" s="4" t="s">
        <v>22</v>
      </c>
      <c r="C344" s="4" t="s">
        <v>23</v>
      </c>
      <c r="D344" s="4" t="s">
        <v>24</v>
      </c>
      <c r="E344" s="4" t="s">
        <v>30</v>
      </c>
      <c r="F344" s="4" t="s">
        <v>25</v>
      </c>
      <c r="G344" s="4" t="s">
        <v>25</v>
      </c>
      <c r="H344" s="4" t="s">
        <v>25</v>
      </c>
      <c r="I344" s="5">
        <v>44501</v>
      </c>
      <c r="J344" s="6">
        <v>0</v>
      </c>
      <c r="K344" s="6">
        <v>0</v>
      </c>
      <c r="L344" s="6">
        <v>1.2E-2</v>
      </c>
      <c r="M344" s="6">
        <v>-7.1999999999999998E-3</v>
      </c>
      <c r="N344" s="6">
        <v>1.2E-2</v>
      </c>
      <c r="O344" s="6">
        <v>-7.1999999999999998E-3</v>
      </c>
      <c r="P344" s="6">
        <v>0</v>
      </c>
      <c r="Q344" s="4" t="s">
        <v>26</v>
      </c>
      <c r="R344" s="4">
        <v>0</v>
      </c>
      <c r="S344" s="6">
        <v>0</v>
      </c>
      <c r="T344" s="6">
        <v>55</v>
      </c>
      <c r="U344" s="6">
        <v>50</v>
      </c>
      <c r="V344" s="6">
        <f>IF(ISERROR(VLOOKUP($S$344,'TAR FIN'!$A$1:$O$88,15,0)),0,VLOOKUP($S$344,'TAR FIN'!$A$1:$O$88,15,0))</f>
        <v>0</v>
      </c>
      <c r="W344" s="6">
        <f>IF(ISERROR(VLOOKUP($T$344,'TAR FIN'!$A$1:$O$88,15,0)),0,VLOOKUP($T$344,'TAR FIN'!$A$1:$O$88,15,0))</f>
        <v>213.82</v>
      </c>
      <c r="X344" s="6">
        <f>IF(ISERROR(VLOOKUP($U$344,'TAR FIN'!$A$1:$O$88,15,0)),0,VLOOKUP($U$344,'TAR FIN'!$A$1:$O$88,15,0))</f>
        <v>151.33000000000001</v>
      </c>
      <c r="Y344" s="6"/>
      <c r="Z344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4" s="6">
        <f>('TE BE'!$AB$12+'TE BF'!$AB$12+'TE CVA'!$AB$12)*(1-CUSTOS!$M$35)</f>
        <v>151.15469734012649</v>
      </c>
      <c r="AB344" s="6">
        <f>$K$344*$V$344</f>
        <v>0</v>
      </c>
      <c r="AC344" s="6">
        <f>$M$344*$W$344</f>
        <v>-1.539504</v>
      </c>
      <c r="AD344" s="6">
        <f>$O$344*$X$344</f>
        <v>-1.0895760000000001</v>
      </c>
      <c r="AE344" s="6">
        <f>$K$344*$Y$344</f>
        <v>0</v>
      </c>
      <c r="AF344" s="6">
        <f ca="1">$M$344*$Z$344</f>
        <v>-1.6695477952306612</v>
      </c>
      <c r="AG344" s="6">
        <f>$O$344*$AA$344</f>
        <v>-1.0883138208489107</v>
      </c>
    </row>
    <row r="345" spans="1:33" ht="11.25" customHeight="1" x14ac:dyDescent="0.25">
      <c r="A345" s="4" t="s">
        <v>21</v>
      </c>
      <c r="B345" s="4" t="s">
        <v>22</v>
      </c>
      <c r="C345" s="4" t="s">
        <v>23</v>
      </c>
      <c r="D345" s="4" t="s">
        <v>24</v>
      </c>
      <c r="E345" s="4" t="s">
        <v>30</v>
      </c>
      <c r="F345" s="4" t="s">
        <v>25</v>
      </c>
      <c r="G345" s="4" t="s">
        <v>25</v>
      </c>
      <c r="H345" s="4" t="s">
        <v>25</v>
      </c>
      <c r="I345" s="5">
        <v>44531</v>
      </c>
      <c r="J345" s="6">
        <v>0</v>
      </c>
      <c r="K345" s="6">
        <v>0</v>
      </c>
      <c r="L345" s="6">
        <v>17.369</v>
      </c>
      <c r="M345" s="6">
        <v>17.369</v>
      </c>
      <c r="N345" s="6">
        <v>17.369</v>
      </c>
      <c r="O345" s="6">
        <v>17.369</v>
      </c>
      <c r="P345" s="6">
        <v>100</v>
      </c>
      <c r="Q345" s="4" t="s">
        <v>26</v>
      </c>
      <c r="R345" s="4">
        <v>0</v>
      </c>
      <c r="S345" s="6">
        <v>0</v>
      </c>
      <c r="T345" s="6">
        <v>55</v>
      </c>
      <c r="U345" s="6">
        <v>50</v>
      </c>
      <c r="V345" s="6">
        <f>IF(ISERROR(VLOOKUP($S$345,'TAR FIN'!$A$1:$O$88,15,0)),0,VLOOKUP($S$345,'TAR FIN'!$A$1:$O$88,15,0))</f>
        <v>0</v>
      </c>
      <c r="W345" s="6">
        <f>IF(ISERROR(VLOOKUP($T$345,'TAR FIN'!$A$1:$O$88,15,0)),0,VLOOKUP($T$345,'TAR FIN'!$A$1:$O$88,15,0))</f>
        <v>213.82</v>
      </c>
      <c r="X345" s="6">
        <f>IF(ISERROR(VLOOKUP($U$345,'TAR FIN'!$A$1:$O$88,15,0)),0,VLOOKUP($U$345,'TAR FIN'!$A$1:$O$88,15,0))</f>
        <v>151.33000000000001</v>
      </c>
      <c r="Y345" s="6"/>
      <c r="Z345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5" s="6">
        <f>('TE BE'!$AB$12+'TE BF'!$AB$12+'TE CVA'!$AB$12)*(1-CUSTOS!$M$35)</f>
        <v>151.15469734012649</v>
      </c>
      <c r="AB345" s="6">
        <f>$K$345*$V$345</f>
        <v>0</v>
      </c>
      <c r="AC345" s="6">
        <f>$M$345*$W$345</f>
        <v>3713.8395799999998</v>
      </c>
      <c r="AD345" s="6">
        <f>$O$345*$X$345</f>
        <v>2628.4507700000004</v>
      </c>
      <c r="AE345" s="6">
        <f>$K$345*$Y$345</f>
        <v>0</v>
      </c>
      <c r="AF345" s="6">
        <f ca="1">$M$345*$Z$345</f>
        <v>4027.5521743557438</v>
      </c>
      <c r="AG345" s="6">
        <f>$O$345*$AA$345</f>
        <v>2625.4059381006568</v>
      </c>
    </row>
    <row r="346" spans="1:33" ht="11.25" customHeight="1" x14ac:dyDescent="0.25">
      <c r="A346" s="4" t="s">
        <v>28</v>
      </c>
      <c r="B346" s="4" t="s">
        <v>22</v>
      </c>
      <c r="C346" s="4" t="s">
        <v>23</v>
      </c>
      <c r="D346" s="4" t="s">
        <v>24</v>
      </c>
      <c r="E346" s="4" t="s">
        <v>30</v>
      </c>
      <c r="F346" s="4" t="s">
        <v>25</v>
      </c>
      <c r="G346" s="4" t="s">
        <v>25</v>
      </c>
      <c r="H346" s="4" t="s">
        <v>25</v>
      </c>
      <c r="I346" s="5">
        <v>44531</v>
      </c>
      <c r="J346" s="6">
        <v>0</v>
      </c>
      <c r="K346" s="6">
        <v>0</v>
      </c>
      <c r="L346" s="6">
        <v>0.14000000000000001</v>
      </c>
      <c r="M346" s="6">
        <v>-2.8000000000000001E-2</v>
      </c>
      <c r="N346" s="6">
        <v>0.14000000000000001</v>
      </c>
      <c r="O346" s="6">
        <v>-2.8000000000000001E-2</v>
      </c>
      <c r="P346" s="6">
        <v>0</v>
      </c>
      <c r="Q346" s="4" t="s">
        <v>26</v>
      </c>
      <c r="R346" s="4">
        <v>0</v>
      </c>
      <c r="S346" s="6">
        <v>0</v>
      </c>
      <c r="T346" s="6">
        <v>55</v>
      </c>
      <c r="U346" s="6">
        <v>50</v>
      </c>
      <c r="V346" s="6">
        <f>IF(ISERROR(VLOOKUP($S$346,'TAR FIN'!$A$1:$O$88,15,0)),0,VLOOKUP($S$346,'TAR FIN'!$A$1:$O$88,15,0))</f>
        <v>0</v>
      </c>
      <c r="W346" s="6">
        <f>IF(ISERROR(VLOOKUP($T$346,'TAR FIN'!$A$1:$O$88,15,0)),0,VLOOKUP($T$346,'TAR FIN'!$A$1:$O$88,15,0))</f>
        <v>213.82</v>
      </c>
      <c r="X346" s="6">
        <f>IF(ISERROR(VLOOKUP($U$346,'TAR FIN'!$A$1:$O$88,15,0)),0,VLOOKUP($U$346,'TAR FIN'!$A$1:$O$88,15,0))</f>
        <v>151.33000000000001</v>
      </c>
      <c r="Y346" s="6"/>
      <c r="Z346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6" s="6">
        <f>('TE BE'!$AB$12+'TE BF'!$AB$12+'TE CVA'!$AB$12)*(1-CUSTOS!$M$35)</f>
        <v>151.15469734012649</v>
      </c>
      <c r="AB346" s="6">
        <f>$K$346*$V$346</f>
        <v>0</v>
      </c>
      <c r="AC346" s="6">
        <f>$M$346*$W$346</f>
        <v>-5.9869599999999998</v>
      </c>
      <c r="AD346" s="6">
        <f>$O$346*$X$346</f>
        <v>-4.2372400000000008</v>
      </c>
      <c r="AE346" s="6">
        <f>$K$346*$Y$346</f>
        <v>0</v>
      </c>
      <c r="AF346" s="6">
        <f ca="1">$M$346*$Z$346</f>
        <v>-6.4926858703414609</v>
      </c>
      <c r="AG346" s="6">
        <f>$O$346*$AA$346</f>
        <v>-4.2323315255235414</v>
      </c>
    </row>
    <row r="347" spans="1:33" ht="11.25" customHeight="1" x14ac:dyDescent="0.25">
      <c r="A347" s="4" t="s">
        <v>21</v>
      </c>
      <c r="B347" s="4" t="s">
        <v>22</v>
      </c>
      <c r="C347" s="4" t="s">
        <v>23</v>
      </c>
      <c r="D347" s="4" t="s">
        <v>24</v>
      </c>
      <c r="E347" s="4" t="s">
        <v>30</v>
      </c>
      <c r="F347" s="4" t="s">
        <v>25</v>
      </c>
      <c r="G347" s="4" t="s">
        <v>25</v>
      </c>
      <c r="H347" s="4" t="s">
        <v>25</v>
      </c>
      <c r="I347" s="5">
        <v>44562</v>
      </c>
      <c r="J347" s="6">
        <v>0</v>
      </c>
      <c r="K347" s="6">
        <v>0</v>
      </c>
      <c r="L347" s="6">
        <v>18.405999999999999</v>
      </c>
      <c r="M347" s="6">
        <v>18.405999999999999</v>
      </c>
      <c r="N347" s="6">
        <v>18.405999999999999</v>
      </c>
      <c r="O347" s="6">
        <v>18.405999999999999</v>
      </c>
      <c r="P347" s="6">
        <v>75</v>
      </c>
      <c r="Q347" s="4" t="s">
        <v>26</v>
      </c>
      <c r="R347" s="4">
        <v>0</v>
      </c>
      <c r="S347" s="6">
        <v>0</v>
      </c>
      <c r="T347" s="6">
        <v>55</v>
      </c>
      <c r="U347" s="6">
        <v>50</v>
      </c>
      <c r="V347" s="6">
        <f>IF(ISERROR(VLOOKUP($S$347,'TAR FIN'!$A$1:$O$88,15,0)),0,VLOOKUP($S$347,'TAR FIN'!$A$1:$O$88,15,0))</f>
        <v>0</v>
      </c>
      <c r="W347" s="6">
        <f>IF(ISERROR(VLOOKUP($T$347,'TAR FIN'!$A$1:$O$88,15,0)),0,VLOOKUP($T$347,'TAR FIN'!$A$1:$O$88,15,0))</f>
        <v>213.82</v>
      </c>
      <c r="X347" s="6">
        <f>IF(ISERROR(VLOOKUP($U$347,'TAR FIN'!$A$1:$O$88,15,0)),0,VLOOKUP($U$347,'TAR FIN'!$A$1:$O$88,15,0))</f>
        <v>151.33000000000001</v>
      </c>
      <c r="Y347" s="6"/>
      <c r="Z347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7" s="6">
        <f>('TE BE'!$AB$12+'TE BF'!$AB$12+'TE CVA'!$AB$12)*(1-CUSTOS!$M$35)</f>
        <v>151.15469734012649</v>
      </c>
      <c r="AB347" s="6">
        <f>$K$347*$V$347</f>
        <v>0</v>
      </c>
      <c r="AC347" s="6">
        <f>$M$347*$W$347</f>
        <v>3935.5709199999997</v>
      </c>
      <c r="AD347" s="6">
        <f>$O$347*$X$347</f>
        <v>2785.3799800000002</v>
      </c>
      <c r="AE347" s="6">
        <f>$K$347*$Y$347</f>
        <v>0</v>
      </c>
      <c r="AF347" s="6">
        <f ca="1">$M$347*$Z$347</f>
        <v>4268.0134331966037</v>
      </c>
      <c r="AG347" s="6">
        <f>$O$347*$AA$347</f>
        <v>2782.153359242368</v>
      </c>
    </row>
    <row r="348" spans="1:33" ht="11.25" customHeight="1" x14ac:dyDescent="0.25">
      <c r="A348" s="4" t="s">
        <v>28</v>
      </c>
      <c r="B348" s="4" t="s">
        <v>22</v>
      </c>
      <c r="C348" s="4" t="s">
        <v>23</v>
      </c>
      <c r="D348" s="4" t="s">
        <v>24</v>
      </c>
      <c r="E348" s="4" t="s">
        <v>30</v>
      </c>
      <c r="F348" s="4" t="s">
        <v>25</v>
      </c>
      <c r="G348" s="4" t="s">
        <v>25</v>
      </c>
      <c r="H348" s="4" t="s">
        <v>25</v>
      </c>
      <c r="I348" s="5">
        <v>44562</v>
      </c>
      <c r="J348" s="6">
        <v>0</v>
      </c>
      <c r="K348" s="6">
        <v>0</v>
      </c>
      <c r="L348" s="6">
        <v>0.14000000000000001</v>
      </c>
      <c r="M348" s="6">
        <v>-2.8000000000000001E-2</v>
      </c>
      <c r="N348" s="6">
        <v>0.14000000000000001</v>
      </c>
      <c r="O348" s="6">
        <v>-2.8000000000000001E-2</v>
      </c>
      <c r="P348" s="6">
        <v>0</v>
      </c>
      <c r="Q348" s="4" t="s">
        <v>26</v>
      </c>
      <c r="R348" s="4">
        <v>0</v>
      </c>
      <c r="S348" s="6">
        <v>0</v>
      </c>
      <c r="T348" s="6">
        <v>55</v>
      </c>
      <c r="U348" s="6">
        <v>50</v>
      </c>
      <c r="V348" s="6">
        <f>IF(ISERROR(VLOOKUP($S$348,'TAR FIN'!$A$1:$O$88,15,0)),0,VLOOKUP($S$348,'TAR FIN'!$A$1:$O$88,15,0))</f>
        <v>0</v>
      </c>
      <c r="W348" s="6">
        <f>IF(ISERROR(VLOOKUP($T$348,'TAR FIN'!$A$1:$O$88,15,0)),0,VLOOKUP($T$348,'TAR FIN'!$A$1:$O$88,15,0))</f>
        <v>213.82</v>
      </c>
      <c r="X348" s="6">
        <f>IF(ISERROR(VLOOKUP($U$348,'TAR FIN'!$A$1:$O$88,15,0)),0,VLOOKUP($U$348,'TAR FIN'!$A$1:$O$88,15,0))</f>
        <v>151.33000000000001</v>
      </c>
      <c r="Y348" s="6"/>
      <c r="Z348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8" s="6">
        <f>('TE BE'!$AB$12+'TE BF'!$AB$12+'TE CVA'!$AB$12)*(1-CUSTOS!$M$35)</f>
        <v>151.15469734012649</v>
      </c>
      <c r="AB348" s="6">
        <f>$K$348*$V$348</f>
        <v>0</v>
      </c>
      <c r="AC348" s="6">
        <f>$M$348*$W$348</f>
        <v>-5.9869599999999998</v>
      </c>
      <c r="AD348" s="6">
        <f>$O$348*$X$348</f>
        <v>-4.2372400000000008</v>
      </c>
      <c r="AE348" s="6">
        <f>$K$348*$Y$348</f>
        <v>0</v>
      </c>
      <c r="AF348" s="6">
        <f ca="1">$M$348*$Z$348</f>
        <v>-6.4926858703414609</v>
      </c>
      <c r="AG348" s="6">
        <f>$O$348*$AA$348</f>
        <v>-4.2323315255235414</v>
      </c>
    </row>
    <row r="349" spans="1:33" ht="11.25" customHeight="1" x14ac:dyDescent="0.25">
      <c r="A349" s="4" t="s">
        <v>21</v>
      </c>
      <c r="B349" s="4" t="s">
        <v>22</v>
      </c>
      <c r="C349" s="4" t="s">
        <v>23</v>
      </c>
      <c r="D349" s="4" t="s">
        <v>24</v>
      </c>
      <c r="E349" s="4" t="s">
        <v>30</v>
      </c>
      <c r="F349" s="4" t="s">
        <v>25</v>
      </c>
      <c r="G349" s="4" t="s">
        <v>25</v>
      </c>
      <c r="H349" s="4" t="s">
        <v>25</v>
      </c>
      <c r="I349" s="5">
        <v>44593</v>
      </c>
      <c r="J349" s="6">
        <v>0</v>
      </c>
      <c r="K349" s="6">
        <v>0</v>
      </c>
      <c r="L349" s="6">
        <v>18.997</v>
      </c>
      <c r="M349" s="6">
        <v>18.997</v>
      </c>
      <c r="N349" s="6">
        <v>18.997</v>
      </c>
      <c r="O349" s="6">
        <v>18.997</v>
      </c>
      <c r="P349" s="6">
        <v>70</v>
      </c>
      <c r="Q349" s="4" t="s">
        <v>26</v>
      </c>
      <c r="R349" s="4">
        <v>0</v>
      </c>
      <c r="S349" s="6">
        <v>0</v>
      </c>
      <c r="T349" s="6">
        <v>55</v>
      </c>
      <c r="U349" s="6">
        <v>50</v>
      </c>
      <c r="V349" s="6">
        <f>IF(ISERROR(VLOOKUP($S$349,'TAR FIN'!$A$1:$O$88,15,0)),0,VLOOKUP($S$349,'TAR FIN'!$A$1:$O$88,15,0))</f>
        <v>0</v>
      </c>
      <c r="W349" s="6">
        <f>IF(ISERROR(VLOOKUP($T$349,'TAR FIN'!$A$1:$O$88,15,0)),0,VLOOKUP($T$349,'TAR FIN'!$A$1:$O$88,15,0))</f>
        <v>213.82</v>
      </c>
      <c r="X349" s="6">
        <f>IF(ISERROR(VLOOKUP($U$349,'TAR FIN'!$A$1:$O$88,15,0)),0,VLOOKUP($U$349,'TAR FIN'!$A$1:$O$88,15,0))</f>
        <v>151.33000000000001</v>
      </c>
      <c r="Y349" s="6"/>
      <c r="Z349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49" s="6">
        <f>('TE BE'!$AB$12+'TE BF'!$AB$12+'TE CVA'!$AB$12)*(1-CUSTOS!$M$35)</f>
        <v>151.15469734012649</v>
      </c>
      <c r="AB349" s="6">
        <f>$K$349*$V$349</f>
        <v>0</v>
      </c>
      <c r="AC349" s="6">
        <f>$M$349*$W$349</f>
        <v>4061.9385399999996</v>
      </c>
      <c r="AD349" s="6">
        <f>$O$349*$X$349</f>
        <v>2874.81601</v>
      </c>
      <c r="AE349" s="6">
        <f>$K$349*$Y$349</f>
        <v>0</v>
      </c>
      <c r="AF349" s="6">
        <f ca="1">$M$349*$Z$349</f>
        <v>4405.0554813884546</v>
      </c>
      <c r="AG349" s="6">
        <f>$O$349*$AA$349</f>
        <v>2871.4857853703829</v>
      </c>
    </row>
    <row r="350" spans="1:33" ht="11.25" customHeight="1" x14ac:dyDescent="0.25">
      <c r="A350" s="4" t="s">
        <v>28</v>
      </c>
      <c r="B350" s="4" t="s">
        <v>22</v>
      </c>
      <c r="C350" s="4" t="s">
        <v>23</v>
      </c>
      <c r="D350" s="4" t="s">
        <v>24</v>
      </c>
      <c r="E350" s="4" t="s">
        <v>30</v>
      </c>
      <c r="F350" s="4" t="s">
        <v>25</v>
      </c>
      <c r="G350" s="4" t="s">
        <v>25</v>
      </c>
      <c r="H350" s="4" t="s">
        <v>25</v>
      </c>
      <c r="I350" s="5">
        <v>44593</v>
      </c>
      <c r="J350" s="6">
        <v>0</v>
      </c>
      <c r="K350" s="6">
        <v>0</v>
      </c>
      <c r="L350" s="6">
        <v>0.14000000000000001</v>
      </c>
      <c r="M350" s="6">
        <v>-2.8000000000000001E-2</v>
      </c>
      <c r="N350" s="6">
        <v>0.14000000000000001</v>
      </c>
      <c r="O350" s="6">
        <v>-2.8000000000000001E-2</v>
      </c>
      <c r="P350" s="6">
        <v>0</v>
      </c>
      <c r="Q350" s="4" t="s">
        <v>26</v>
      </c>
      <c r="R350" s="4">
        <v>0</v>
      </c>
      <c r="S350" s="6">
        <v>0</v>
      </c>
      <c r="T350" s="6">
        <v>55</v>
      </c>
      <c r="U350" s="6">
        <v>50</v>
      </c>
      <c r="V350" s="6">
        <f>IF(ISERROR(VLOOKUP($S$350,'TAR FIN'!$A$1:$O$88,15,0)),0,VLOOKUP($S$350,'TAR FIN'!$A$1:$O$88,15,0))</f>
        <v>0</v>
      </c>
      <c r="W350" s="6">
        <f>IF(ISERROR(VLOOKUP($T$350,'TAR FIN'!$A$1:$O$88,15,0)),0,VLOOKUP($T$350,'TAR FIN'!$A$1:$O$88,15,0))</f>
        <v>213.82</v>
      </c>
      <c r="X350" s="6">
        <f>IF(ISERROR(VLOOKUP($U$350,'TAR FIN'!$A$1:$O$88,15,0)),0,VLOOKUP($U$350,'TAR FIN'!$A$1:$O$88,15,0))</f>
        <v>151.33000000000001</v>
      </c>
      <c r="Y350" s="6"/>
      <c r="Z350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0" s="6">
        <f>('TE BE'!$AB$12+'TE BF'!$AB$12+'TE CVA'!$AB$12)*(1-CUSTOS!$M$35)</f>
        <v>151.15469734012649</v>
      </c>
      <c r="AB350" s="6">
        <f>$K$350*$V$350</f>
        <v>0</v>
      </c>
      <c r="AC350" s="6">
        <f>$M$350*$W$350</f>
        <v>-5.9869599999999998</v>
      </c>
      <c r="AD350" s="6">
        <f>$O$350*$X$350</f>
        <v>-4.2372400000000008</v>
      </c>
      <c r="AE350" s="6">
        <f>$K$350*$Y$350</f>
        <v>0</v>
      </c>
      <c r="AF350" s="6">
        <f ca="1">$M$350*$Z$350</f>
        <v>-6.4926858703414609</v>
      </c>
      <c r="AG350" s="6">
        <f>$O$350*$AA$350</f>
        <v>-4.2323315255235414</v>
      </c>
    </row>
    <row r="351" spans="1:33" ht="11.25" customHeight="1" x14ac:dyDescent="0.25">
      <c r="A351" s="4" t="s">
        <v>21</v>
      </c>
      <c r="B351" s="4" t="s">
        <v>22</v>
      </c>
      <c r="C351" s="4" t="s">
        <v>23</v>
      </c>
      <c r="D351" s="4" t="s">
        <v>24</v>
      </c>
      <c r="E351" s="4" t="s">
        <v>30</v>
      </c>
      <c r="F351" s="4" t="s">
        <v>25</v>
      </c>
      <c r="G351" s="4" t="s">
        <v>25</v>
      </c>
      <c r="H351" s="4" t="s">
        <v>25</v>
      </c>
      <c r="I351" s="5">
        <v>44621</v>
      </c>
      <c r="J351" s="6">
        <v>0</v>
      </c>
      <c r="K351" s="6">
        <v>0</v>
      </c>
      <c r="L351" s="6">
        <v>19.401</v>
      </c>
      <c r="M351" s="6">
        <v>19.401</v>
      </c>
      <c r="N351" s="6">
        <v>19.401</v>
      </c>
      <c r="O351" s="6">
        <v>19.401</v>
      </c>
      <c r="P351" s="6">
        <v>73</v>
      </c>
      <c r="Q351" s="4" t="s">
        <v>26</v>
      </c>
      <c r="R351" s="4">
        <v>0</v>
      </c>
      <c r="S351" s="6">
        <v>0</v>
      </c>
      <c r="T351" s="6">
        <v>55</v>
      </c>
      <c r="U351" s="6">
        <v>50</v>
      </c>
      <c r="V351" s="6">
        <f>IF(ISERROR(VLOOKUP($S$351,'TAR FIN'!$A$1:$O$88,15,0)),0,VLOOKUP($S$351,'TAR FIN'!$A$1:$O$88,15,0))</f>
        <v>0</v>
      </c>
      <c r="W351" s="6">
        <f>IF(ISERROR(VLOOKUP($T$351,'TAR FIN'!$A$1:$O$88,15,0)),0,VLOOKUP($T$351,'TAR FIN'!$A$1:$O$88,15,0))</f>
        <v>213.82</v>
      </c>
      <c r="X351" s="6">
        <f>IF(ISERROR(VLOOKUP($U$351,'TAR FIN'!$A$1:$O$88,15,0)),0,VLOOKUP($U$351,'TAR FIN'!$A$1:$O$88,15,0))</f>
        <v>151.33000000000001</v>
      </c>
      <c r="Y351" s="6"/>
      <c r="Z351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1" s="6">
        <f>('TE BE'!$AB$12+'TE BF'!$AB$12+'TE CVA'!$AB$12)*(1-CUSTOS!$M$35)</f>
        <v>151.15469734012649</v>
      </c>
      <c r="AB351" s="6">
        <f>$K$351*$V$351</f>
        <v>0</v>
      </c>
      <c r="AC351" s="6">
        <f>$M$351*$W$351</f>
        <v>4148.3218200000001</v>
      </c>
      <c r="AD351" s="6">
        <f>$O$351*$X$351</f>
        <v>2935.9533300000003</v>
      </c>
      <c r="AE351" s="6">
        <f>$K$351*$Y$351</f>
        <v>0</v>
      </c>
      <c r="AF351" s="6">
        <f ca="1">$M$351*$Z$351</f>
        <v>4498.7356632319525</v>
      </c>
      <c r="AG351" s="6">
        <f>$O$351*$AA$351</f>
        <v>2932.5522830957939</v>
      </c>
    </row>
    <row r="352" spans="1:33" ht="11.25" customHeight="1" x14ac:dyDescent="0.25">
      <c r="A352" s="4" t="s">
        <v>28</v>
      </c>
      <c r="B352" s="4" t="s">
        <v>22</v>
      </c>
      <c r="C352" s="4" t="s">
        <v>23</v>
      </c>
      <c r="D352" s="4" t="s">
        <v>24</v>
      </c>
      <c r="E352" s="4" t="s">
        <v>30</v>
      </c>
      <c r="F352" s="4" t="s">
        <v>25</v>
      </c>
      <c r="G352" s="4" t="s">
        <v>25</v>
      </c>
      <c r="H352" s="4" t="s">
        <v>25</v>
      </c>
      <c r="I352" s="5">
        <v>44621</v>
      </c>
      <c r="J352" s="6">
        <v>0</v>
      </c>
      <c r="K352" s="6">
        <v>0</v>
      </c>
      <c r="L352" s="6">
        <v>0.14000000000000001</v>
      </c>
      <c r="M352" s="6">
        <v>-8.4000000000000005E-2</v>
      </c>
      <c r="N352" s="6">
        <v>0.14000000000000001</v>
      </c>
      <c r="O352" s="6">
        <v>-8.4000000000000005E-2</v>
      </c>
      <c r="P352" s="6">
        <v>0</v>
      </c>
      <c r="Q352" s="4" t="s">
        <v>26</v>
      </c>
      <c r="R352" s="4">
        <v>0</v>
      </c>
      <c r="S352" s="6">
        <v>0</v>
      </c>
      <c r="T352" s="6">
        <v>55</v>
      </c>
      <c r="U352" s="6">
        <v>50</v>
      </c>
      <c r="V352" s="6">
        <f>IF(ISERROR(VLOOKUP($S$352,'TAR FIN'!$A$1:$O$88,15,0)),0,VLOOKUP($S$352,'TAR FIN'!$A$1:$O$88,15,0))</f>
        <v>0</v>
      </c>
      <c r="W352" s="6">
        <f>IF(ISERROR(VLOOKUP($T$352,'TAR FIN'!$A$1:$O$88,15,0)),0,VLOOKUP($T$352,'TAR FIN'!$A$1:$O$88,15,0))</f>
        <v>213.82</v>
      </c>
      <c r="X352" s="6">
        <f>IF(ISERROR(VLOOKUP($U$352,'TAR FIN'!$A$1:$O$88,15,0)),0,VLOOKUP($U$352,'TAR FIN'!$A$1:$O$88,15,0))</f>
        <v>151.33000000000001</v>
      </c>
      <c r="Y352" s="6"/>
      <c r="Z352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2" s="6">
        <f>('TE BE'!$AB$12+'TE BF'!$AB$12+'TE CVA'!$AB$12)*(1-CUSTOS!$M$35)</f>
        <v>151.15469734012649</v>
      </c>
      <c r="AB352" s="6">
        <f>$K$352*$V$352</f>
        <v>0</v>
      </c>
      <c r="AC352" s="6">
        <f>$M$352*$W$352</f>
        <v>-17.96088</v>
      </c>
      <c r="AD352" s="6">
        <f>$O$352*$X$352</f>
        <v>-12.711720000000001</v>
      </c>
      <c r="AE352" s="6">
        <f>$K$352*$Y$352</f>
        <v>0</v>
      </c>
      <c r="AF352" s="6">
        <f ca="1">$M$352*$Z$352</f>
        <v>-19.478057611024383</v>
      </c>
      <c r="AG352" s="6">
        <f>$O$352*$AA$352</f>
        <v>-12.696994576570626</v>
      </c>
    </row>
    <row r="353" spans="1:33" ht="11.25" customHeight="1" x14ac:dyDescent="0.25">
      <c r="A353" s="4" t="s">
        <v>21</v>
      </c>
      <c r="B353" s="4" t="s">
        <v>22</v>
      </c>
      <c r="C353" s="4" t="s">
        <v>23</v>
      </c>
      <c r="D353" s="4" t="s">
        <v>24</v>
      </c>
      <c r="E353" s="4" t="s">
        <v>30</v>
      </c>
      <c r="F353" s="4" t="s">
        <v>25</v>
      </c>
      <c r="G353" s="4" t="s">
        <v>25</v>
      </c>
      <c r="H353" s="4" t="s">
        <v>25</v>
      </c>
      <c r="I353" s="5">
        <v>44652</v>
      </c>
      <c r="J353" s="6">
        <v>0</v>
      </c>
      <c r="K353" s="6">
        <v>0</v>
      </c>
      <c r="L353" s="6">
        <v>40.292999999999999</v>
      </c>
      <c r="M353" s="6">
        <v>40.292999999999999</v>
      </c>
      <c r="N353" s="6">
        <v>40.292999999999999</v>
      </c>
      <c r="O353" s="6">
        <v>40.292999999999999</v>
      </c>
      <c r="P353" s="6">
        <v>258</v>
      </c>
      <c r="Q353" s="4" t="s">
        <v>26</v>
      </c>
      <c r="R353" s="4">
        <v>0</v>
      </c>
      <c r="S353" s="6">
        <v>0</v>
      </c>
      <c r="T353" s="6">
        <v>55</v>
      </c>
      <c r="U353" s="6">
        <v>50</v>
      </c>
      <c r="V353" s="6">
        <f>IF(ISERROR(VLOOKUP($S$353,'TAR FIN'!$A$1:$O$88,15,0)),0,VLOOKUP($S$353,'TAR FIN'!$A$1:$O$88,15,0))</f>
        <v>0</v>
      </c>
      <c r="W353" s="6">
        <f>IF(ISERROR(VLOOKUP($T$353,'TAR FIN'!$A$1:$O$88,15,0)),0,VLOOKUP($T$353,'TAR FIN'!$A$1:$O$88,15,0))</f>
        <v>213.82</v>
      </c>
      <c r="X353" s="6">
        <f>IF(ISERROR(VLOOKUP($U$353,'TAR FIN'!$A$1:$O$88,15,0)),0,VLOOKUP($U$353,'TAR FIN'!$A$1:$O$88,15,0))</f>
        <v>151.33000000000001</v>
      </c>
      <c r="Y353" s="6"/>
      <c r="Z353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3" s="6">
        <f>('TE BE'!$AB$12+'TE BF'!$AB$12+'TE CVA'!$AB$12)*(1-CUSTOS!$M$35)</f>
        <v>151.15469734012649</v>
      </c>
      <c r="AB353" s="6">
        <f>$K$353*$V$353</f>
        <v>0</v>
      </c>
      <c r="AC353" s="6">
        <f>$M$353*$W$353</f>
        <v>8615.4492599999994</v>
      </c>
      <c r="AD353" s="6">
        <f>$O$353*$X$353</f>
        <v>6097.5396900000005</v>
      </c>
      <c r="AE353" s="6">
        <f>$K$353*$Y$353</f>
        <v>0</v>
      </c>
      <c r="AF353" s="6">
        <f ca="1">$M$353*$Z$353</f>
        <v>9343.2068490595884</v>
      </c>
      <c r="AG353" s="6">
        <f>$O$353*$AA$353</f>
        <v>6090.4762199257166</v>
      </c>
    </row>
    <row r="354" spans="1:33" ht="11.25" customHeight="1" x14ac:dyDescent="0.25">
      <c r="A354" s="4" t="s">
        <v>28</v>
      </c>
      <c r="B354" s="4" t="s">
        <v>22</v>
      </c>
      <c r="C354" s="4" t="s">
        <v>23</v>
      </c>
      <c r="D354" s="4" t="s">
        <v>24</v>
      </c>
      <c r="E354" s="4" t="s">
        <v>30</v>
      </c>
      <c r="F354" s="4" t="s">
        <v>25</v>
      </c>
      <c r="G354" s="4" t="s">
        <v>25</v>
      </c>
      <c r="H354" s="4" t="s">
        <v>25</v>
      </c>
      <c r="I354" s="5">
        <v>44652</v>
      </c>
      <c r="J354" s="6">
        <v>0</v>
      </c>
      <c r="K354" s="6">
        <v>0</v>
      </c>
      <c r="L354" s="6">
        <v>4.2999999999999997E-2</v>
      </c>
      <c r="M354" s="6">
        <v>-0.1462</v>
      </c>
      <c r="N354" s="6">
        <v>4.2999999999999997E-2</v>
      </c>
      <c r="O354" s="6">
        <v>-0.1462</v>
      </c>
      <c r="P354" s="6">
        <v>2</v>
      </c>
      <c r="Q354" s="4" t="s">
        <v>26</v>
      </c>
      <c r="R354" s="4">
        <v>0</v>
      </c>
      <c r="S354" s="6">
        <v>0</v>
      </c>
      <c r="T354" s="6">
        <v>55</v>
      </c>
      <c r="U354" s="6">
        <v>50</v>
      </c>
      <c r="V354" s="6">
        <f>IF(ISERROR(VLOOKUP($S$354,'TAR FIN'!$A$1:$O$88,15,0)),0,VLOOKUP($S$354,'TAR FIN'!$A$1:$O$88,15,0))</f>
        <v>0</v>
      </c>
      <c r="W354" s="6">
        <f>IF(ISERROR(VLOOKUP($T$354,'TAR FIN'!$A$1:$O$88,15,0)),0,VLOOKUP($T$354,'TAR FIN'!$A$1:$O$88,15,0))</f>
        <v>213.82</v>
      </c>
      <c r="X354" s="6">
        <f>IF(ISERROR(VLOOKUP($U$354,'TAR FIN'!$A$1:$O$88,15,0)),0,VLOOKUP($U$354,'TAR FIN'!$A$1:$O$88,15,0))</f>
        <v>151.33000000000001</v>
      </c>
      <c r="Y354" s="6"/>
      <c r="Z354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4" s="6">
        <f>('TE BE'!$AB$12+'TE BF'!$AB$12+'TE CVA'!$AB$12)*(1-CUSTOS!$M$35)</f>
        <v>151.15469734012649</v>
      </c>
      <c r="AB354" s="6">
        <f>$K$354*$V$354</f>
        <v>0</v>
      </c>
      <c r="AC354" s="6">
        <f>$M$354*$W$354</f>
        <v>-31.260483999999998</v>
      </c>
      <c r="AD354" s="6">
        <f>$O$354*$X$354</f>
        <v>-22.124446000000002</v>
      </c>
      <c r="AE354" s="6">
        <f>$K$354*$Y$354</f>
        <v>0</v>
      </c>
      <c r="AF354" s="6">
        <f ca="1">$M$354*$Z$354</f>
        <v>-33.901095508711485</v>
      </c>
      <c r="AG354" s="6">
        <f>$O$354*$AA$354</f>
        <v>-22.098816751126492</v>
      </c>
    </row>
    <row r="355" spans="1:33" ht="11.25" customHeight="1" x14ac:dyDescent="0.25">
      <c r="A355" s="4" t="s">
        <v>21</v>
      </c>
      <c r="B355" s="4" t="s">
        <v>22</v>
      </c>
      <c r="C355" s="4" t="s">
        <v>23</v>
      </c>
      <c r="D355" s="4" t="s">
        <v>24</v>
      </c>
      <c r="E355" s="4" t="s">
        <v>30</v>
      </c>
      <c r="F355" s="4" t="s">
        <v>25</v>
      </c>
      <c r="G355" s="4" t="s">
        <v>25</v>
      </c>
      <c r="H355" s="4" t="s">
        <v>25</v>
      </c>
      <c r="I355" s="5">
        <v>44682</v>
      </c>
      <c r="J355" s="6">
        <v>0</v>
      </c>
      <c r="K355" s="6">
        <v>0</v>
      </c>
      <c r="L355" s="6">
        <v>40.398000000000003</v>
      </c>
      <c r="M355" s="6">
        <v>40.398000000000003</v>
      </c>
      <c r="N355" s="6">
        <v>40.398000000000003</v>
      </c>
      <c r="O355" s="6">
        <v>40.398000000000003</v>
      </c>
      <c r="P355" s="6">
        <v>278</v>
      </c>
      <c r="Q355" s="4" t="s">
        <v>26</v>
      </c>
      <c r="R355" s="4">
        <v>0</v>
      </c>
      <c r="S355" s="6">
        <v>0</v>
      </c>
      <c r="T355" s="6">
        <v>55</v>
      </c>
      <c r="U355" s="6">
        <v>50</v>
      </c>
      <c r="V355" s="6">
        <f>IF(ISERROR(VLOOKUP($S$355,'TAR FIN'!$A$1:$O$88,15,0)),0,VLOOKUP($S$355,'TAR FIN'!$A$1:$O$88,15,0))</f>
        <v>0</v>
      </c>
      <c r="W355" s="6">
        <f>IF(ISERROR(VLOOKUP($T$355,'TAR FIN'!$A$1:$O$88,15,0)),0,VLOOKUP($T$355,'TAR FIN'!$A$1:$O$88,15,0))</f>
        <v>213.82</v>
      </c>
      <c r="X355" s="6">
        <f>IF(ISERROR(VLOOKUP($U$355,'TAR FIN'!$A$1:$O$88,15,0)),0,VLOOKUP($U$355,'TAR FIN'!$A$1:$O$88,15,0))</f>
        <v>151.33000000000001</v>
      </c>
      <c r="Y355" s="6"/>
      <c r="Z355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5" s="6">
        <f>('TE BE'!$AB$12+'TE BF'!$AB$12+'TE CVA'!$AB$12)*(1-CUSTOS!$M$35)</f>
        <v>151.15469734012649</v>
      </c>
      <c r="AB355" s="6">
        <f>$K$355*$V$355</f>
        <v>0</v>
      </c>
      <c r="AC355" s="6">
        <f>$M$355*$W$355</f>
        <v>8637.9003599999996</v>
      </c>
      <c r="AD355" s="6">
        <f>$O$355*$X$355</f>
        <v>6113.4293400000006</v>
      </c>
      <c r="AE355" s="6">
        <f>$K$355*$Y$355</f>
        <v>0</v>
      </c>
      <c r="AF355" s="6">
        <f ca="1">$M$355*$Z$355</f>
        <v>9367.5544210733697</v>
      </c>
      <c r="AG355" s="6">
        <f>$O$355*$AA$355</f>
        <v>6106.3474631464305</v>
      </c>
    </row>
    <row r="356" spans="1:33" ht="11.25" customHeight="1" x14ac:dyDescent="0.25">
      <c r="A356" s="4" t="s">
        <v>27</v>
      </c>
      <c r="B356" s="4" t="s">
        <v>22</v>
      </c>
      <c r="C356" s="4" t="s">
        <v>23</v>
      </c>
      <c r="D356" s="4" t="s">
        <v>24</v>
      </c>
      <c r="E356" s="4" t="s">
        <v>30</v>
      </c>
      <c r="F356" s="4" t="s">
        <v>25</v>
      </c>
      <c r="G356" s="4" t="s">
        <v>25</v>
      </c>
      <c r="H356" s="4" t="s">
        <v>25</v>
      </c>
      <c r="I356" s="5">
        <v>44682</v>
      </c>
      <c r="J356" s="6">
        <v>0</v>
      </c>
      <c r="K356" s="6">
        <v>0</v>
      </c>
      <c r="L356" s="6">
        <v>-1.4E-2</v>
      </c>
      <c r="M356" s="6">
        <v>-1.4E-2</v>
      </c>
      <c r="N356" s="6">
        <v>-1.4E-2</v>
      </c>
      <c r="O356" s="6">
        <v>-1.4E-2</v>
      </c>
      <c r="P356" s="6">
        <v>0</v>
      </c>
      <c r="Q356" s="4" t="s">
        <v>26</v>
      </c>
      <c r="R356" s="4">
        <v>0</v>
      </c>
      <c r="S356" s="6">
        <v>0</v>
      </c>
      <c r="T356" s="6">
        <v>55</v>
      </c>
      <c r="U356" s="6">
        <v>50</v>
      </c>
      <c r="V356" s="6">
        <f>IF(ISERROR(VLOOKUP($S$356,'TAR FIN'!$A$1:$O$88,15,0)),0,VLOOKUP($S$356,'TAR FIN'!$A$1:$O$88,15,0))</f>
        <v>0</v>
      </c>
      <c r="W356" s="6">
        <f>IF(ISERROR(VLOOKUP($T$356,'TAR FIN'!$A$1:$O$88,15,0)),0,VLOOKUP($T$356,'TAR FIN'!$A$1:$O$88,15,0))</f>
        <v>213.82</v>
      </c>
      <c r="X356" s="6">
        <f>IF(ISERROR(VLOOKUP($U$356,'TAR FIN'!$A$1:$O$88,15,0)),0,VLOOKUP($U$356,'TAR FIN'!$A$1:$O$88,15,0))</f>
        <v>151.33000000000001</v>
      </c>
      <c r="Y356" s="6"/>
      <c r="Z356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6" s="6">
        <f>('TE BE'!$AB$12+'TE BF'!$AB$12+'TE CVA'!$AB$12)*(1-CUSTOS!$M$35)</f>
        <v>151.15469734012649</v>
      </c>
      <c r="AB356" s="6">
        <f>$K$356*$V$356</f>
        <v>0</v>
      </c>
      <c r="AC356" s="6">
        <f>$M$356*$W$356</f>
        <v>-2.9934799999999999</v>
      </c>
      <c r="AD356" s="6">
        <f>$O$356*$X$356</f>
        <v>-2.1186200000000004</v>
      </c>
      <c r="AE356" s="6">
        <f>$K$356*$Y$356</f>
        <v>0</v>
      </c>
      <c r="AF356" s="6">
        <f ca="1">$M$356*$Z$356</f>
        <v>-3.2463429351707305</v>
      </c>
      <c r="AG356" s="6">
        <f>$O$356*$AA$356</f>
        <v>-2.1161657627617707</v>
      </c>
    </row>
    <row r="357" spans="1:33" ht="11.25" customHeight="1" x14ac:dyDescent="0.25">
      <c r="A357" s="4" t="s">
        <v>28</v>
      </c>
      <c r="B357" s="4" t="s">
        <v>22</v>
      </c>
      <c r="C357" s="4" t="s">
        <v>23</v>
      </c>
      <c r="D357" s="4" t="s">
        <v>24</v>
      </c>
      <c r="E357" s="4" t="s">
        <v>30</v>
      </c>
      <c r="F357" s="4" t="s">
        <v>25</v>
      </c>
      <c r="G357" s="4" t="s">
        <v>25</v>
      </c>
      <c r="H357" s="4" t="s">
        <v>25</v>
      </c>
      <c r="I357" s="5">
        <v>44682</v>
      </c>
      <c r="J357" s="6">
        <v>0</v>
      </c>
      <c r="K357" s="6">
        <v>0</v>
      </c>
      <c r="L357" s="6">
        <v>0.158</v>
      </c>
      <c r="M357" s="6">
        <v>-0.53720000000000001</v>
      </c>
      <c r="N357" s="6">
        <v>0.158</v>
      </c>
      <c r="O357" s="6">
        <v>-0.53720000000000001</v>
      </c>
      <c r="P357" s="6">
        <v>2</v>
      </c>
      <c r="Q357" s="4" t="s">
        <v>26</v>
      </c>
      <c r="R357" s="4">
        <v>0</v>
      </c>
      <c r="S357" s="6">
        <v>0</v>
      </c>
      <c r="T357" s="6">
        <v>55</v>
      </c>
      <c r="U357" s="6">
        <v>50</v>
      </c>
      <c r="V357" s="6">
        <f>IF(ISERROR(VLOOKUP($S$357,'TAR FIN'!$A$1:$O$88,15,0)),0,VLOOKUP($S$357,'TAR FIN'!$A$1:$O$88,15,0))</f>
        <v>0</v>
      </c>
      <c r="W357" s="6">
        <f>IF(ISERROR(VLOOKUP($T$357,'TAR FIN'!$A$1:$O$88,15,0)),0,VLOOKUP($T$357,'TAR FIN'!$A$1:$O$88,15,0))</f>
        <v>213.82</v>
      </c>
      <c r="X357" s="6">
        <f>IF(ISERROR(VLOOKUP($U$357,'TAR FIN'!$A$1:$O$88,15,0)),0,VLOOKUP($U$357,'TAR FIN'!$A$1:$O$88,15,0))</f>
        <v>151.33000000000001</v>
      </c>
      <c r="Y357" s="6"/>
      <c r="Z357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7" s="6">
        <f>('TE BE'!$AB$12+'TE BF'!$AB$12+'TE CVA'!$AB$12)*(1-CUSTOS!$M$35)</f>
        <v>151.15469734012649</v>
      </c>
      <c r="AB357" s="6">
        <f>$K$357*$V$357</f>
        <v>0</v>
      </c>
      <c r="AC357" s="6">
        <f>$M$357*$W$357</f>
        <v>-114.864104</v>
      </c>
      <c r="AD357" s="6">
        <f>$O$357*$X$357</f>
        <v>-81.294476000000003</v>
      </c>
      <c r="AE357" s="6">
        <f>$K$357*$Y$357</f>
        <v>0</v>
      </c>
      <c r="AF357" s="6">
        <f ca="1">$M$357*$Z$357</f>
        <v>-124.56681605526545</v>
      </c>
      <c r="AG357" s="6">
        <f>$O$357*$AA$357</f>
        <v>-81.200303411115954</v>
      </c>
    </row>
    <row r="358" spans="1:33" ht="11.25" customHeight="1" x14ac:dyDescent="0.25">
      <c r="A358" s="4" t="s">
        <v>21</v>
      </c>
      <c r="B358" s="4" t="s">
        <v>22</v>
      </c>
      <c r="C358" s="4" t="s">
        <v>23</v>
      </c>
      <c r="D358" s="4" t="s">
        <v>24</v>
      </c>
      <c r="E358" s="4" t="s">
        <v>30</v>
      </c>
      <c r="F358" s="4" t="s">
        <v>25</v>
      </c>
      <c r="G358" s="4" t="s">
        <v>25</v>
      </c>
      <c r="H358" s="4" t="s">
        <v>25</v>
      </c>
      <c r="I358" s="5">
        <v>44713</v>
      </c>
      <c r="J358" s="6">
        <v>0</v>
      </c>
      <c r="K358" s="6">
        <v>0</v>
      </c>
      <c r="L358" s="6">
        <v>40.932000000000002</v>
      </c>
      <c r="M358" s="6">
        <v>40.932000000000002</v>
      </c>
      <c r="N358" s="6">
        <v>40.932000000000002</v>
      </c>
      <c r="O358" s="6">
        <v>40.932000000000002</v>
      </c>
      <c r="P358" s="6">
        <v>320</v>
      </c>
      <c r="Q358" s="4" t="s">
        <v>26</v>
      </c>
      <c r="R358" s="4">
        <v>0</v>
      </c>
      <c r="S358" s="6">
        <v>0</v>
      </c>
      <c r="T358" s="6">
        <v>55</v>
      </c>
      <c r="U358" s="6">
        <v>50</v>
      </c>
      <c r="V358" s="6">
        <f>IF(ISERROR(VLOOKUP($S$358,'TAR FIN'!$A$1:$O$88,15,0)),0,VLOOKUP($S$358,'TAR FIN'!$A$1:$O$88,15,0))</f>
        <v>0</v>
      </c>
      <c r="W358" s="6">
        <f>IF(ISERROR(VLOOKUP($T$358,'TAR FIN'!$A$1:$O$88,15,0)),0,VLOOKUP($T$358,'TAR FIN'!$A$1:$O$88,15,0))</f>
        <v>213.82</v>
      </c>
      <c r="X358" s="6">
        <f>IF(ISERROR(VLOOKUP($U$358,'TAR FIN'!$A$1:$O$88,15,0)),0,VLOOKUP($U$358,'TAR FIN'!$A$1:$O$88,15,0))</f>
        <v>151.33000000000001</v>
      </c>
      <c r="Y358" s="6"/>
      <c r="Z358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8" s="6">
        <f>('TE BE'!$AB$12+'TE BF'!$AB$12+'TE CVA'!$AB$12)*(1-CUSTOS!$M$35)</f>
        <v>151.15469734012649</v>
      </c>
      <c r="AB358" s="6">
        <f>$K$358*$V$358</f>
        <v>0</v>
      </c>
      <c r="AC358" s="6">
        <f>$M$358*$W$358</f>
        <v>8752.0802399999993</v>
      </c>
      <c r="AD358" s="6">
        <f>$O$358*$X$358</f>
        <v>6194.2395600000009</v>
      </c>
      <c r="AE358" s="6">
        <f>$K$358*$Y$358</f>
        <v>0</v>
      </c>
      <c r="AF358" s="6">
        <f ca="1">$M$358*$Z$358</f>
        <v>9491.3792158863107</v>
      </c>
      <c r="AG358" s="6">
        <f>$O$358*$AA$358</f>
        <v>6187.0640715260579</v>
      </c>
    </row>
    <row r="359" spans="1:33" ht="11.25" customHeight="1" x14ac:dyDescent="0.25">
      <c r="A359" s="4" t="s">
        <v>28</v>
      </c>
      <c r="B359" s="4" t="s">
        <v>22</v>
      </c>
      <c r="C359" s="4" t="s">
        <v>23</v>
      </c>
      <c r="D359" s="4" t="s">
        <v>24</v>
      </c>
      <c r="E359" s="4" t="s">
        <v>30</v>
      </c>
      <c r="F359" s="4" t="s">
        <v>25</v>
      </c>
      <c r="G359" s="4" t="s">
        <v>25</v>
      </c>
      <c r="H359" s="4" t="s">
        <v>25</v>
      </c>
      <c r="I359" s="5">
        <v>44713</v>
      </c>
      <c r="J359" s="6">
        <v>0</v>
      </c>
      <c r="K359" s="6">
        <v>0</v>
      </c>
      <c r="L359" s="6">
        <v>0.20200000000000001</v>
      </c>
      <c r="M359" s="6">
        <v>-0.68679999999999997</v>
      </c>
      <c r="N359" s="6">
        <v>0.20200000000000001</v>
      </c>
      <c r="O359" s="6">
        <v>-0.68679999999999997</v>
      </c>
      <c r="P359" s="6">
        <v>1</v>
      </c>
      <c r="Q359" s="4" t="s">
        <v>26</v>
      </c>
      <c r="R359" s="4">
        <v>0</v>
      </c>
      <c r="S359" s="6">
        <v>0</v>
      </c>
      <c r="T359" s="6">
        <v>55</v>
      </c>
      <c r="U359" s="6">
        <v>50</v>
      </c>
      <c r="V359" s="6">
        <f>IF(ISERROR(VLOOKUP($S$359,'TAR FIN'!$A$1:$O$88,15,0)),0,VLOOKUP($S$359,'TAR FIN'!$A$1:$O$88,15,0))</f>
        <v>0</v>
      </c>
      <c r="W359" s="6">
        <f>IF(ISERROR(VLOOKUP($T$359,'TAR FIN'!$A$1:$O$88,15,0)),0,VLOOKUP($T$359,'TAR FIN'!$A$1:$O$88,15,0))</f>
        <v>213.82</v>
      </c>
      <c r="X359" s="6">
        <f>IF(ISERROR(VLOOKUP($U$359,'TAR FIN'!$A$1:$O$88,15,0)),0,VLOOKUP($U$359,'TAR FIN'!$A$1:$O$88,15,0))</f>
        <v>151.33000000000001</v>
      </c>
      <c r="Y359" s="6"/>
      <c r="Z359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359" s="6">
        <f>('TE BE'!$AB$12+'TE BF'!$AB$12+'TE CVA'!$AB$12)*(1-CUSTOS!$M$35)</f>
        <v>151.15469734012649</v>
      </c>
      <c r="AB359" s="6">
        <f>$K$359*$V$359</f>
        <v>0</v>
      </c>
      <c r="AC359" s="6">
        <f>$M$359*$W$359</f>
        <v>-146.85157599999999</v>
      </c>
      <c r="AD359" s="6">
        <f>$O$359*$X$359</f>
        <v>-103.93344400000001</v>
      </c>
      <c r="AE359" s="6">
        <f>$K$359*$Y$359</f>
        <v>0</v>
      </c>
      <c r="AF359" s="6">
        <f ca="1">$M$359*$Z$359</f>
        <v>-159.25630913394696</v>
      </c>
      <c r="AG359" s="6">
        <f>$O$359*$AA$359</f>
        <v>-103.81304613319887</v>
      </c>
    </row>
    <row r="360" spans="1:33" ht="11.25" customHeight="1" x14ac:dyDescent="0.25">
      <c r="A360" s="4" t="s">
        <v>21</v>
      </c>
      <c r="B360" s="4" t="s">
        <v>22</v>
      </c>
      <c r="C360" s="4" t="s">
        <v>23</v>
      </c>
      <c r="D360" s="4" t="s">
        <v>24</v>
      </c>
      <c r="E360" s="4" t="s">
        <v>31</v>
      </c>
      <c r="F360" s="4" t="s">
        <v>25</v>
      </c>
      <c r="G360" s="4" t="s">
        <v>25</v>
      </c>
      <c r="H360" s="4" t="s">
        <v>25</v>
      </c>
      <c r="I360" s="5">
        <v>44378</v>
      </c>
      <c r="J360" s="6">
        <v>0</v>
      </c>
      <c r="K360" s="6">
        <v>0</v>
      </c>
      <c r="L360" s="6">
        <v>8.3789999999999996</v>
      </c>
      <c r="M360" s="6">
        <v>8.3789999999999996</v>
      </c>
      <c r="N360" s="6">
        <v>8.3789999999999996</v>
      </c>
      <c r="O360" s="6">
        <v>8.3789999999999996</v>
      </c>
      <c r="P360" s="6">
        <v>106</v>
      </c>
      <c r="Q360" s="4" t="s">
        <v>26</v>
      </c>
      <c r="R360" s="4">
        <v>0</v>
      </c>
      <c r="S360" s="6">
        <v>0</v>
      </c>
      <c r="T360" s="6">
        <v>8</v>
      </c>
      <c r="U360" s="6">
        <v>46</v>
      </c>
      <c r="V360" s="6">
        <f>IF(ISERROR(VLOOKUP($S$360,'TAR FIN'!$A$1:$O$88,15,0)),0,VLOOKUP($S$360,'TAR FIN'!$A$1:$O$88,15,0))</f>
        <v>0</v>
      </c>
      <c r="W360" s="6">
        <f>IF(ISERROR(VLOOKUP($T$360,'TAR FIN'!$A$1:$O$88,15,0)),0,VLOOKUP($T$360,'TAR FIN'!$A$1:$O$88,15,0))</f>
        <v>320.74</v>
      </c>
      <c r="X360" s="6">
        <f>IF(ISERROR(VLOOKUP($U$360,'TAR FIN'!$A$1:$O$88,15,0)),0,VLOOKUP($U$360,'TAR FIN'!$A$1:$O$88,15,0))</f>
        <v>227</v>
      </c>
      <c r="Y360" s="6"/>
      <c r="Z360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0" s="6">
        <f>('TE BE'!$AB$13+'TE BF'!$AB$13+'TE CVA'!$AB$13)*(1-CUSTOS!$M$36)</f>
        <v>226.73204601018975</v>
      </c>
      <c r="AB360" s="6">
        <f>$K$360*$V$360</f>
        <v>0</v>
      </c>
      <c r="AC360" s="6">
        <f>$M$360*$W$360</f>
        <v>2687.4804599999998</v>
      </c>
      <c r="AD360" s="6">
        <f>$O$360*$X$360</f>
        <v>1902.0329999999999</v>
      </c>
      <c r="AE360" s="6">
        <f>$K$360*$Y$360</f>
        <v>0</v>
      </c>
      <c r="AF360" s="6">
        <f ca="1">$M$360*$Z$360</f>
        <v>2914.4043700495231</v>
      </c>
      <c r="AG360" s="6">
        <f>$O$360*$AA$360</f>
        <v>1899.7878135193798</v>
      </c>
    </row>
    <row r="361" spans="1:33" ht="11.25" customHeight="1" x14ac:dyDescent="0.25">
      <c r="A361" s="4" t="s">
        <v>21</v>
      </c>
      <c r="B361" s="4" t="s">
        <v>22</v>
      </c>
      <c r="C361" s="4" t="s">
        <v>23</v>
      </c>
      <c r="D361" s="4" t="s">
        <v>24</v>
      </c>
      <c r="E361" s="4" t="s">
        <v>31</v>
      </c>
      <c r="F361" s="4" t="s">
        <v>25</v>
      </c>
      <c r="G361" s="4" t="s">
        <v>25</v>
      </c>
      <c r="H361" s="4" t="s">
        <v>25</v>
      </c>
      <c r="I361" s="5">
        <v>44409</v>
      </c>
      <c r="J361" s="6">
        <v>0</v>
      </c>
      <c r="K361" s="6">
        <v>0</v>
      </c>
      <c r="L361" s="6">
        <v>9.2449999999999992</v>
      </c>
      <c r="M361" s="6">
        <v>9.2449999999999992</v>
      </c>
      <c r="N361" s="6">
        <v>9.2449999999999992</v>
      </c>
      <c r="O361" s="6">
        <v>9.2449999999999992</v>
      </c>
      <c r="P361" s="6">
        <v>117</v>
      </c>
      <c r="Q361" s="4" t="s">
        <v>26</v>
      </c>
      <c r="R361" s="4">
        <v>0</v>
      </c>
      <c r="S361" s="6">
        <v>0</v>
      </c>
      <c r="T361" s="6">
        <v>8</v>
      </c>
      <c r="U361" s="6">
        <v>46</v>
      </c>
      <c r="V361" s="6">
        <f>IF(ISERROR(VLOOKUP($S$361,'TAR FIN'!$A$1:$O$88,15,0)),0,VLOOKUP($S$361,'TAR FIN'!$A$1:$O$88,15,0))</f>
        <v>0</v>
      </c>
      <c r="W361" s="6">
        <f>IF(ISERROR(VLOOKUP($T$361,'TAR FIN'!$A$1:$O$88,15,0)),0,VLOOKUP($T$361,'TAR FIN'!$A$1:$O$88,15,0))</f>
        <v>320.74</v>
      </c>
      <c r="X361" s="6">
        <f>IF(ISERROR(VLOOKUP($U$361,'TAR FIN'!$A$1:$O$88,15,0)),0,VLOOKUP($U$361,'TAR FIN'!$A$1:$O$88,15,0))</f>
        <v>227</v>
      </c>
      <c r="Y361" s="6"/>
      <c r="Z361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1" s="6">
        <f>('TE BE'!$AB$13+'TE BF'!$AB$13+'TE CVA'!$AB$13)*(1-CUSTOS!$M$36)</f>
        <v>226.73204601018975</v>
      </c>
      <c r="AB361" s="6">
        <f>$K$361*$V$361</f>
        <v>0</v>
      </c>
      <c r="AC361" s="6">
        <f>$M$361*$W$361</f>
        <v>2965.2412999999997</v>
      </c>
      <c r="AD361" s="6">
        <f>$O$361*$X$361</f>
        <v>2098.6149999999998</v>
      </c>
      <c r="AE361" s="6">
        <f>$K$361*$Y$361</f>
        <v>0</v>
      </c>
      <c r="AF361" s="6">
        <f ca="1">$M$361*$Z$361</f>
        <v>3215.6186181057215</v>
      </c>
      <c r="AG361" s="6">
        <f>$O$361*$AA$361</f>
        <v>2096.1377653642039</v>
      </c>
    </row>
    <row r="362" spans="1:33" ht="11.25" customHeight="1" x14ac:dyDescent="0.25">
      <c r="A362" s="4" t="s">
        <v>21</v>
      </c>
      <c r="B362" s="4" t="s">
        <v>22</v>
      </c>
      <c r="C362" s="4" t="s">
        <v>23</v>
      </c>
      <c r="D362" s="4" t="s">
        <v>24</v>
      </c>
      <c r="E362" s="4" t="s">
        <v>31</v>
      </c>
      <c r="F362" s="4" t="s">
        <v>25</v>
      </c>
      <c r="G362" s="4" t="s">
        <v>25</v>
      </c>
      <c r="H362" s="4" t="s">
        <v>25</v>
      </c>
      <c r="I362" s="5">
        <v>44440</v>
      </c>
      <c r="J362" s="6">
        <v>0</v>
      </c>
      <c r="K362" s="6">
        <v>0</v>
      </c>
      <c r="L362" s="6">
        <v>10.483000000000001</v>
      </c>
      <c r="M362" s="6">
        <v>10.483000000000001</v>
      </c>
      <c r="N362" s="6">
        <v>10.483000000000001</v>
      </c>
      <c r="O362" s="6">
        <v>10.483000000000001</v>
      </c>
      <c r="P362" s="6">
        <v>131</v>
      </c>
      <c r="Q362" s="4" t="s">
        <v>26</v>
      </c>
      <c r="R362" s="4">
        <v>0</v>
      </c>
      <c r="S362" s="6">
        <v>0</v>
      </c>
      <c r="T362" s="6">
        <v>8</v>
      </c>
      <c r="U362" s="6">
        <v>46</v>
      </c>
      <c r="V362" s="6">
        <f>IF(ISERROR(VLOOKUP($S$362,'TAR FIN'!$A$1:$O$88,15,0)),0,VLOOKUP($S$362,'TAR FIN'!$A$1:$O$88,15,0))</f>
        <v>0</v>
      </c>
      <c r="W362" s="6">
        <f>IF(ISERROR(VLOOKUP($T$362,'TAR FIN'!$A$1:$O$88,15,0)),0,VLOOKUP($T$362,'TAR FIN'!$A$1:$O$88,15,0))</f>
        <v>320.74</v>
      </c>
      <c r="X362" s="6">
        <f>IF(ISERROR(VLOOKUP($U$362,'TAR FIN'!$A$1:$O$88,15,0)),0,VLOOKUP($U$362,'TAR FIN'!$A$1:$O$88,15,0))</f>
        <v>227</v>
      </c>
      <c r="Y362" s="6"/>
      <c r="Z362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2" s="6">
        <f>('TE BE'!$AB$13+'TE BF'!$AB$13+'TE CVA'!$AB$13)*(1-CUSTOS!$M$36)</f>
        <v>226.73204601018975</v>
      </c>
      <c r="AB362" s="6">
        <f>$K$362*$V$362</f>
        <v>0</v>
      </c>
      <c r="AC362" s="6">
        <f>$M$362*$W$362</f>
        <v>3362.3174200000003</v>
      </c>
      <c r="AD362" s="6">
        <f>$O$362*$X$362</f>
        <v>2379.6410000000001</v>
      </c>
      <c r="AE362" s="6">
        <f>$K$362*$Y$362</f>
        <v>0</v>
      </c>
      <c r="AF362" s="6">
        <f ca="1">$M$362*$Z$362</f>
        <v>3646.2228202922965</v>
      </c>
      <c r="AG362" s="6">
        <f>$O$362*$AA$362</f>
        <v>2376.8320383248192</v>
      </c>
    </row>
    <row r="363" spans="1:33" ht="11.25" customHeight="1" x14ac:dyDescent="0.25">
      <c r="A363" s="4" t="s">
        <v>21</v>
      </c>
      <c r="B363" s="4" t="s">
        <v>22</v>
      </c>
      <c r="C363" s="4" t="s">
        <v>23</v>
      </c>
      <c r="D363" s="4" t="s">
        <v>24</v>
      </c>
      <c r="E363" s="4" t="s">
        <v>31</v>
      </c>
      <c r="F363" s="4" t="s">
        <v>25</v>
      </c>
      <c r="G363" s="4" t="s">
        <v>25</v>
      </c>
      <c r="H363" s="4" t="s">
        <v>25</v>
      </c>
      <c r="I363" s="5">
        <v>44470</v>
      </c>
      <c r="J363" s="6">
        <v>0</v>
      </c>
      <c r="K363" s="6">
        <v>0</v>
      </c>
      <c r="L363" s="6">
        <v>10.374000000000001</v>
      </c>
      <c r="M363" s="6">
        <v>10.374000000000001</v>
      </c>
      <c r="N363" s="6">
        <v>10.374000000000001</v>
      </c>
      <c r="O363" s="6">
        <v>10.374000000000001</v>
      </c>
      <c r="P363" s="6">
        <v>130</v>
      </c>
      <c r="Q363" s="4" t="s">
        <v>26</v>
      </c>
      <c r="R363" s="4">
        <v>0</v>
      </c>
      <c r="S363" s="6">
        <v>0</v>
      </c>
      <c r="T363" s="6">
        <v>8</v>
      </c>
      <c r="U363" s="6">
        <v>46</v>
      </c>
      <c r="V363" s="6">
        <f>IF(ISERROR(VLOOKUP($S$363,'TAR FIN'!$A$1:$O$88,15,0)),0,VLOOKUP($S$363,'TAR FIN'!$A$1:$O$88,15,0))</f>
        <v>0</v>
      </c>
      <c r="W363" s="6">
        <f>IF(ISERROR(VLOOKUP($T$363,'TAR FIN'!$A$1:$O$88,15,0)),0,VLOOKUP($T$363,'TAR FIN'!$A$1:$O$88,15,0))</f>
        <v>320.74</v>
      </c>
      <c r="X363" s="6">
        <f>IF(ISERROR(VLOOKUP($U$363,'TAR FIN'!$A$1:$O$88,15,0)),0,VLOOKUP($U$363,'TAR FIN'!$A$1:$O$88,15,0))</f>
        <v>227</v>
      </c>
      <c r="Y363" s="6"/>
      <c r="Z363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3" s="6">
        <f>('TE BE'!$AB$13+'TE BF'!$AB$13+'TE CVA'!$AB$13)*(1-CUSTOS!$M$36)</f>
        <v>226.73204601018975</v>
      </c>
      <c r="AB363" s="6">
        <f>$K$363*$V$363</f>
        <v>0</v>
      </c>
      <c r="AC363" s="6">
        <f>$M$363*$W$363</f>
        <v>3327.3567600000001</v>
      </c>
      <c r="AD363" s="6">
        <f>$O$363*$X$363</f>
        <v>2354.8980000000001</v>
      </c>
      <c r="AE363" s="6">
        <f>$K$363*$Y$363</f>
        <v>0</v>
      </c>
      <c r="AF363" s="6">
        <f ca="1">$M$363*$Z$363</f>
        <v>3608.3101724422668</v>
      </c>
      <c r="AG363" s="6">
        <f>$O$363*$AA$363</f>
        <v>2352.1182453097085</v>
      </c>
    </row>
    <row r="364" spans="1:33" ht="11.25" customHeight="1" x14ac:dyDescent="0.25">
      <c r="A364" s="4" t="s">
        <v>21</v>
      </c>
      <c r="B364" s="4" t="s">
        <v>22</v>
      </c>
      <c r="C364" s="4" t="s">
        <v>23</v>
      </c>
      <c r="D364" s="4" t="s">
        <v>24</v>
      </c>
      <c r="E364" s="4" t="s">
        <v>31</v>
      </c>
      <c r="F364" s="4" t="s">
        <v>25</v>
      </c>
      <c r="G364" s="4" t="s">
        <v>25</v>
      </c>
      <c r="H364" s="4" t="s">
        <v>25</v>
      </c>
      <c r="I364" s="5">
        <v>44501</v>
      </c>
      <c r="J364" s="6">
        <v>0</v>
      </c>
      <c r="K364" s="6">
        <v>0</v>
      </c>
      <c r="L364" s="6">
        <v>12.676</v>
      </c>
      <c r="M364" s="6">
        <v>12.676</v>
      </c>
      <c r="N364" s="6">
        <v>12.676</v>
      </c>
      <c r="O364" s="6">
        <v>12.676</v>
      </c>
      <c r="P364" s="6">
        <v>130</v>
      </c>
      <c r="Q364" s="4" t="s">
        <v>26</v>
      </c>
      <c r="R364" s="4">
        <v>0</v>
      </c>
      <c r="S364" s="6">
        <v>0</v>
      </c>
      <c r="T364" s="6">
        <v>8</v>
      </c>
      <c r="U364" s="6">
        <v>46</v>
      </c>
      <c r="V364" s="6">
        <f>IF(ISERROR(VLOOKUP($S$364,'TAR FIN'!$A$1:$O$88,15,0)),0,VLOOKUP($S$364,'TAR FIN'!$A$1:$O$88,15,0))</f>
        <v>0</v>
      </c>
      <c r="W364" s="6">
        <f>IF(ISERROR(VLOOKUP($T$364,'TAR FIN'!$A$1:$O$88,15,0)),0,VLOOKUP($T$364,'TAR FIN'!$A$1:$O$88,15,0))</f>
        <v>320.74</v>
      </c>
      <c r="X364" s="6">
        <f>IF(ISERROR(VLOOKUP($U$364,'TAR FIN'!$A$1:$O$88,15,0)),0,VLOOKUP($U$364,'TAR FIN'!$A$1:$O$88,15,0))</f>
        <v>227</v>
      </c>
      <c r="Y364" s="6"/>
      <c r="Z364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4" s="6">
        <f>('TE BE'!$AB$13+'TE BF'!$AB$13+'TE CVA'!$AB$13)*(1-CUSTOS!$M$36)</f>
        <v>226.73204601018975</v>
      </c>
      <c r="AB364" s="6">
        <f>$K$364*$V$364</f>
        <v>0</v>
      </c>
      <c r="AC364" s="6">
        <f>$M$364*$W$364</f>
        <v>4065.7002400000001</v>
      </c>
      <c r="AD364" s="6">
        <f>$O$364*$X$364</f>
        <v>2877.4520000000002</v>
      </c>
      <c r="AE364" s="6">
        <f>$K$364*$Y$364</f>
        <v>0</v>
      </c>
      <c r="AF364" s="6">
        <f ca="1">$M$364*$Z$364</f>
        <v>4408.9974692383048</v>
      </c>
      <c r="AG364" s="6">
        <f>$O$364*$AA$364</f>
        <v>2874.0554152251652</v>
      </c>
    </row>
    <row r="365" spans="1:33" ht="11.25" customHeight="1" x14ac:dyDescent="0.25">
      <c r="A365" s="4" t="s">
        <v>21</v>
      </c>
      <c r="B365" s="4" t="s">
        <v>22</v>
      </c>
      <c r="C365" s="4" t="s">
        <v>23</v>
      </c>
      <c r="D365" s="4" t="s">
        <v>24</v>
      </c>
      <c r="E365" s="4" t="s">
        <v>31</v>
      </c>
      <c r="F365" s="4" t="s">
        <v>25</v>
      </c>
      <c r="G365" s="4" t="s">
        <v>25</v>
      </c>
      <c r="H365" s="4" t="s">
        <v>25</v>
      </c>
      <c r="I365" s="5">
        <v>44531</v>
      </c>
      <c r="J365" s="6">
        <v>0</v>
      </c>
      <c r="K365" s="6">
        <v>0</v>
      </c>
      <c r="L365" s="6">
        <v>13.093</v>
      </c>
      <c r="M365" s="6">
        <v>13.093</v>
      </c>
      <c r="N365" s="6">
        <v>13.093</v>
      </c>
      <c r="O365" s="6">
        <v>13.093</v>
      </c>
      <c r="P365" s="6">
        <v>143</v>
      </c>
      <c r="Q365" s="4" t="s">
        <v>26</v>
      </c>
      <c r="R365" s="4">
        <v>0</v>
      </c>
      <c r="S365" s="6">
        <v>0</v>
      </c>
      <c r="T365" s="6">
        <v>8</v>
      </c>
      <c r="U365" s="6">
        <v>46</v>
      </c>
      <c r="V365" s="6">
        <f>IF(ISERROR(VLOOKUP($S$365,'TAR FIN'!$A$1:$O$88,15,0)),0,VLOOKUP($S$365,'TAR FIN'!$A$1:$O$88,15,0))</f>
        <v>0</v>
      </c>
      <c r="W365" s="6">
        <f>IF(ISERROR(VLOOKUP($T$365,'TAR FIN'!$A$1:$O$88,15,0)),0,VLOOKUP($T$365,'TAR FIN'!$A$1:$O$88,15,0))</f>
        <v>320.74</v>
      </c>
      <c r="X365" s="6">
        <f>IF(ISERROR(VLOOKUP($U$365,'TAR FIN'!$A$1:$O$88,15,0)),0,VLOOKUP($U$365,'TAR FIN'!$A$1:$O$88,15,0))</f>
        <v>227</v>
      </c>
      <c r="Y365" s="6"/>
      <c r="Z365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5" s="6">
        <f>('TE BE'!$AB$13+'TE BF'!$AB$13+'TE CVA'!$AB$13)*(1-CUSTOS!$M$36)</f>
        <v>226.73204601018975</v>
      </c>
      <c r="AB365" s="6">
        <f>$K$365*$V$365</f>
        <v>0</v>
      </c>
      <c r="AC365" s="6">
        <f>$M$365*$W$365</f>
        <v>4199.4488200000005</v>
      </c>
      <c r="AD365" s="6">
        <f>$O$365*$X$365</f>
        <v>2972.1109999999999</v>
      </c>
      <c r="AE365" s="6">
        <f>$K$365*$Y$365</f>
        <v>0</v>
      </c>
      <c r="AF365" s="6">
        <f ca="1">$M$365*$Z$365</f>
        <v>4554.0394339489685</v>
      </c>
      <c r="AG365" s="6">
        <f>$O$365*$AA$365</f>
        <v>2968.6026784114142</v>
      </c>
    </row>
    <row r="366" spans="1:33" ht="11.25" customHeight="1" x14ac:dyDescent="0.25">
      <c r="A366" s="4" t="s">
        <v>28</v>
      </c>
      <c r="B366" s="4" t="s">
        <v>22</v>
      </c>
      <c r="C366" s="4" t="s">
        <v>23</v>
      </c>
      <c r="D366" s="4" t="s">
        <v>24</v>
      </c>
      <c r="E366" s="4" t="s">
        <v>31</v>
      </c>
      <c r="F366" s="4" t="s">
        <v>25</v>
      </c>
      <c r="G366" s="4" t="s">
        <v>25</v>
      </c>
      <c r="H366" s="4" t="s">
        <v>25</v>
      </c>
      <c r="I366" s="5">
        <v>44531</v>
      </c>
      <c r="J366" s="6">
        <v>0</v>
      </c>
      <c r="K366" s="6">
        <v>0</v>
      </c>
      <c r="L366" s="6">
        <v>0.13</v>
      </c>
      <c r="M366" s="6">
        <v>9.0999999999999998E-2</v>
      </c>
      <c r="N366" s="6">
        <v>0.13</v>
      </c>
      <c r="O366" s="6">
        <v>9.0999999999999998E-2</v>
      </c>
      <c r="P366" s="6">
        <v>1</v>
      </c>
      <c r="Q366" s="4" t="s">
        <v>26</v>
      </c>
      <c r="R366" s="4">
        <v>0</v>
      </c>
      <c r="S366" s="6">
        <v>0</v>
      </c>
      <c r="T366" s="6">
        <v>8</v>
      </c>
      <c r="U366" s="6">
        <v>46</v>
      </c>
      <c r="V366" s="6">
        <f>IF(ISERROR(VLOOKUP($S$366,'TAR FIN'!$A$1:$O$88,15,0)),0,VLOOKUP($S$366,'TAR FIN'!$A$1:$O$88,15,0))</f>
        <v>0</v>
      </c>
      <c r="W366" s="6">
        <f>IF(ISERROR(VLOOKUP($T$366,'TAR FIN'!$A$1:$O$88,15,0)),0,VLOOKUP($T$366,'TAR FIN'!$A$1:$O$88,15,0))</f>
        <v>320.74</v>
      </c>
      <c r="X366" s="6">
        <f>IF(ISERROR(VLOOKUP($U$366,'TAR FIN'!$A$1:$O$88,15,0)),0,VLOOKUP($U$366,'TAR FIN'!$A$1:$O$88,15,0))</f>
        <v>227</v>
      </c>
      <c r="Y366" s="6"/>
      <c r="Z366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6" s="6">
        <f>('TE BE'!$AB$13+'TE BF'!$AB$13+'TE CVA'!$AB$13)*(1-CUSTOS!$M$36)</f>
        <v>226.73204601018975</v>
      </c>
      <c r="AB366" s="6">
        <f>$K$366*$V$366</f>
        <v>0</v>
      </c>
      <c r="AC366" s="6">
        <f>$M$366*$W$366</f>
        <v>29.187339999999999</v>
      </c>
      <c r="AD366" s="6">
        <f>$O$366*$X$366</f>
        <v>20.657</v>
      </c>
      <c r="AE366" s="6">
        <f>$K$366*$Y$366</f>
        <v>0</v>
      </c>
      <c r="AF366" s="6">
        <f ca="1">$M$366*$Z$366</f>
        <v>31.651843617914619</v>
      </c>
      <c r="AG366" s="6">
        <f>$O$366*$AA$366</f>
        <v>20.632616186927265</v>
      </c>
    </row>
    <row r="367" spans="1:33" ht="11.25" customHeight="1" x14ac:dyDescent="0.25">
      <c r="A367" s="4" t="s">
        <v>21</v>
      </c>
      <c r="B367" s="4" t="s">
        <v>22</v>
      </c>
      <c r="C367" s="4" t="s">
        <v>23</v>
      </c>
      <c r="D367" s="4" t="s">
        <v>24</v>
      </c>
      <c r="E367" s="4" t="s">
        <v>31</v>
      </c>
      <c r="F367" s="4" t="s">
        <v>25</v>
      </c>
      <c r="G367" s="4" t="s">
        <v>25</v>
      </c>
      <c r="H367" s="4" t="s">
        <v>25</v>
      </c>
      <c r="I367" s="5">
        <v>44562</v>
      </c>
      <c r="J367" s="6">
        <v>0</v>
      </c>
      <c r="K367" s="6">
        <v>0</v>
      </c>
      <c r="L367" s="6">
        <v>16.968</v>
      </c>
      <c r="M367" s="6">
        <v>16.968</v>
      </c>
      <c r="N367" s="6">
        <v>16.968</v>
      </c>
      <c r="O367" s="6">
        <v>16.968</v>
      </c>
      <c r="P367" s="6">
        <v>144</v>
      </c>
      <c r="Q367" s="4" t="s">
        <v>26</v>
      </c>
      <c r="R367" s="4">
        <v>0</v>
      </c>
      <c r="S367" s="6">
        <v>0</v>
      </c>
      <c r="T367" s="6">
        <v>8</v>
      </c>
      <c r="U367" s="6">
        <v>46</v>
      </c>
      <c r="V367" s="6">
        <f>IF(ISERROR(VLOOKUP($S$367,'TAR FIN'!$A$1:$O$88,15,0)),0,VLOOKUP($S$367,'TAR FIN'!$A$1:$O$88,15,0))</f>
        <v>0</v>
      </c>
      <c r="W367" s="6">
        <f>IF(ISERROR(VLOOKUP($T$367,'TAR FIN'!$A$1:$O$88,15,0)),0,VLOOKUP($T$367,'TAR FIN'!$A$1:$O$88,15,0))</f>
        <v>320.74</v>
      </c>
      <c r="X367" s="6">
        <f>IF(ISERROR(VLOOKUP($U$367,'TAR FIN'!$A$1:$O$88,15,0)),0,VLOOKUP($U$367,'TAR FIN'!$A$1:$O$88,15,0))</f>
        <v>227</v>
      </c>
      <c r="Y367" s="6"/>
      <c r="Z367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7" s="6">
        <f>('TE BE'!$AB$13+'TE BF'!$AB$13+'TE CVA'!$AB$13)*(1-CUSTOS!$M$36)</f>
        <v>226.73204601018975</v>
      </c>
      <c r="AB367" s="6">
        <f>$K$367*$V$367</f>
        <v>0</v>
      </c>
      <c r="AC367" s="6">
        <f>$M$367*$W$367</f>
        <v>5442.3163199999999</v>
      </c>
      <c r="AD367" s="6">
        <f>$O$367*$X$367</f>
        <v>3851.7359999999999</v>
      </c>
      <c r="AE367" s="6">
        <f>$K$367*$Y$367</f>
        <v>0</v>
      </c>
      <c r="AF367" s="6">
        <f ca="1">$M$367*$Z$367</f>
        <v>5901.8514561403872</v>
      </c>
      <c r="AG367" s="6">
        <f>$O$367*$AA$367</f>
        <v>3847.1893567008997</v>
      </c>
    </row>
    <row r="368" spans="1:33" ht="11.25" customHeight="1" x14ac:dyDescent="0.25">
      <c r="A368" s="4" t="s">
        <v>28</v>
      </c>
      <c r="B368" s="4" t="s">
        <v>22</v>
      </c>
      <c r="C368" s="4" t="s">
        <v>23</v>
      </c>
      <c r="D368" s="4" t="s">
        <v>24</v>
      </c>
      <c r="E368" s="4" t="s">
        <v>31</v>
      </c>
      <c r="F368" s="4" t="s">
        <v>25</v>
      </c>
      <c r="G368" s="4" t="s">
        <v>25</v>
      </c>
      <c r="H368" s="4" t="s">
        <v>25</v>
      </c>
      <c r="I368" s="5">
        <v>44562</v>
      </c>
      <c r="J368" s="6">
        <v>0</v>
      </c>
      <c r="K368" s="6">
        <v>0</v>
      </c>
      <c r="L368" s="6">
        <v>0.18</v>
      </c>
      <c r="M368" s="6">
        <v>0.126</v>
      </c>
      <c r="N368" s="6">
        <v>0.18</v>
      </c>
      <c r="O368" s="6">
        <v>0.126</v>
      </c>
      <c r="P368" s="6">
        <v>0</v>
      </c>
      <c r="Q368" s="4" t="s">
        <v>26</v>
      </c>
      <c r="R368" s="4">
        <v>0</v>
      </c>
      <c r="S368" s="6">
        <v>0</v>
      </c>
      <c r="T368" s="6">
        <v>8</v>
      </c>
      <c r="U368" s="6">
        <v>46</v>
      </c>
      <c r="V368" s="6">
        <f>IF(ISERROR(VLOOKUP($S$368,'TAR FIN'!$A$1:$O$88,15,0)),0,VLOOKUP($S$368,'TAR FIN'!$A$1:$O$88,15,0))</f>
        <v>0</v>
      </c>
      <c r="W368" s="6">
        <f>IF(ISERROR(VLOOKUP($T$368,'TAR FIN'!$A$1:$O$88,15,0)),0,VLOOKUP($T$368,'TAR FIN'!$A$1:$O$88,15,0))</f>
        <v>320.74</v>
      </c>
      <c r="X368" s="6">
        <f>IF(ISERROR(VLOOKUP($U$368,'TAR FIN'!$A$1:$O$88,15,0)),0,VLOOKUP($U$368,'TAR FIN'!$A$1:$O$88,15,0))</f>
        <v>227</v>
      </c>
      <c r="Y368" s="6"/>
      <c r="Z368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8" s="6">
        <f>('TE BE'!$AB$13+'TE BF'!$AB$13+'TE CVA'!$AB$13)*(1-CUSTOS!$M$36)</f>
        <v>226.73204601018975</v>
      </c>
      <c r="AB368" s="6">
        <f>$K$368*$V$368</f>
        <v>0</v>
      </c>
      <c r="AC368" s="6">
        <f>$M$368*$W$368</f>
        <v>40.413240000000002</v>
      </c>
      <c r="AD368" s="6">
        <f>$O$368*$X$368</f>
        <v>28.602</v>
      </c>
      <c r="AE368" s="6">
        <f>$K$368*$Y$368</f>
        <v>0</v>
      </c>
      <c r="AF368" s="6">
        <f ca="1">$M$368*$Z$368</f>
        <v>43.825629624804861</v>
      </c>
      <c r="AG368" s="6">
        <f>$O$368*$AA$368</f>
        <v>28.56823779728391</v>
      </c>
    </row>
    <row r="369" spans="1:33" ht="11.25" customHeight="1" x14ac:dyDescent="0.25">
      <c r="A369" s="4" t="s">
        <v>21</v>
      </c>
      <c r="B369" s="4" t="s">
        <v>22</v>
      </c>
      <c r="C369" s="4" t="s">
        <v>23</v>
      </c>
      <c r="D369" s="4" t="s">
        <v>24</v>
      </c>
      <c r="E369" s="4" t="s">
        <v>31</v>
      </c>
      <c r="F369" s="4" t="s">
        <v>25</v>
      </c>
      <c r="G369" s="4" t="s">
        <v>25</v>
      </c>
      <c r="H369" s="4" t="s">
        <v>25</v>
      </c>
      <c r="I369" s="5">
        <v>44593</v>
      </c>
      <c r="J369" s="6">
        <v>0</v>
      </c>
      <c r="K369" s="6">
        <v>0</v>
      </c>
      <c r="L369" s="6">
        <v>18.715</v>
      </c>
      <c r="M369" s="6">
        <v>18.715</v>
      </c>
      <c r="N369" s="6">
        <v>18.715</v>
      </c>
      <c r="O369" s="6">
        <v>18.715</v>
      </c>
      <c r="P369" s="6">
        <v>138</v>
      </c>
      <c r="Q369" s="4" t="s">
        <v>26</v>
      </c>
      <c r="R369" s="4">
        <v>0</v>
      </c>
      <c r="S369" s="6">
        <v>0</v>
      </c>
      <c r="T369" s="6">
        <v>8</v>
      </c>
      <c r="U369" s="6">
        <v>46</v>
      </c>
      <c r="V369" s="6">
        <f>IF(ISERROR(VLOOKUP($S$369,'TAR FIN'!$A$1:$O$88,15,0)),0,VLOOKUP($S$369,'TAR FIN'!$A$1:$O$88,15,0))</f>
        <v>0</v>
      </c>
      <c r="W369" s="6">
        <f>IF(ISERROR(VLOOKUP($T$369,'TAR FIN'!$A$1:$O$88,15,0)),0,VLOOKUP($T$369,'TAR FIN'!$A$1:$O$88,15,0))</f>
        <v>320.74</v>
      </c>
      <c r="X369" s="6">
        <f>IF(ISERROR(VLOOKUP($U$369,'TAR FIN'!$A$1:$O$88,15,0)),0,VLOOKUP($U$369,'TAR FIN'!$A$1:$O$88,15,0))</f>
        <v>227</v>
      </c>
      <c r="Y369" s="6"/>
      <c r="Z369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69" s="6">
        <f>('TE BE'!$AB$13+'TE BF'!$AB$13+'TE CVA'!$AB$13)*(1-CUSTOS!$M$36)</f>
        <v>226.73204601018975</v>
      </c>
      <c r="AB369" s="6">
        <f>$K$369*$V$369</f>
        <v>0</v>
      </c>
      <c r="AC369" s="6">
        <f>$M$369*$W$369</f>
        <v>6002.6491000000005</v>
      </c>
      <c r="AD369" s="6">
        <f>$O$369*$X$369</f>
        <v>4248.3050000000003</v>
      </c>
      <c r="AE369" s="6">
        <f>$K$369*$Y$369</f>
        <v>0</v>
      </c>
      <c r="AF369" s="6">
        <f ca="1">$M$369*$Z$369</f>
        <v>6509.49728911288</v>
      </c>
      <c r="AG369" s="6">
        <f>$O$369*$AA$369</f>
        <v>4243.290241080701</v>
      </c>
    </row>
    <row r="370" spans="1:33" ht="11.25" customHeight="1" x14ac:dyDescent="0.25">
      <c r="A370" s="4" t="s">
        <v>28</v>
      </c>
      <c r="B370" s="4" t="s">
        <v>22</v>
      </c>
      <c r="C370" s="4" t="s">
        <v>23</v>
      </c>
      <c r="D370" s="4" t="s">
        <v>24</v>
      </c>
      <c r="E370" s="4" t="s">
        <v>31</v>
      </c>
      <c r="F370" s="4" t="s">
        <v>25</v>
      </c>
      <c r="G370" s="4" t="s">
        <v>25</v>
      </c>
      <c r="H370" s="4" t="s">
        <v>25</v>
      </c>
      <c r="I370" s="5">
        <v>44593</v>
      </c>
      <c r="J370" s="6">
        <v>0</v>
      </c>
      <c r="K370" s="6">
        <v>0</v>
      </c>
      <c r="L370" s="6">
        <v>0.24</v>
      </c>
      <c r="M370" s="6">
        <v>0.16800000000000001</v>
      </c>
      <c r="N370" s="6">
        <v>0.24</v>
      </c>
      <c r="O370" s="6">
        <v>0.16800000000000001</v>
      </c>
      <c r="P370" s="6">
        <v>0</v>
      </c>
      <c r="Q370" s="4" t="s">
        <v>26</v>
      </c>
      <c r="R370" s="4">
        <v>0</v>
      </c>
      <c r="S370" s="6">
        <v>0</v>
      </c>
      <c r="T370" s="6">
        <v>8</v>
      </c>
      <c r="U370" s="6">
        <v>46</v>
      </c>
      <c r="V370" s="6">
        <f>IF(ISERROR(VLOOKUP($S$370,'TAR FIN'!$A$1:$O$88,15,0)),0,VLOOKUP($S$370,'TAR FIN'!$A$1:$O$88,15,0))</f>
        <v>0</v>
      </c>
      <c r="W370" s="6">
        <f>IF(ISERROR(VLOOKUP($T$370,'TAR FIN'!$A$1:$O$88,15,0)),0,VLOOKUP($T$370,'TAR FIN'!$A$1:$O$88,15,0))</f>
        <v>320.74</v>
      </c>
      <c r="X370" s="6">
        <f>IF(ISERROR(VLOOKUP($U$370,'TAR FIN'!$A$1:$O$88,15,0)),0,VLOOKUP($U$370,'TAR FIN'!$A$1:$O$88,15,0))</f>
        <v>227</v>
      </c>
      <c r="Y370" s="6"/>
      <c r="Z370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70" s="6">
        <f>('TE BE'!$AB$13+'TE BF'!$AB$13+'TE CVA'!$AB$13)*(1-CUSTOS!$M$36)</f>
        <v>226.73204601018975</v>
      </c>
      <c r="AB370" s="6">
        <f>$K$370*$V$370</f>
        <v>0</v>
      </c>
      <c r="AC370" s="6">
        <f>$M$370*$W$370</f>
        <v>53.884320000000002</v>
      </c>
      <c r="AD370" s="6">
        <f>$O$370*$X$370</f>
        <v>38.136000000000003</v>
      </c>
      <c r="AE370" s="6">
        <f>$K$370*$Y$370</f>
        <v>0</v>
      </c>
      <c r="AF370" s="6">
        <f ca="1">$M$370*$Z$370</f>
        <v>58.434172833073148</v>
      </c>
      <c r="AG370" s="6">
        <f>$O$370*$AA$370</f>
        <v>38.09098372971188</v>
      </c>
    </row>
    <row r="371" spans="1:33" ht="11.25" customHeight="1" x14ac:dyDescent="0.25">
      <c r="A371" s="4" t="s">
        <v>21</v>
      </c>
      <c r="B371" s="4" t="s">
        <v>22</v>
      </c>
      <c r="C371" s="4" t="s">
        <v>23</v>
      </c>
      <c r="D371" s="4" t="s">
        <v>24</v>
      </c>
      <c r="E371" s="4" t="s">
        <v>31</v>
      </c>
      <c r="F371" s="4" t="s">
        <v>25</v>
      </c>
      <c r="G371" s="4" t="s">
        <v>25</v>
      </c>
      <c r="H371" s="4" t="s">
        <v>25</v>
      </c>
      <c r="I371" s="5">
        <v>44621</v>
      </c>
      <c r="J371" s="6">
        <v>0</v>
      </c>
      <c r="K371" s="6">
        <v>0</v>
      </c>
      <c r="L371" s="6">
        <v>18.001999999999999</v>
      </c>
      <c r="M371" s="6">
        <v>18.001999999999999</v>
      </c>
      <c r="N371" s="6">
        <v>18.001999999999999</v>
      </c>
      <c r="O371" s="6">
        <v>18.001999999999999</v>
      </c>
      <c r="P371" s="6">
        <v>157</v>
      </c>
      <c r="Q371" s="4" t="s">
        <v>26</v>
      </c>
      <c r="R371" s="4">
        <v>0</v>
      </c>
      <c r="S371" s="6">
        <v>0</v>
      </c>
      <c r="T371" s="6">
        <v>8</v>
      </c>
      <c r="U371" s="6">
        <v>46</v>
      </c>
      <c r="V371" s="6">
        <f>IF(ISERROR(VLOOKUP($S$371,'TAR FIN'!$A$1:$O$88,15,0)),0,VLOOKUP($S$371,'TAR FIN'!$A$1:$O$88,15,0))</f>
        <v>0</v>
      </c>
      <c r="W371" s="6">
        <f>IF(ISERROR(VLOOKUP($T$371,'TAR FIN'!$A$1:$O$88,15,0)),0,VLOOKUP($T$371,'TAR FIN'!$A$1:$O$88,15,0))</f>
        <v>320.74</v>
      </c>
      <c r="X371" s="6">
        <f>IF(ISERROR(VLOOKUP($U$371,'TAR FIN'!$A$1:$O$88,15,0)),0,VLOOKUP($U$371,'TAR FIN'!$A$1:$O$88,15,0))</f>
        <v>227</v>
      </c>
      <c r="Y371" s="6"/>
      <c r="Z371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71" s="6">
        <f>('TE BE'!$AB$13+'TE BF'!$AB$13+'TE CVA'!$AB$13)*(1-CUSTOS!$M$36)</f>
        <v>226.73204601018975</v>
      </c>
      <c r="AB371" s="6">
        <f>$K$371*$V$371</f>
        <v>0</v>
      </c>
      <c r="AC371" s="6">
        <f>$M$371*$W$371</f>
        <v>5773.9614799999999</v>
      </c>
      <c r="AD371" s="6">
        <f>$O$371*$X$371</f>
        <v>4086.4539999999997</v>
      </c>
      <c r="AE371" s="6">
        <f>$K$371*$Y$371</f>
        <v>0</v>
      </c>
      <c r="AF371" s="6">
        <f ca="1">$M$371*$Z$371</f>
        <v>6261.4998770296588</v>
      </c>
      <c r="AG371" s="6">
        <f>$O$371*$AA$371</f>
        <v>4081.6302922754357</v>
      </c>
    </row>
    <row r="372" spans="1:33" ht="11.25" customHeight="1" x14ac:dyDescent="0.25">
      <c r="A372" s="4" t="s">
        <v>28</v>
      </c>
      <c r="B372" s="4" t="s">
        <v>22</v>
      </c>
      <c r="C372" s="4" t="s">
        <v>23</v>
      </c>
      <c r="D372" s="4" t="s">
        <v>24</v>
      </c>
      <c r="E372" s="4" t="s">
        <v>31</v>
      </c>
      <c r="F372" s="4" t="s">
        <v>25</v>
      </c>
      <c r="G372" s="4" t="s">
        <v>25</v>
      </c>
      <c r="H372" s="4" t="s">
        <v>25</v>
      </c>
      <c r="I372" s="5">
        <v>44621</v>
      </c>
      <c r="J372" s="6">
        <v>0</v>
      </c>
      <c r="K372" s="6">
        <v>0</v>
      </c>
      <c r="L372" s="6">
        <v>0.22800000000000001</v>
      </c>
      <c r="M372" s="6">
        <v>0.1368</v>
      </c>
      <c r="N372" s="6">
        <v>0.22800000000000001</v>
      </c>
      <c r="O372" s="6">
        <v>0.1368</v>
      </c>
      <c r="P372" s="6">
        <v>0</v>
      </c>
      <c r="Q372" s="4" t="s">
        <v>26</v>
      </c>
      <c r="R372" s="4">
        <v>0</v>
      </c>
      <c r="S372" s="6">
        <v>0</v>
      </c>
      <c r="T372" s="6">
        <v>8</v>
      </c>
      <c r="U372" s="6">
        <v>46</v>
      </c>
      <c r="V372" s="6">
        <f>IF(ISERROR(VLOOKUP($S$372,'TAR FIN'!$A$1:$O$88,15,0)),0,VLOOKUP($S$372,'TAR FIN'!$A$1:$O$88,15,0))</f>
        <v>0</v>
      </c>
      <c r="W372" s="6">
        <f>IF(ISERROR(VLOOKUP($T$372,'TAR FIN'!$A$1:$O$88,15,0)),0,VLOOKUP($T$372,'TAR FIN'!$A$1:$O$88,15,0))</f>
        <v>320.74</v>
      </c>
      <c r="X372" s="6">
        <f>IF(ISERROR(VLOOKUP($U$372,'TAR FIN'!$A$1:$O$88,15,0)),0,VLOOKUP($U$372,'TAR FIN'!$A$1:$O$88,15,0))</f>
        <v>227</v>
      </c>
      <c r="Y372" s="6"/>
      <c r="Z372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72" s="6">
        <f>('TE BE'!$AB$13+'TE BF'!$AB$13+'TE CVA'!$AB$13)*(1-CUSTOS!$M$36)</f>
        <v>226.73204601018975</v>
      </c>
      <c r="AB372" s="6">
        <f>$K$372*$V$372</f>
        <v>0</v>
      </c>
      <c r="AC372" s="6">
        <f>$M$372*$W$372</f>
        <v>43.877231999999999</v>
      </c>
      <c r="AD372" s="6">
        <f>$O$372*$X$372</f>
        <v>31.053599999999999</v>
      </c>
      <c r="AE372" s="6">
        <f>$K$372*$Y$372</f>
        <v>0</v>
      </c>
      <c r="AF372" s="6">
        <f ca="1">$M$372*$Z$372</f>
        <v>47.582112164073848</v>
      </c>
      <c r="AG372" s="6">
        <f>$O$372*$AA$372</f>
        <v>31.016943894193957</v>
      </c>
    </row>
    <row r="373" spans="1:33" ht="11.25" customHeight="1" x14ac:dyDescent="0.25">
      <c r="A373" s="4" t="s">
        <v>21</v>
      </c>
      <c r="B373" s="4" t="s">
        <v>22</v>
      </c>
      <c r="C373" s="4" t="s">
        <v>23</v>
      </c>
      <c r="D373" s="4" t="s">
        <v>24</v>
      </c>
      <c r="E373" s="4" t="s">
        <v>31</v>
      </c>
      <c r="F373" s="4" t="s">
        <v>25</v>
      </c>
      <c r="G373" s="4" t="s">
        <v>25</v>
      </c>
      <c r="H373" s="4" t="s">
        <v>25</v>
      </c>
      <c r="I373" s="5">
        <v>44652</v>
      </c>
      <c r="J373" s="6">
        <v>0</v>
      </c>
      <c r="K373" s="6">
        <v>0</v>
      </c>
      <c r="L373" s="6">
        <v>28.111999999999998</v>
      </c>
      <c r="M373" s="6">
        <v>28.111999999999998</v>
      </c>
      <c r="N373" s="6">
        <v>28.111999999999998</v>
      </c>
      <c r="O373" s="6">
        <v>28.111999999999998</v>
      </c>
      <c r="P373" s="6">
        <v>353</v>
      </c>
      <c r="Q373" s="4" t="s">
        <v>26</v>
      </c>
      <c r="R373" s="4">
        <v>0</v>
      </c>
      <c r="S373" s="6">
        <v>0</v>
      </c>
      <c r="T373" s="6">
        <v>8</v>
      </c>
      <c r="U373" s="6">
        <v>46</v>
      </c>
      <c r="V373" s="6">
        <f>IF(ISERROR(VLOOKUP($S$373,'TAR FIN'!$A$1:$O$88,15,0)),0,VLOOKUP($S$373,'TAR FIN'!$A$1:$O$88,15,0))</f>
        <v>0</v>
      </c>
      <c r="W373" s="6">
        <f>IF(ISERROR(VLOOKUP($T$373,'TAR FIN'!$A$1:$O$88,15,0)),0,VLOOKUP($T$373,'TAR FIN'!$A$1:$O$88,15,0))</f>
        <v>320.74</v>
      </c>
      <c r="X373" s="6">
        <f>IF(ISERROR(VLOOKUP($U$373,'TAR FIN'!$A$1:$O$88,15,0)),0,VLOOKUP($U$373,'TAR FIN'!$A$1:$O$88,15,0))</f>
        <v>227</v>
      </c>
      <c r="Y373" s="6"/>
      <c r="Z373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73" s="6">
        <f>('TE BE'!$AB$13+'TE BF'!$AB$13+'TE CVA'!$AB$13)*(1-CUSTOS!$M$36)</f>
        <v>226.73204601018975</v>
      </c>
      <c r="AB373" s="6">
        <f>$K$373*$V$373</f>
        <v>0</v>
      </c>
      <c r="AC373" s="6">
        <f>$M$373*$W$373</f>
        <v>9016.6428799999994</v>
      </c>
      <c r="AD373" s="6">
        <f>$O$373*$X$373</f>
        <v>6381.424</v>
      </c>
      <c r="AE373" s="6">
        <f>$K$373*$Y$373</f>
        <v>0</v>
      </c>
      <c r="AF373" s="6">
        <f ca="1">$M$373*$Z$373</f>
        <v>9777.9849207342395</v>
      </c>
      <c r="AG373" s="6">
        <f>$O$373*$AA$373</f>
        <v>6373.8912774384535</v>
      </c>
    </row>
    <row r="374" spans="1:33" ht="11.25" customHeight="1" x14ac:dyDescent="0.25">
      <c r="A374" s="4" t="s">
        <v>21</v>
      </c>
      <c r="B374" s="4" t="s">
        <v>22</v>
      </c>
      <c r="C374" s="4" t="s">
        <v>23</v>
      </c>
      <c r="D374" s="4" t="s">
        <v>24</v>
      </c>
      <c r="E374" s="4" t="s">
        <v>31</v>
      </c>
      <c r="F374" s="4" t="s">
        <v>25</v>
      </c>
      <c r="G374" s="4" t="s">
        <v>25</v>
      </c>
      <c r="H374" s="4" t="s">
        <v>25</v>
      </c>
      <c r="I374" s="5">
        <v>44682</v>
      </c>
      <c r="J374" s="6">
        <v>0</v>
      </c>
      <c r="K374" s="6">
        <v>0</v>
      </c>
      <c r="L374" s="6">
        <v>25.114999999999998</v>
      </c>
      <c r="M374" s="6">
        <v>25.114999999999998</v>
      </c>
      <c r="N374" s="6">
        <v>25.114999999999998</v>
      </c>
      <c r="O374" s="6">
        <v>25.114999999999998</v>
      </c>
      <c r="P374" s="6">
        <v>363</v>
      </c>
      <c r="Q374" s="4" t="s">
        <v>26</v>
      </c>
      <c r="R374" s="4">
        <v>0</v>
      </c>
      <c r="S374" s="6">
        <v>0</v>
      </c>
      <c r="T374" s="6">
        <v>8</v>
      </c>
      <c r="U374" s="6">
        <v>46</v>
      </c>
      <c r="V374" s="6">
        <f>IF(ISERROR(VLOOKUP($S$374,'TAR FIN'!$A$1:$O$88,15,0)),0,VLOOKUP($S$374,'TAR FIN'!$A$1:$O$88,15,0))</f>
        <v>0</v>
      </c>
      <c r="W374" s="6">
        <f>IF(ISERROR(VLOOKUP($T$374,'TAR FIN'!$A$1:$O$88,15,0)),0,VLOOKUP($T$374,'TAR FIN'!$A$1:$O$88,15,0))</f>
        <v>320.74</v>
      </c>
      <c r="X374" s="6">
        <f>IF(ISERROR(VLOOKUP($U$374,'TAR FIN'!$A$1:$O$88,15,0)),0,VLOOKUP($U$374,'TAR FIN'!$A$1:$O$88,15,0))</f>
        <v>227</v>
      </c>
      <c r="Y374" s="6"/>
      <c r="Z374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74" s="6">
        <f>('TE BE'!$AB$13+'TE BF'!$AB$13+'TE CVA'!$AB$13)*(1-CUSTOS!$M$36)</f>
        <v>226.73204601018975</v>
      </c>
      <c r="AB374" s="6">
        <f>$K$374*$V$374</f>
        <v>0</v>
      </c>
      <c r="AC374" s="6">
        <f>$M$374*$W$374</f>
        <v>8055.3850999999995</v>
      </c>
      <c r="AD374" s="6">
        <f>$O$374*$X$374</f>
        <v>5701.1049999999996</v>
      </c>
      <c r="AE374" s="6">
        <f>$K$374*$Y$374</f>
        <v>0</v>
      </c>
      <c r="AF374" s="6">
        <f ca="1">$M$374*$Z$374</f>
        <v>8735.5610160870947</v>
      </c>
      <c r="AG374" s="6">
        <f>$O$374*$AA$374</f>
        <v>5694.3753355459148</v>
      </c>
    </row>
    <row r="375" spans="1:33" ht="11.25" customHeight="1" x14ac:dyDescent="0.25">
      <c r="A375" s="4" t="s">
        <v>27</v>
      </c>
      <c r="B375" s="4" t="s">
        <v>22</v>
      </c>
      <c r="C375" s="4" t="s">
        <v>23</v>
      </c>
      <c r="D375" s="4" t="s">
        <v>24</v>
      </c>
      <c r="E375" s="4" t="s">
        <v>31</v>
      </c>
      <c r="F375" s="4" t="s">
        <v>25</v>
      </c>
      <c r="G375" s="4" t="s">
        <v>25</v>
      </c>
      <c r="H375" s="4" t="s">
        <v>25</v>
      </c>
      <c r="I375" s="5">
        <v>44682</v>
      </c>
      <c r="J375" s="6">
        <v>0</v>
      </c>
      <c r="K375" s="6">
        <v>0</v>
      </c>
      <c r="L375" s="6">
        <v>-0.12</v>
      </c>
      <c r="M375" s="6">
        <v>-0.12</v>
      </c>
      <c r="N375" s="6">
        <v>-0.12</v>
      </c>
      <c r="O375" s="6">
        <v>-0.12</v>
      </c>
      <c r="P375" s="6">
        <v>0</v>
      </c>
      <c r="Q375" s="4" t="s">
        <v>26</v>
      </c>
      <c r="R375" s="4">
        <v>0</v>
      </c>
      <c r="S375" s="6">
        <v>0</v>
      </c>
      <c r="T375" s="6">
        <v>8</v>
      </c>
      <c r="U375" s="6">
        <v>46</v>
      </c>
      <c r="V375" s="6">
        <f>IF(ISERROR(VLOOKUP($S$375,'TAR FIN'!$A$1:$O$88,15,0)),0,VLOOKUP($S$375,'TAR FIN'!$A$1:$O$88,15,0))</f>
        <v>0</v>
      </c>
      <c r="W375" s="6">
        <f>IF(ISERROR(VLOOKUP($T$375,'TAR FIN'!$A$1:$O$88,15,0)),0,VLOOKUP($T$375,'TAR FIN'!$A$1:$O$88,15,0))</f>
        <v>320.74</v>
      </c>
      <c r="X375" s="6">
        <f>IF(ISERROR(VLOOKUP($U$375,'TAR FIN'!$A$1:$O$88,15,0)),0,VLOOKUP($U$375,'TAR FIN'!$A$1:$O$88,15,0))</f>
        <v>227</v>
      </c>
      <c r="Y375" s="6"/>
      <c r="Z375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75" s="6">
        <f>('TE BE'!$AB$13+'TE BF'!$AB$13+'TE CVA'!$AB$13)*(1-CUSTOS!$M$36)</f>
        <v>226.73204601018975</v>
      </c>
      <c r="AB375" s="6">
        <f>$K$375*$V$375</f>
        <v>0</v>
      </c>
      <c r="AC375" s="6">
        <f>$M$375*$W$375</f>
        <v>-38.488799999999998</v>
      </c>
      <c r="AD375" s="6">
        <f>$O$375*$X$375</f>
        <v>-27.24</v>
      </c>
      <c r="AE375" s="6">
        <f>$K$375*$Y$375</f>
        <v>0</v>
      </c>
      <c r="AF375" s="6">
        <f ca="1">$M$375*$Z$375</f>
        <v>-41.738694880766531</v>
      </c>
      <c r="AG375" s="6">
        <f>$O$375*$AA$375</f>
        <v>-27.207845521222769</v>
      </c>
    </row>
    <row r="376" spans="1:33" ht="11.25" customHeight="1" x14ac:dyDescent="0.25">
      <c r="A376" s="4" t="s">
        <v>28</v>
      </c>
      <c r="B376" s="4" t="s">
        <v>22</v>
      </c>
      <c r="C376" s="4" t="s">
        <v>23</v>
      </c>
      <c r="D376" s="4" t="s">
        <v>24</v>
      </c>
      <c r="E376" s="4" t="s">
        <v>31</v>
      </c>
      <c r="F376" s="4" t="s">
        <v>25</v>
      </c>
      <c r="G376" s="4" t="s">
        <v>25</v>
      </c>
      <c r="H376" s="4" t="s">
        <v>25</v>
      </c>
      <c r="I376" s="5">
        <v>44682</v>
      </c>
      <c r="J376" s="6">
        <v>0</v>
      </c>
      <c r="K376" s="6">
        <v>0</v>
      </c>
      <c r="L376" s="6">
        <v>8.9999999999999993E-3</v>
      </c>
      <c r="M376" s="6">
        <v>8.9999999999999998E-4</v>
      </c>
      <c r="N376" s="6">
        <v>8.9999999999999993E-3</v>
      </c>
      <c r="O376" s="6">
        <v>8.9999999999999998E-4</v>
      </c>
      <c r="P376" s="6">
        <v>6</v>
      </c>
      <c r="Q376" s="4" t="s">
        <v>26</v>
      </c>
      <c r="R376" s="4">
        <v>0</v>
      </c>
      <c r="S376" s="6">
        <v>0</v>
      </c>
      <c r="T376" s="6">
        <v>8</v>
      </c>
      <c r="U376" s="6">
        <v>46</v>
      </c>
      <c r="V376" s="6">
        <f>IF(ISERROR(VLOOKUP($S$376,'TAR FIN'!$A$1:$O$88,15,0)),0,VLOOKUP($S$376,'TAR FIN'!$A$1:$O$88,15,0))</f>
        <v>0</v>
      </c>
      <c r="W376" s="6">
        <f>IF(ISERROR(VLOOKUP($T$376,'TAR FIN'!$A$1:$O$88,15,0)),0,VLOOKUP($T$376,'TAR FIN'!$A$1:$O$88,15,0))</f>
        <v>320.74</v>
      </c>
      <c r="X376" s="6">
        <f>IF(ISERROR(VLOOKUP($U$376,'TAR FIN'!$A$1:$O$88,15,0)),0,VLOOKUP($U$376,'TAR FIN'!$A$1:$O$88,15,0))</f>
        <v>227</v>
      </c>
      <c r="Y376" s="6"/>
      <c r="Z376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76" s="6">
        <f>('TE BE'!$AB$13+'TE BF'!$AB$13+'TE CVA'!$AB$13)*(1-CUSTOS!$M$36)</f>
        <v>226.73204601018975</v>
      </c>
      <c r="AB376" s="6">
        <f>$K$376*$V$376</f>
        <v>0</v>
      </c>
      <c r="AC376" s="6">
        <f>$M$376*$W$376</f>
        <v>0.28866599999999998</v>
      </c>
      <c r="AD376" s="6">
        <f>$O$376*$X$376</f>
        <v>0.20429999999999998</v>
      </c>
      <c r="AE376" s="6">
        <f>$K$376*$Y$376</f>
        <v>0</v>
      </c>
      <c r="AF376" s="6">
        <f ca="1">$M$376*$Z$376</f>
        <v>0.31304021160574896</v>
      </c>
      <c r="AG376" s="6">
        <f>$O$376*$AA$376</f>
        <v>0.20405884140917077</v>
      </c>
    </row>
    <row r="377" spans="1:33" ht="11.25" customHeight="1" x14ac:dyDescent="0.25">
      <c r="A377" s="4" t="s">
        <v>21</v>
      </c>
      <c r="B377" s="4" t="s">
        <v>22</v>
      </c>
      <c r="C377" s="4" t="s">
        <v>23</v>
      </c>
      <c r="D377" s="4" t="s">
        <v>24</v>
      </c>
      <c r="E377" s="4" t="s">
        <v>31</v>
      </c>
      <c r="F377" s="4" t="s">
        <v>25</v>
      </c>
      <c r="G377" s="4" t="s">
        <v>25</v>
      </c>
      <c r="H377" s="4" t="s">
        <v>25</v>
      </c>
      <c r="I377" s="5">
        <v>44713</v>
      </c>
      <c r="J377" s="6">
        <v>0</v>
      </c>
      <c r="K377" s="6">
        <v>0</v>
      </c>
      <c r="L377" s="6">
        <v>23.856999999999999</v>
      </c>
      <c r="M377" s="6">
        <v>23.856999999999999</v>
      </c>
      <c r="N377" s="6">
        <v>23.856999999999999</v>
      </c>
      <c r="O377" s="6">
        <v>23.856999999999999</v>
      </c>
      <c r="P377" s="6">
        <v>344</v>
      </c>
      <c r="Q377" s="4" t="s">
        <v>26</v>
      </c>
      <c r="R377" s="4">
        <v>0</v>
      </c>
      <c r="S377" s="6">
        <v>0</v>
      </c>
      <c r="T377" s="6">
        <v>8</v>
      </c>
      <c r="U377" s="6">
        <v>46</v>
      </c>
      <c r="V377" s="6">
        <f>IF(ISERROR(VLOOKUP($S$377,'TAR FIN'!$A$1:$O$88,15,0)),0,VLOOKUP($S$377,'TAR FIN'!$A$1:$O$88,15,0))</f>
        <v>0</v>
      </c>
      <c r="W377" s="6">
        <f>IF(ISERROR(VLOOKUP($T$377,'TAR FIN'!$A$1:$O$88,15,0)),0,VLOOKUP($T$377,'TAR FIN'!$A$1:$O$88,15,0))</f>
        <v>320.74</v>
      </c>
      <c r="X377" s="6">
        <f>IF(ISERROR(VLOOKUP($U$377,'TAR FIN'!$A$1:$O$88,15,0)),0,VLOOKUP($U$377,'TAR FIN'!$A$1:$O$88,15,0))</f>
        <v>227</v>
      </c>
      <c r="Y377" s="6"/>
      <c r="Z377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77" s="6">
        <f>('TE BE'!$AB$13+'TE BF'!$AB$13+'TE CVA'!$AB$13)*(1-CUSTOS!$M$36)</f>
        <v>226.73204601018975</v>
      </c>
      <c r="AB377" s="6">
        <f>$K$377*$V$377</f>
        <v>0</v>
      </c>
      <c r="AC377" s="6">
        <f>$M$377*$W$377</f>
        <v>7651.8941800000002</v>
      </c>
      <c r="AD377" s="6">
        <f>$O$377*$X$377</f>
        <v>5415.5389999999998</v>
      </c>
      <c r="AE377" s="6">
        <f>$K$377*$Y$377</f>
        <v>0</v>
      </c>
      <c r="AF377" s="6">
        <f ca="1">$M$377*$Z$377</f>
        <v>8298.0003647537251</v>
      </c>
      <c r="AG377" s="6">
        <f>$O$377*$AA$377</f>
        <v>5409.1464216650966</v>
      </c>
    </row>
    <row r="378" spans="1:33" ht="11.25" customHeight="1" x14ac:dyDescent="0.25">
      <c r="A378" s="4" t="s">
        <v>28</v>
      </c>
      <c r="B378" s="4" t="s">
        <v>22</v>
      </c>
      <c r="C378" s="4" t="s">
        <v>23</v>
      </c>
      <c r="D378" s="4" t="s">
        <v>24</v>
      </c>
      <c r="E378" s="4" t="s">
        <v>31</v>
      </c>
      <c r="F378" s="4" t="s">
        <v>25</v>
      </c>
      <c r="G378" s="4" t="s">
        <v>25</v>
      </c>
      <c r="H378" s="4" t="s">
        <v>25</v>
      </c>
      <c r="I378" s="5">
        <v>44713</v>
      </c>
      <c r="J378" s="6">
        <v>0</v>
      </c>
      <c r="K378" s="6">
        <v>0</v>
      </c>
      <c r="L378" s="6">
        <v>3.5999999999999997E-2</v>
      </c>
      <c r="M378" s="6">
        <v>0</v>
      </c>
      <c r="N378" s="6">
        <v>3.5999999999999997E-2</v>
      </c>
      <c r="O378" s="6">
        <v>0</v>
      </c>
      <c r="P378" s="6">
        <v>6</v>
      </c>
      <c r="Q378" s="4" t="s">
        <v>26</v>
      </c>
      <c r="R378" s="4">
        <v>0</v>
      </c>
      <c r="S378" s="6">
        <v>0</v>
      </c>
      <c r="T378" s="6">
        <v>8</v>
      </c>
      <c r="U378" s="6">
        <v>46</v>
      </c>
      <c r="V378" s="6">
        <f>IF(ISERROR(VLOOKUP($S$378,'TAR FIN'!$A$1:$O$88,15,0)),0,VLOOKUP($S$378,'TAR FIN'!$A$1:$O$88,15,0))</f>
        <v>0</v>
      </c>
      <c r="W378" s="6">
        <f>IF(ISERROR(VLOOKUP($T$378,'TAR FIN'!$A$1:$O$88,15,0)),0,VLOOKUP($T$378,'TAR FIN'!$A$1:$O$88,15,0))</f>
        <v>320.74</v>
      </c>
      <c r="X378" s="6">
        <f>IF(ISERROR(VLOOKUP($U$378,'TAR FIN'!$A$1:$O$88,15,0)),0,VLOOKUP($U$378,'TAR FIN'!$A$1:$O$88,15,0))</f>
        <v>227</v>
      </c>
      <c r="Y378" s="6"/>
      <c r="Z378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378" s="6">
        <f>('TE BE'!$AB$13+'TE BF'!$AB$13+'TE CVA'!$AB$13)*(1-CUSTOS!$M$36)</f>
        <v>226.73204601018975</v>
      </c>
      <c r="AB378" s="6">
        <f>$K$378*$V$378</f>
        <v>0</v>
      </c>
      <c r="AC378" s="6">
        <f>$M$378*$W$378</f>
        <v>0</v>
      </c>
      <c r="AD378" s="6">
        <f>$O$378*$X$378</f>
        <v>0</v>
      </c>
      <c r="AE378" s="6">
        <f>$K$378*$Y$378</f>
        <v>0</v>
      </c>
      <c r="AF378" s="6">
        <f ca="1">$M$378*$Z$378</f>
        <v>0</v>
      </c>
      <c r="AG378" s="6">
        <f>$O$378*$AA$378</f>
        <v>0</v>
      </c>
    </row>
    <row r="379" spans="1:33" ht="11.25" customHeight="1" x14ac:dyDescent="0.25">
      <c r="A379" s="4" t="s">
        <v>21</v>
      </c>
      <c r="B379" s="4" t="s">
        <v>22</v>
      </c>
      <c r="C379" s="4" t="s">
        <v>23</v>
      </c>
      <c r="D379" s="4" t="s">
        <v>24</v>
      </c>
      <c r="E379" s="4" t="s">
        <v>32</v>
      </c>
      <c r="F379" s="4" t="s">
        <v>25</v>
      </c>
      <c r="G379" s="4" t="s">
        <v>25</v>
      </c>
      <c r="H379" s="4" t="s">
        <v>25</v>
      </c>
      <c r="I379" s="5">
        <v>44378</v>
      </c>
      <c r="J379" s="6">
        <v>0</v>
      </c>
      <c r="K379" s="6">
        <v>0</v>
      </c>
      <c r="L379" s="6">
        <v>1.22</v>
      </c>
      <c r="M379" s="6">
        <v>1.22</v>
      </c>
      <c r="N379" s="6">
        <v>1.22</v>
      </c>
      <c r="O379" s="6">
        <v>1.22</v>
      </c>
      <c r="P379" s="6">
        <v>24</v>
      </c>
      <c r="Q379" s="4" t="s">
        <v>26</v>
      </c>
      <c r="R379" s="4">
        <v>0</v>
      </c>
      <c r="S379" s="6">
        <v>0</v>
      </c>
      <c r="T379" s="6">
        <v>14</v>
      </c>
      <c r="U379" s="6">
        <v>86</v>
      </c>
      <c r="V379" s="6">
        <f>IF(ISERROR(VLOOKUP($S$379,'TAR FIN'!$A$1:$O$88,15,0)),0,VLOOKUP($S$379,'TAR FIN'!$A$1:$O$88,15,0))</f>
        <v>0</v>
      </c>
      <c r="W379" s="6">
        <f>IF(ISERROR(VLOOKUP($T$379,'TAR FIN'!$A$1:$O$88,15,0)),0,VLOOKUP($T$379,'TAR FIN'!$A$1:$O$88,15,0))</f>
        <v>356.37</v>
      </c>
      <c r="X379" s="6">
        <f>IF(ISERROR(VLOOKUP($U$379,'TAR FIN'!$A$1:$O$88,15,0)),0,VLOOKUP($U$379,'TAR FIN'!$A$1:$O$88,15,0))</f>
        <v>252.22</v>
      </c>
      <c r="Y379" s="6"/>
      <c r="Z379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79" s="6">
        <f>('TE BE'!$AB$14+'TE BF'!$AB$14+'TE CVA'!$AB$14)*(1-CUSTOS!$M$37)</f>
        <v>251.92449556687748</v>
      </c>
      <c r="AB379" s="6">
        <f>$K$379*$V$379</f>
        <v>0</v>
      </c>
      <c r="AC379" s="6">
        <f>$M$379*$W$379</f>
        <v>434.77139999999997</v>
      </c>
      <c r="AD379" s="6">
        <f>$O$379*$X$379</f>
        <v>307.70839999999998</v>
      </c>
      <c r="AE379" s="6">
        <f>$K$379*$Y$379</f>
        <v>0</v>
      </c>
      <c r="AF379" s="6">
        <f ca="1">$M$379*$Z$379</f>
        <v>471.49266439384417</v>
      </c>
      <c r="AG379" s="6">
        <f>$O$379*$AA$379</f>
        <v>307.34788459159051</v>
      </c>
    </row>
    <row r="380" spans="1:33" ht="11.25" customHeight="1" x14ac:dyDescent="0.25">
      <c r="A380" s="4" t="s">
        <v>21</v>
      </c>
      <c r="B380" s="4" t="s">
        <v>22</v>
      </c>
      <c r="C380" s="4" t="s">
        <v>23</v>
      </c>
      <c r="D380" s="4" t="s">
        <v>24</v>
      </c>
      <c r="E380" s="4" t="s">
        <v>32</v>
      </c>
      <c r="F380" s="4" t="s">
        <v>25</v>
      </c>
      <c r="G380" s="4" t="s">
        <v>25</v>
      </c>
      <c r="H380" s="4" t="s">
        <v>25</v>
      </c>
      <c r="I380" s="5">
        <v>44409</v>
      </c>
      <c r="J380" s="6">
        <v>0</v>
      </c>
      <c r="K380" s="6">
        <v>0</v>
      </c>
      <c r="L380" s="6">
        <v>1.6419999999999999</v>
      </c>
      <c r="M380" s="6">
        <v>1.6419999999999999</v>
      </c>
      <c r="N380" s="6">
        <v>1.6419999999999999</v>
      </c>
      <c r="O380" s="6">
        <v>1.6419999999999999</v>
      </c>
      <c r="P380" s="6">
        <v>29</v>
      </c>
      <c r="Q380" s="4" t="s">
        <v>26</v>
      </c>
      <c r="R380" s="4">
        <v>0</v>
      </c>
      <c r="S380" s="6">
        <v>0</v>
      </c>
      <c r="T380" s="6">
        <v>14</v>
      </c>
      <c r="U380" s="6">
        <v>86</v>
      </c>
      <c r="V380" s="6">
        <f>IF(ISERROR(VLOOKUP($S$380,'TAR FIN'!$A$1:$O$88,15,0)),0,VLOOKUP($S$380,'TAR FIN'!$A$1:$O$88,15,0))</f>
        <v>0</v>
      </c>
      <c r="W380" s="6">
        <f>IF(ISERROR(VLOOKUP($T$380,'TAR FIN'!$A$1:$O$88,15,0)),0,VLOOKUP($T$380,'TAR FIN'!$A$1:$O$88,15,0))</f>
        <v>356.37</v>
      </c>
      <c r="X380" s="6">
        <f>IF(ISERROR(VLOOKUP($U$380,'TAR FIN'!$A$1:$O$88,15,0)),0,VLOOKUP($U$380,'TAR FIN'!$A$1:$O$88,15,0))</f>
        <v>252.22</v>
      </c>
      <c r="Y380" s="6"/>
      <c r="Z380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0" s="6">
        <f>('TE BE'!$AB$14+'TE BF'!$AB$14+'TE CVA'!$AB$14)*(1-CUSTOS!$M$37)</f>
        <v>251.92449556687748</v>
      </c>
      <c r="AB380" s="6">
        <f>$K$380*$V$380</f>
        <v>0</v>
      </c>
      <c r="AC380" s="6">
        <f>$M$380*$W$380</f>
        <v>585.15953999999999</v>
      </c>
      <c r="AD380" s="6">
        <f>$O$380*$X$380</f>
        <v>414.14524</v>
      </c>
      <c r="AE380" s="6">
        <f>$K$380*$Y$380</f>
        <v>0</v>
      </c>
      <c r="AF380" s="6">
        <f ca="1">$M$380*$Z$380</f>
        <v>634.58274994646888</v>
      </c>
      <c r="AG380" s="6">
        <f>$O$380*$AA$380</f>
        <v>413.66002172081278</v>
      </c>
    </row>
    <row r="381" spans="1:33" ht="11.25" customHeight="1" x14ac:dyDescent="0.25">
      <c r="A381" s="4" t="s">
        <v>21</v>
      </c>
      <c r="B381" s="4" t="s">
        <v>22</v>
      </c>
      <c r="C381" s="4" t="s">
        <v>23</v>
      </c>
      <c r="D381" s="4" t="s">
        <v>24</v>
      </c>
      <c r="E381" s="4" t="s">
        <v>32</v>
      </c>
      <c r="F381" s="4" t="s">
        <v>25</v>
      </c>
      <c r="G381" s="4" t="s">
        <v>25</v>
      </c>
      <c r="H381" s="4" t="s">
        <v>25</v>
      </c>
      <c r="I381" s="5">
        <v>44440</v>
      </c>
      <c r="J381" s="6">
        <v>0</v>
      </c>
      <c r="K381" s="6">
        <v>0</v>
      </c>
      <c r="L381" s="6">
        <v>2.2559999999999998</v>
      </c>
      <c r="M381" s="6">
        <v>2.2559999999999998</v>
      </c>
      <c r="N381" s="6">
        <v>2.2559999999999998</v>
      </c>
      <c r="O381" s="6">
        <v>2.2559999999999998</v>
      </c>
      <c r="P381" s="6">
        <v>27</v>
      </c>
      <c r="Q381" s="4" t="s">
        <v>26</v>
      </c>
      <c r="R381" s="4">
        <v>0</v>
      </c>
      <c r="S381" s="6">
        <v>0</v>
      </c>
      <c r="T381" s="6">
        <v>14</v>
      </c>
      <c r="U381" s="6">
        <v>86</v>
      </c>
      <c r="V381" s="6">
        <f>IF(ISERROR(VLOOKUP($S$381,'TAR FIN'!$A$1:$O$88,15,0)),0,VLOOKUP($S$381,'TAR FIN'!$A$1:$O$88,15,0))</f>
        <v>0</v>
      </c>
      <c r="W381" s="6">
        <f>IF(ISERROR(VLOOKUP($T$381,'TAR FIN'!$A$1:$O$88,15,0)),0,VLOOKUP($T$381,'TAR FIN'!$A$1:$O$88,15,0))</f>
        <v>356.37</v>
      </c>
      <c r="X381" s="6">
        <f>IF(ISERROR(VLOOKUP($U$381,'TAR FIN'!$A$1:$O$88,15,0)),0,VLOOKUP($U$381,'TAR FIN'!$A$1:$O$88,15,0))</f>
        <v>252.22</v>
      </c>
      <c r="Y381" s="6"/>
      <c r="Z381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1" s="6">
        <f>('TE BE'!$AB$14+'TE BF'!$AB$14+'TE CVA'!$AB$14)*(1-CUSTOS!$M$37)</f>
        <v>251.92449556687748</v>
      </c>
      <c r="AB381" s="6">
        <f>$K$381*$V$381</f>
        <v>0</v>
      </c>
      <c r="AC381" s="6">
        <f>$M$381*$W$381</f>
        <v>803.97071999999991</v>
      </c>
      <c r="AD381" s="6">
        <f>$O$381*$X$381</f>
        <v>569.00831999999991</v>
      </c>
      <c r="AE381" s="6">
        <f>$K$381*$Y$381</f>
        <v>0</v>
      </c>
      <c r="AF381" s="6">
        <f ca="1">$M$381*$Z$381</f>
        <v>871.87495973156751</v>
      </c>
      <c r="AG381" s="6">
        <f>$O$381*$AA$381</f>
        <v>568.34166199887557</v>
      </c>
    </row>
    <row r="382" spans="1:33" ht="11.25" customHeight="1" x14ac:dyDescent="0.25">
      <c r="A382" s="4" t="s">
        <v>21</v>
      </c>
      <c r="B382" s="4" t="s">
        <v>22</v>
      </c>
      <c r="C382" s="4" t="s">
        <v>23</v>
      </c>
      <c r="D382" s="4" t="s">
        <v>24</v>
      </c>
      <c r="E382" s="4" t="s">
        <v>32</v>
      </c>
      <c r="F382" s="4" t="s">
        <v>25</v>
      </c>
      <c r="G382" s="4" t="s">
        <v>25</v>
      </c>
      <c r="H382" s="4" t="s">
        <v>25</v>
      </c>
      <c r="I382" s="5">
        <v>44470</v>
      </c>
      <c r="J382" s="6">
        <v>0</v>
      </c>
      <c r="K382" s="6">
        <v>0</v>
      </c>
      <c r="L382" s="6">
        <v>1.8440000000000001</v>
      </c>
      <c r="M382" s="6">
        <v>1.8440000000000001</v>
      </c>
      <c r="N382" s="6">
        <v>1.8440000000000001</v>
      </c>
      <c r="O382" s="6">
        <v>1.8440000000000001</v>
      </c>
      <c r="P382" s="6">
        <v>30</v>
      </c>
      <c r="Q382" s="4" t="s">
        <v>26</v>
      </c>
      <c r="R382" s="4">
        <v>0</v>
      </c>
      <c r="S382" s="6">
        <v>0</v>
      </c>
      <c r="T382" s="6">
        <v>14</v>
      </c>
      <c r="U382" s="6">
        <v>86</v>
      </c>
      <c r="V382" s="6">
        <f>IF(ISERROR(VLOOKUP($S$382,'TAR FIN'!$A$1:$O$88,15,0)),0,VLOOKUP($S$382,'TAR FIN'!$A$1:$O$88,15,0))</f>
        <v>0</v>
      </c>
      <c r="W382" s="6">
        <f>IF(ISERROR(VLOOKUP($T$382,'TAR FIN'!$A$1:$O$88,15,0)),0,VLOOKUP($T$382,'TAR FIN'!$A$1:$O$88,15,0))</f>
        <v>356.37</v>
      </c>
      <c r="X382" s="6">
        <f>IF(ISERROR(VLOOKUP($U$382,'TAR FIN'!$A$1:$O$88,15,0)),0,VLOOKUP($U$382,'TAR FIN'!$A$1:$O$88,15,0))</f>
        <v>252.22</v>
      </c>
      <c r="Y382" s="6"/>
      <c r="Z382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2" s="6">
        <f>('TE BE'!$AB$14+'TE BF'!$AB$14+'TE CVA'!$AB$14)*(1-CUSTOS!$M$37)</f>
        <v>251.92449556687748</v>
      </c>
      <c r="AB382" s="6">
        <f>$K$382*$V$382</f>
        <v>0</v>
      </c>
      <c r="AC382" s="6">
        <f>$M$382*$W$382</f>
        <v>657.14628000000005</v>
      </c>
      <c r="AD382" s="6">
        <f>$O$382*$X$382</f>
        <v>465.09368000000001</v>
      </c>
      <c r="AE382" s="6">
        <f>$K$382*$Y$382</f>
        <v>0</v>
      </c>
      <c r="AF382" s="6">
        <f ca="1">$M$382*$Z$382</f>
        <v>712.64956814938409</v>
      </c>
      <c r="AG382" s="6">
        <f>$O$382*$AA$382</f>
        <v>464.5487698253221</v>
      </c>
    </row>
    <row r="383" spans="1:33" ht="11.25" customHeight="1" x14ac:dyDescent="0.25">
      <c r="A383" s="4" t="s">
        <v>21</v>
      </c>
      <c r="B383" s="4" t="s">
        <v>22</v>
      </c>
      <c r="C383" s="4" t="s">
        <v>23</v>
      </c>
      <c r="D383" s="4" t="s">
        <v>24</v>
      </c>
      <c r="E383" s="4" t="s">
        <v>32</v>
      </c>
      <c r="F383" s="4" t="s">
        <v>25</v>
      </c>
      <c r="G383" s="4" t="s">
        <v>25</v>
      </c>
      <c r="H383" s="4" t="s">
        <v>25</v>
      </c>
      <c r="I383" s="5">
        <v>44501</v>
      </c>
      <c r="J383" s="6">
        <v>0</v>
      </c>
      <c r="K383" s="6">
        <v>0</v>
      </c>
      <c r="L383" s="6">
        <v>3.5609999999999999</v>
      </c>
      <c r="M383" s="6">
        <v>3.5609999999999999</v>
      </c>
      <c r="N383" s="6">
        <v>3.5609999999999999</v>
      </c>
      <c r="O383" s="6">
        <v>3.5609999999999999</v>
      </c>
      <c r="P383" s="6">
        <v>50</v>
      </c>
      <c r="Q383" s="4" t="s">
        <v>26</v>
      </c>
      <c r="R383" s="4">
        <v>0</v>
      </c>
      <c r="S383" s="6">
        <v>0</v>
      </c>
      <c r="T383" s="6">
        <v>14</v>
      </c>
      <c r="U383" s="6">
        <v>86</v>
      </c>
      <c r="V383" s="6">
        <f>IF(ISERROR(VLOOKUP($S$383,'TAR FIN'!$A$1:$O$88,15,0)),0,VLOOKUP($S$383,'TAR FIN'!$A$1:$O$88,15,0))</f>
        <v>0</v>
      </c>
      <c r="W383" s="6">
        <f>IF(ISERROR(VLOOKUP($T$383,'TAR FIN'!$A$1:$O$88,15,0)),0,VLOOKUP($T$383,'TAR FIN'!$A$1:$O$88,15,0))</f>
        <v>356.37</v>
      </c>
      <c r="X383" s="6">
        <f>IF(ISERROR(VLOOKUP($U$383,'TAR FIN'!$A$1:$O$88,15,0)),0,VLOOKUP($U$383,'TAR FIN'!$A$1:$O$88,15,0))</f>
        <v>252.22</v>
      </c>
      <c r="Y383" s="6"/>
      <c r="Z383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3" s="6">
        <f>('TE BE'!$AB$14+'TE BF'!$AB$14+'TE CVA'!$AB$14)*(1-CUSTOS!$M$37)</f>
        <v>251.92449556687748</v>
      </c>
      <c r="AB383" s="6">
        <f>$K$383*$V$383</f>
        <v>0</v>
      </c>
      <c r="AC383" s="6">
        <f>$M$383*$W$383</f>
        <v>1269.0335700000001</v>
      </c>
      <c r="AD383" s="6">
        <f>$O$383*$X$383</f>
        <v>898.15541999999994</v>
      </c>
      <c r="AE383" s="6">
        <f>$K$383*$Y$383</f>
        <v>0</v>
      </c>
      <c r="AF383" s="6">
        <f ca="1">$M$383*$Z$383</f>
        <v>1376.217522874163</v>
      </c>
      <c r="AG383" s="6">
        <f>$O$383*$AA$383</f>
        <v>897.10312871365068</v>
      </c>
    </row>
    <row r="384" spans="1:33" ht="11.25" customHeight="1" x14ac:dyDescent="0.25">
      <c r="A384" s="4" t="s">
        <v>21</v>
      </c>
      <c r="B384" s="4" t="s">
        <v>22</v>
      </c>
      <c r="C384" s="4" t="s">
        <v>23</v>
      </c>
      <c r="D384" s="4" t="s">
        <v>24</v>
      </c>
      <c r="E384" s="4" t="s">
        <v>32</v>
      </c>
      <c r="F384" s="4" t="s">
        <v>25</v>
      </c>
      <c r="G384" s="4" t="s">
        <v>25</v>
      </c>
      <c r="H384" s="4" t="s">
        <v>25</v>
      </c>
      <c r="I384" s="5">
        <v>44531</v>
      </c>
      <c r="J384" s="6">
        <v>0</v>
      </c>
      <c r="K384" s="6">
        <v>0</v>
      </c>
      <c r="L384" s="6">
        <v>4.069</v>
      </c>
      <c r="M384" s="6">
        <v>4.069</v>
      </c>
      <c r="N384" s="6">
        <v>4.069</v>
      </c>
      <c r="O384" s="6">
        <v>4.069</v>
      </c>
      <c r="P384" s="6">
        <v>46</v>
      </c>
      <c r="Q384" s="4" t="s">
        <v>26</v>
      </c>
      <c r="R384" s="4">
        <v>0</v>
      </c>
      <c r="S384" s="6">
        <v>0</v>
      </c>
      <c r="T384" s="6">
        <v>14</v>
      </c>
      <c r="U384" s="6">
        <v>86</v>
      </c>
      <c r="V384" s="6">
        <f>IF(ISERROR(VLOOKUP($S$384,'TAR FIN'!$A$1:$O$88,15,0)),0,VLOOKUP($S$384,'TAR FIN'!$A$1:$O$88,15,0))</f>
        <v>0</v>
      </c>
      <c r="W384" s="6">
        <f>IF(ISERROR(VLOOKUP($T$384,'TAR FIN'!$A$1:$O$88,15,0)),0,VLOOKUP($T$384,'TAR FIN'!$A$1:$O$88,15,0))</f>
        <v>356.37</v>
      </c>
      <c r="X384" s="6">
        <f>IF(ISERROR(VLOOKUP($U$384,'TAR FIN'!$A$1:$O$88,15,0)),0,VLOOKUP($U$384,'TAR FIN'!$A$1:$O$88,15,0))</f>
        <v>252.22</v>
      </c>
      <c r="Y384" s="6"/>
      <c r="Z384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4" s="6">
        <f>('TE BE'!$AB$14+'TE BF'!$AB$14+'TE CVA'!$AB$14)*(1-CUSTOS!$M$37)</f>
        <v>251.92449556687748</v>
      </c>
      <c r="AB384" s="6">
        <f>$K$384*$V$384</f>
        <v>0</v>
      </c>
      <c r="AC384" s="6">
        <f>$M$384*$W$384</f>
        <v>1450.06953</v>
      </c>
      <c r="AD384" s="6">
        <f>$O$384*$X$384</f>
        <v>1026.2831799999999</v>
      </c>
      <c r="AE384" s="6">
        <f>$K$384*$Y$384</f>
        <v>0</v>
      </c>
      <c r="AF384" s="6">
        <f ca="1">$M$384*$Z$384</f>
        <v>1572.5439765725835</v>
      </c>
      <c r="AG384" s="6">
        <f>$O$384*$AA$384</f>
        <v>1025.0807724616245</v>
      </c>
    </row>
    <row r="385" spans="1:33" ht="11.25" customHeight="1" x14ac:dyDescent="0.25">
      <c r="A385" s="4" t="s">
        <v>21</v>
      </c>
      <c r="B385" s="4" t="s">
        <v>22</v>
      </c>
      <c r="C385" s="4" t="s">
        <v>23</v>
      </c>
      <c r="D385" s="4" t="s">
        <v>24</v>
      </c>
      <c r="E385" s="4" t="s">
        <v>32</v>
      </c>
      <c r="F385" s="4" t="s">
        <v>25</v>
      </c>
      <c r="G385" s="4" t="s">
        <v>25</v>
      </c>
      <c r="H385" s="4" t="s">
        <v>25</v>
      </c>
      <c r="I385" s="5">
        <v>44562</v>
      </c>
      <c r="J385" s="6">
        <v>0</v>
      </c>
      <c r="K385" s="6">
        <v>0</v>
      </c>
      <c r="L385" s="6">
        <v>8.1270000000000007</v>
      </c>
      <c r="M385" s="6">
        <v>8.1270000000000007</v>
      </c>
      <c r="N385" s="6">
        <v>8.1270000000000007</v>
      </c>
      <c r="O385" s="6">
        <v>8.1270000000000007</v>
      </c>
      <c r="P385" s="6">
        <v>74</v>
      </c>
      <c r="Q385" s="4" t="s">
        <v>26</v>
      </c>
      <c r="R385" s="4">
        <v>0</v>
      </c>
      <c r="S385" s="6">
        <v>0</v>
      </c>
      <c r="T385" s="6">
        <v>14</v>
      </c>
      <c r="U385" s="6">
        <v>86</v>
      </c>
      <c r="V385" s="6">
        <f>IF(ISERROR(VLOOKUP($S$385,'TAR FIN'!$A$1:$O$88,15,0)),0,VLOOKUP($S$385,'TAR FIN'!$A$1:$O$88,15,0))</f>
        <v>0</v>
      </c>
      <c r="W385" s="6">
        <f>IF(ISERROR(VLOOKUP($T$385,'TAR FIN'!$A$1:$O$88,15,0)),0,VLOOKUP($T$385,'TAR FIN'!$A$1:$O$88,15,0))</f>
        <v>356.37</v>
      </c>
      <c r="X385" s="6">
        <f>IF(ISERROR(VLOOKUP($U$385,'TAR FIN'!$A$1:$O$88,15,0)),0,VLOOKUP($U$385,'TAR FIN'!$A$1:$O$88,15,0))</f>
        <v>252.22</v>
      </c>
      <c r="Y385" s="6"/>
      <c r="Z385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5" s="6">
        <f>('TE BE'!$AB$14+'TE BF'!$AB$14+'TE CVA'!$AB$14)*(1-CUSTOS!$M$37)</f>
        <v>251.92449556687748</v>
      </c>
      <c r="AB385" s="6">
        <f>$K$385*$V$385</f>
        <v>0</v>
      </c>
      <c r="AC385" s="6">
        <f>$M$385*$W$385</f>
        <v>2896.2189900000003</v>
      </c>
      <c r="AD385" s="6">
        <f>$O$385*$X$385</f>
        <v>2049.7919400000001</v>
      </c>
      <c r="AE385" s="6">
        <f>$K$385*$Y$385</f>
        <v>0</v>
      </c>
      <c r="AF385" s="6">
        <f ca="1">$M$385*$Z$385</f>
        <v>3140.8367897776816</v>
      </c>
      <c r="AG385" s="6">
        <f>$O$385*$AA$385</f>
        <v>2047.3903754720134</v>
      </c>
    </row>
    <row r="386" spans="1:33" ht="11.25" customHeight="1" x14ac:dyDescent="0.25">
      <c r="A386" s="4" t="s">
        <v>28</v>
      </c>
      <c r="B386" s="4" t="s">
        <v>22</v>
      </c>
      <c r="C386" s="4" t="s">
        <v>23</v>
      </c>
      <c r="D386" s="4" t="s">
        <v>24</v>
      </c>
      <c r="E386" s="4" t="s">
        <v>32</v>
      </c>
      <c r="F386" s="4" t="s">
        <v>25</v>
      </c>
      <c r="G386" s="4" t="s">
        <v>25</v>
      </c>
      <c r="H386" s="4" t="s">
        <v>25</v>
      </c>
      <c r="I386" s="5">
        <v>44562</v>
      </c>
      <c r="J386" s="6">
        <v>0</v>
      </c>
      <c r="K386" s="6">
        <v>0</v>
      </c>
      <c r="L386" s="6">
        <v>0.27900000000000003</v>
      </c>
      <c r="M386" s="6">
        <v>0.27900000000000003</v>
      </c>
      <c r="N386" s="6">
        <v>0.27900000000000003</v>
      </c>
      <c r="O386" s="6">
        <v>0.27900000000000003</v>
      </c>
      <c r="P386" s="6">
        <v>3</v>
      </c>
      <c r="Q386" s="4" t="s">
        <v>26</v>
      </c>
      <c r="R386" s="4">
        <v>0</v>
      </c>
      <c r="S386" s="6">
        <v>0</v>
      </c>
      <c r="T386" s="6">
        <v>14</v>
      </c>
      <c r="U386" s="6">
        <v>86</v>
      </c>
      <c r="V386" s="6">
        <f>IF(ISERROR(VLOOKUP($S$386,'TAR FIN'!$A$1:$O$88,15,0)),0,VLOOKUP($S$386,'TAR FIN'!$A$1:$O$88,15,0))</f>
        <v>0</v>
      </c>
      <c r="W386" s="6">
        <f>IF(ISERROR(VLOOKUP($T$386,'TAR FIN'!$A$1:$O$88,15,0)),0,VLOOKUP($T$386,'TAR FIN'!$A$1:$O$88,15,0))</f>
        <v>356.37</v>
      </c>
      <c r="X386" s="6">
        <f>IF(ISERROR(VLOOKUP($U$386,'TAR FIN'!$A$1:$O$88,15,0)),0,VLOOKUP($U$386,'TAR FIN'!$A$1:$O$88,15,0))</f>
        <v>252.22</v>
      </c>
      <c r="Y386" s="6"/>
      <c r="Z386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6" s="6">
        <f>('TE BE'!$AB$14+'TE BF'!$AB$14+'TE CVA'!$AB$14)*(1-CUSTOS!$M$37)</f>
        <v>251.92449556687748</v>
      </c>
      <c r="AB386" s="6">
        <f>$K$386*$V$386</f>
        <v>0</v>
      </c>
      <c r="AC386" s="6">
        <f>$M$386*$W$386</f>
        <v>99.427230000000009</v>
      </c>
      <c r="AD386" s="6">
        <f>$O$386*$X$386</f>
        <v>70.369380000000007</v>
      </c>
      <c r="AE386" s="6">
        <f>$K$386*$Y$386</f>
        <v>0</v>
      </c>
      <c r="AF386" s="6">
        <f ca="1">$M$386*$Z$386</f>
        <v>107.82496177531355</v>
      </c>
      <c r="AG386" s="6">
        <f>$O$386*$AA$386</f>
        <v>70.286934263158827</v>
      </c>
    </row>
    <row r="387" spans="1:33" ht="11.25" customHeight="1" x14ac:dyDescent="0.25">
      <c r="A387" s="4" t="s">
        <v>21</v>
      </c>
      <c r="B387" s="4" t="s">
        <v>22</v>
      </c>
      <c r="C387" s="4" t="s">
        <v>23</v>
      </c>
      <c r="D387" s="4" t="s">
        <v>24</v>
      </c>
      <c r="E387" s="4" t="s">
        <v>32</v>
      </c>
      <c r="F387" s="4" t="s">
        <v>25</v>
      </c>
      <c r="G387" s="4" t="s">
        <v>25</v>
      </c>
      <c r="H387" s="4" t="s">
        <v>25</v>
      </c>
      <c r="I387" s="5">
        <v>44593</v>
      </c>
      <c r="J387" s="6">
        <v>0</v>
      </c>
      <c r="K387" s="6">
        <v>0</v>
      </c>
      <c r="L387" s="6">
        <v>8.9809999999999999</v>
      </c>
      <c r="M387" s="6">
        <v>8.9809999999999999</v>
      </c>
      <c r="N387" s="6">
        <v>8.9809999999999999</v>
      </c>
      <c r="O387" s="6">
        <v>8.9809999999999999</v>
      </c>
      <c r="P387" s="6">
        <v>95</v>
      </c>
      <c r="Q387" s="4" t="s">
        <v>26</v>
      </c>
      <c r="R387" s="4">
        <v>0</v>
      </c>
      <c r="S387" s="6">
        <v>0</v>
      </c>
      <c r="T387" s="6">
        <v>14</v>
      </c>
      <c r="U387" s="6">
        <v>86</v>
      </c>
      <c r="V387" s="6">
        <f>IF(ISERROR(VLOOKUP($S$387,'TAR FIN'!$A$1:$O$88,15,0)),0,VLOOKUP($S$387,'TAR FIN'!$A$1:$O$88,15,0))</f>
        <v>0</v>
      </c>
      <c r="W387" s="6">
        <f>IF(ISERROR(VLOOKUP($T$387,'TAR FIN'!$A$1:$O$88,15,0)),0,VLOOKUP($T$387,'TAR FIN'!$A$1:$O$88,15,0))</f>
        <v>356.37</v>
      </c>
      <c r="X387" s="6">
        <f>IF(ISERROR(VLOOKUP($U$387,'TAR FIN'!$A$1:$O$88,15,0)),0,VLOOKUP($U$387,'TAR FIN'!$A$1:$O$88,15,0))</f>
        <v>252.22</v>
      </c>
      <c r="Y387" s="6"/>
      <c r="Z387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7" s="6">
        <f>('TE BE'!$AB$14+'TE BF'!$AB$14+'TE CVA'!$AB$14)*(1-CUSTOS!$M$37)</f>
        <v>251.92449556687748</v>
      </c>
      <c r="AB387" s="6">
        <f>$K$387*$V$387</f>
        <v>0</v>
      </c>
      <c r="AC387" s="6">
        <f>$M$387*$W$387</f>
        <v>3200.55897</v>
      </c>
      <c r="AD387" s="6">
        <f>$O$387*$X$387</f>
        <v>2265.1878200000001</v>
      </c>
      <c r="AE387" s="6">
        <f>$K$387*$Y$387</f>
        <v>0</v>
      </c>
      <c r="AF387" s="6">
        <f ca="1">$M$387*$Z$387</f>
        <v>3470.8816548533723</v>
      </c>
      <c r="AG387" s="6">
        <f>$O$387*$AA$387</f>
        <v>2262.5338946861266</v>
      </c>
    </row>
    <row r="388" spans="1:33" ht="11.25" customHeight="1" x14ac:dyDescent="0.25">
      <c r="A388" s="4" t="s">
        <v>28</v>
      </c>
      <c r="B388" s="4" t="s">
        <v>22</v>
      </c>
      <c r="C388" s="4" t="s">
        <v>23</v>
      </c>
      <c r="D388" s="4" t="s">
        <v>24</v>
      </c>
      <c r="E388" s="4" t="s">
        <v>32</v>
      </c>
      <c r="F388" s="4" t="s">
        <v>25</v>
      </c>
      <c r="G388" s="4" t="s">
        <v>25</v>
      </c>
      <c r="H388" s="4" t="s">
        <v>25</v>
      </c>
      <c r="I388" s="5">
        <v>44593</v>
      </c>
      <c r="J388" s="6">
        <v>0</v>
      </c>
      <c r="K388" s="6">
        <v>0</v>
      </c>
      <c r="L388" s="6">
        <v>7.6999999999999999E-2</v>
      </c>
      <c r="M388" s="6">
        <v>7.6999999999999999E-2</v>
      </c>
      <c r="N388" s="6">
        <v>7.6999999999999999E-2</v>
      </c>
      <c r="O388" s="6">
        <v>7.6999999999999999E-2</v>
      </c>
      <c r="P388" s="6">
        <v>3</v>
      </c>
      <c r="Q388" s="4" t="s">
        <v>26</v>
      </c>
      <c r="R388" s="4">
        <v>0</v>
      </c>
      <c r="S388" s="6">
        <v>0</v>
      </c>
      <c r="T388" s="6">
        <v>14</v>
      </c>
      <c r="U388" s="6">
        <v>86</v>
      </c>
      <c r="V388" s="6">
        <f>IF(ISERROR(VLOOKUP($S$388,'TAR FIN'!$A$1:$O$88,15,0)),0,VLOOKUP($S$388,'TAR FIN'!$A$1:$O$88,15,0))</f>
        <v>0</v>
      </c>
      <c r="W388" s="6">
        <f>IF(ISERROR(VLOOKUP($T$388,'TAR FIN'!$A$1:$O$88,15,0)),0,VLOOKUP($T$388,'TAR FIN'!$A$1:$O$88,15,0))</f>
        <v>356.37</v>
      </c>
      <c r="X388" s="6">
        <f>IF(ISERROR(VLOOKUP($U$388,'TAR FIN'!$A$1:$O$88,15,0)),0,VLOOKUP($U$388,'TAR FIN'!$A$1:$O$88,15,0))</f>
        <v>252.22</v>
      </c>
      <c r="Y388" s="6"/>
      <c r="Z388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8" s="6">
        <f>('TE BE'!$AB$14+'TE BF'!$AB$14+'TE CVA'!$AB$14)*(1-CUSTOS!$M$37)</f>
        <v>251.92449556687748</v>
      </c>
      <c r="AB388" s="6">
        <f>$K$388*$V$388</f>
        <v>0</v>
      </c>
      <c r="AC388" s="6">
        <f>$M$388*$W$388</f>
        <v>27.44049</v>
      </c>
      <c r="AD388" s="6">
        <f>$O$388*$X$388</f>
        <v>19.420939999999998</v>
      </c>
      <c r="AE388" s="6">
        <f>$K$388*$Y$388</f>
        <v>0</v>
      </c>
      <c r="AF388" s="6">
        <f ca="1">$M$388*$Z$388</f>
        <v>29.75814357239836</v>
      </c>
      <c r="AG388" s="6">
        <f>$O$388*$AA$388</f>
        <v>19.398186158649565</v>
      </c>
    </row>
    <row r="389" spans="1:33" ht="11.25" customHeight="1" x14ac:dyDescent="0.25">
      <c r="A389" s="4" t="s">
        <v>21</v>
      </c>
      <c r="B389" s="4" t="s">
        <v>22</v>
      </c>
      <c r="C389" s="4" t="s">
        <v>23</v>
      </c>
      <c r="D389" s="4" t="s">
        <v>24</v>
      </c>
      <c r="E389" s="4" t="s">
        <v>32</v>
      </c>
      <c r="F389" s="4" t="s">
        <v>25</v>
      </c>
      <c r="G389" s="4" t="s">
        <v>25</v>
      </c>
      <c r="H389" s="4" t="s">
        <v>25</v>
      </c>
      <c r="I389" s="5">
        <v>44621</v>
      </c>
      <c r="J389" s="6">
        <v>0</v>
      </c>
      <c r="K389" s="6">
        <v>0</v>
      </c>
      <c r="L389" s="6">
        <v>5.7720000000000002</v>
      </c>
      <c r="M389" s="6">
        <v>5.7720000000000002</v>
      </c>
      <c r="N389" s="6">
        <v>5.7720000000000002</v>
      </c>
      <c r="O389" s="6">
        <v>5.7720000000000002</v>
      </c>
      <c r="P389" s="6">
        <v>77</v>
      </c>
      <c r="Q389" s="4" t="s">
        <v>26</v>
      </c>
      <c r="R389" s="4">
        <v>0</v>
      </c>
      <c r="S389" s="6">
        <v>0</v>
      </c>
      <c r="T389" s="6">
        <v>14</v>
      </c>
      <c r="U389" s="6">
        <v>86</v>
      </c>
      <c r="V389" s="6">
        <f>IF(ISERROR(VLOOKUP($S$389,'TAR FIN'!$A$1:$O$88,15,0)),0,VLOOKUP($S$389,'TAR FIN'!$A$1:$O$88,15,0))</f>
        <v>0</v>
      </c>
      <c r="W389" s="6">
        <f>IF(ISERROR(VLOOKUP($T$389,'TAR FIN'!$A$1:$O$88,15,0)),0,VLOOKUP($T$389,'TAR FIN'!$A$1:$O$88,15,0))</f>
        <v>356.37</v>
      </c>
      <c r="X389" s="6">
        <f>IF(ISERROR(VLOOKUP($U$389,'TAR FIN'!$A$1:$O$88,15,0)),0,VLOOKUP($U$389,'TAR FIN'!$A$1:$O$88,15,0))</f>
        <v>252.22</v>
      </c>
      <c r="Y389" s="6"/>
      <c r="Z389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89" s="6">
        <f>('TE BE'!$AB$14+'TE BF'!$AB$14+'TE CVA'!$AB$14)*(1-CUSTOS!$M$37)</f>
        <v>251.92449556687748</v>
      </c>
      <c r="AB389" s="6">
        <f>$K$389*$V$389</f>
        <v>0</v>
      </c>
      <c r="AC389" s="6">
        <f>$M$389*$W$389</f>
        <v>2056.9676400000003</v>
      </c>
      <c r="AD389" s="6">
        <f>$O$389*$X$389</f>
        <v>1455.81384</v>
      </c>
      <c r="AE389" s="6">
        <f>$K$389*$Y$389</f>
        <v>0</v>
      </c>
      <c r="AF389" s="6">
        <f ca="1">$M$389*$Z$389</f>
        <v>2230.7013597387449</v>
      </c>
      <c r="AG389" s="6">
        <f>$O$389*$AA$389</f>
        <v>1454.1081884120169</v>
      </c>
    </row>
    <row r="390" spans="1:33" ht="11.25" customHeight="1" x14ac:dyDescent="0.25">
      <c r="A390" s="4" t="s">
        <v>21</v>
      </c>
      <c r="B390" s="4" t="s">
        <v>22</v>
      </c>
      <c r="C390" s="4" t="s">
        <v>23</v>
      </c>
      <c r="D390" s="4" t="s">
        <v>24</v>
      </c>
      <c r="E390" s="4" t="s">
        <v>32</v>
      </c>
      <c r="F390" s="4" t="s">
        <v>25</v>
      </c>
      <c r="G390" s="4" t="s">
        <v>25</v>
      </c>
      <c r="H390" s="4" t="s">
        <v>25</v>
      </c>
      <c r="I390" s="5">
        <v>44652</v>
      </c>
      <c r="J390" s="6">
        <v>0</v>
      </c>
      <c r="K390" s="6">
        <v>0</v>
      </c>
      <c r="L390" s="6">
        <v>7.0389999999999997</v>
      </c>
      <c r="M390" s="6">
        <v>7.0389999999999997</v>
      </c>
      <c r="N390" s="6">
        <v>7.0389999999999997</v>
      </c>
      <c r="O390" s="6">
        <v>7.0389999999999997</v>
      </c>
      <c r="P390" s="6">
        <v>85</v>
      </c>
      <c r="Q390" s="4" t="s">
        <v>26</v>
      </c>
      <c r="R390" s="4">
        <v>0</v>
      </c>
      <c r="S390" s="6">
        <v>0</v>
      </c>
      <c r="T390" s="6">
        <v>14</v>
      </c>
      <c r="U390" s="6">
        <v>86</v>
      </c>
      <c r="V390" s="6">
        <f>IF(ISERROR(VLOOKUP($S$390,'TAR FIN'!$A$1:$O$88,15,0)),0,VLOOKUP($S$390,'TAR FIN'!$A$1:$O$88,15,0))</f>
        <v>0</v>
      </c>
      <c r="W390" s="6">
        <f>IF(ISERROR(VLOOKUP($T$390,'TAR FIN'!$A$1:$O$88,15,0)),0,VLOOKUP($T$390,'TAR FIN'!$A$1:$O$88,15,0))</f>
        <v>356.37</v>
      </c>
      <c r="X390" s="6">
        <f>IF(ISERROR(VLOOKUP($U$390,'TAR FIN'!$A$1:$O$88,15,0)),0,VLOOKUP($U$390,'TAR FIN'!$A$1:$O$88,15,0))</f>
        <v>252.22</v>
      </c>
      <c r="Y390" s="6"/>
      <c r="Z390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90" s="6">
        <f>('TE BE'!$AB$14+'TE BF'!$AB$14+'TE CVA'!$AB$14)*(1-CUSTOS!$M$37)</f>
        <v>251.92449556687748</v>
      </c>
      <c r="AB390" s="6">
        <f>$K$390*$V$390</f>
        <v>0</v>
      </c>
      <c r="AC390" s="6">
        <f>$M$390*$W$390</f>
        <v>2508.4884299999999</v>
      </c>
      <c r="AD390" s="6">
        <f>$O$390*$X$390</f>
        <v>1775.3765799999999</v>
      </c>
      <c r="AE390" s="6">
        <f>$K$390*$Y$390</f>
        <v>0</v>
      </c>
      <c r="AF390" s="6">
        <f ca="1">$M$390*$Z$390</f>
        <v>2720.3580857936631</v>
      </c>
      <c r="AG390" s="6">
        <f>$O$390*$AA$390</f>
        <v>1773.2965242952505</v>
      </c>
    </row>
    <row r="391" spans="1:33" ht="11.25" customHeight="1" x14ac:dyDescent="0.25">
      <c r="A391" s="4" t="s">
        <v>21</v>
      </c>
      <c r="B391" s="4" t="s">
        <v>22</v>
      </c>
      <c r="C391" s="4" t="s">
        <v>23</v>
      </c>
      <c r="D391" s="4" t="s">
        <v>24</v>
      </c>
      <c r="E391" s="4" t="s">
        <v>32</v>
      </c>
      <c r="F391" s="4" t="s">
        <v>25</v>
      </c>
      <c r="G391" s="4" t="s">
        <v>25</v>
      </c>
      <c r="H391" s="4" t="s">
        <v>25</v>
      </c>
      <c r="I391" s="5">
        <v>44682</v>
      </c>
      <c r="J391" s="6">
        <v>0</v>
      </c>
      <c r="K391" s="6">
        <v>0</v>
      </c>
      <c r="L391" s="6">
        <v>6.0679999999999996</v>
      </c>
      <c r="M391" s="6">
        <v>6.0679999999999996</v>
      </c>
      <c r="N391" s="6">
        <v>6.0679999999999996</v>
      </c>
      <c r="O391" s="6">
        <v>6.0679999999999996</v>
      </c>
      <c r="P391" s="6">
        <v>66</v>
      </c>
      <c r="Q391" s="4" t="s">
        <v>26</v>
      </c>
      <c r="R391" s="4">
        <v>0</v>
      </c>
      <c r="S391" s="6">
        <v>0</v>
      </c>
      <c r="T391" s="6">
        <v>14</v>
      </c>
      <c r="U391" s="6">
        <v>86</v>
      </c>
      <c r="V391" s="6">
        <f>IF(ISERROR(VLOOKUP($S$391,'TAR FIN'!$A$1:$O$88,15,0)),0,VLOOKUP($S$391,'TAR FIN'!$A$1:$O$88,15,0))</f>
        <v>0</v>
      </c>
      <c r="W391" s="6">
        <f>IF(ISERROR(VLOOKUP($T$391,'TAR FIN'!$A$1:$O$88,15,0)),0,VLOOKUP($T$391,'TAR FIN'!$A$1:$O$88,15,0))</f>
        <v>356.37</v>
      </c>
      <c r="X391" s="6">
        <f>IF(ISERROR(VLOOKUP($U$391,'TAR FIN'!$A$1:$O$88,15,0)),0,VLOOKUP($U$391,'TAR FIN'!$A$1:$O$88,15,0))</f>
        <v>252.22</v>
      </c>
      <c r="Y391" s="6"/>
      <c r="Z391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91" s="6">
        <f>('TE BE'!$AB$14+'TE BF'!$AB$14+'TE CVA'!$AB$14)*(1-CUSTOS!$M$37)</f>
        <v>251.92449556687748</v>
      </c>
      <c r="AB391" s="6">
        <f>$K$391*$V$391</f>
        <v>0</v>
      </c>
      <c r="AC391" s="6">
        <f>$M$391*$W$391</f>
        <v>2162.45316</v>
      </c>
      <c r="AD391" s="6">
        <f>$O$391*$X$391</f>
        <v>1530.4709599999999</v>
      </c>
      <c r="AE391" s="6">
        <f>$K$391*$Y$391</f>
        <v>0</v>
      </c>
      <c r="AF391" s="6">
        <f ca="1">$M$391*$Z$391</f>
        <v>2345.0963012638085</v>
      </c>
      <c r="AG391" s="6">
        <f>$O$391*$AA$391</f>
        <v>1528.6778390998124</v>
      </c>
    </row>
    <row r="392" spans="1:33" ht="11.25" customHeight="1" x14ac:dyDescent="0.25">
      <c r="A392" s="4" t="s">
        <v>27</v>
      </c>
      <c r="B392" s="4" t="s">
        <v>22</v>
      </c>
      <c r="C392" s="4" t="s">
        <v>23</v>
      </c>
      <c r="D392" s="4" t="s">
        <v>24</v>
      </c>
      <c r="E392" s="4" t="s">
        <v>32</v>
      </c>
      <c r="F392" s="4" t="s">
        <v>25</v>
      </c>
      <c r="G392" s="4" t="s">
        <v>25</v>
      </c>
      <c r="H392" s="4" t="s">
        <v>25</v>
      </c>
      <c r="I392" s="5">
        <v>44682</v>
      </c>
      <c r="J392" s="6">
        <v>0</v>
      </c>
      <c r="K392" s="6">
        <v>0</v>
      </c>
      <c r="L392" s="6">
        <v>-0.46600000000000003</v>
      </c>
      <c r="M392" s="6">
        <v>-0.46600000000000003</v>
      </c>
      <c r="N392" s="6">
        <v>-0.46600000000000003</v>
      </c>
      <c r="O392" s="6">
        <v>-0.46600000000000003</v>
      </c>
      <c r="P392" s="6">
        <v>0</v>
      </c>
      <c r="Q392" s="4" t="s">
        <v>26</v>
      </c>
      <c r="R392" s="4">
        <v>0</v>
      </c>
      <c r="S392" s="6">
        <v>0</v>
      </c>
      <c r="T392" s="6">
        <v>14</v>
      </c>
      <c r="U392" s="6">
        <v>86</v>
      </c>
      <c r="V392" s="6">
        <f>IF(ISERROR(VLOOKUP($S$392,'TAR FIN'!$A$1:$O$88,15,0)),0,VLOOKUP($S$392,'TAR FIN'!$A$1:$O$88,15,0))</f>
        <v>0</v>
      </c>
      <c r="W392" s="6">
        <f>IF(ISERROR(VLOOKUP($T$392,'TAR FIN'!$A$1:$O$88,15,0)),0,VLOOKUP($T$392,'TAR FIN'!$A$1:$O$88,15,0))</f>
        <v>356.37</v>
      </c>
      <c r="X392" s="6">
        <f>IF(ISERROR(VLOOKUP($U$392,'TAR FIN'!$A$1:$O$88,15,0)),0,VLOOKUP($U$392,'TAR FIN'!$A$1:$O$88,15,0))</f>
        <v>252.22</v>
      </c>
      <c r="Y392" s="6"/>
      <c r="Z392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92" s="6">
        <f>('TE BE'!$AB$14+'TE BF'!$AB$14+'TE CVA'!$AB$14)*(1-CUSTOS!$M$37)</f>
        <v>251.92449556687748</v>
      </c>
      <c r="AB392" s="6">
        <f>$K$392*$V$392</f>
        <v>0</v>
      </c>
      <c r="AC392" s="6">
        <f>$M$392*$W$392</f>
        <v>-166.06842</v>
      </c>
      <c r="AD392" s="6">
        <f>$O$392*$X$392</f>
        <v>-117.53452</v>
      </c>
      <c r="AE392" s="6">
        <f>$K$392*$Y$392</f>
        <v>0</v>
      </c>
      <c r="AF392" s="6">
        <f ca="1">$M$392*$Z$392</f>
        <v>-180.0947390225667</v>
      </c>
      <c r="AG392" s="6">
        <f>$O$392*$AA$392</f>
        <v>-117.39681493416491</v>
      </c>
    </row>
    <row r="393" spans="1:33" ht="11.25" customHeight="1" x14ac:dyDescent="0.25">
      <c r="A393" s="4" t="s">
        <v>21</v>
      </c>
      <c r="B393" s="4" t="s">
        <v>22</v>
      </c>
      <c r="C393" s="4" t="s">
        <v>23</v>
      </c>
      <c r="D393" s="4" t="s">
        <v>24</v>
      </c>
      <c r="E393" s="4" t="s">
        <v>32</v>
      </c>
      <c r="F393" s="4" t="s">
        <v>25</v>
      </c>
      <c r="G393" s="4" t="s">
        <v>25</v>
      </c>
      <c r="H393" s="4" t="s">
        <v>25</v>
      </c>
      <c r="I393" s="5">
        <v>44713</v>
      </c>
      <c r="J393" s="6">
        <v>0</v>
      </c>
      <c r="K393" s="6">
        <v>0</v>
      </c>
      <c r="L393" s="6">
        <v>5.8520000000000003</v>
      </c>
      <c r="M393" s="6">
        <v>5.8520000000000003</v>
      </c>
      <c r="N393" s="6">
        <v>5.8520000000000003</v>
      </c>
      <c r="O393" s="6">
        <v>5.8520000000000003</v>
      </c>
      <c r="P393" s="6">
        <v>69</v>
      </c>
      <c r="Q393" s="4" t="s">
        <v>26</v>
      </c>
      <c r="R393" s="4">
        <v>0</v>
      </c>
      <c r="S393" s="6">
        <v>0</v>
      </c>
      <c r="T393" s="6">
        <v>14</v>
      </c>
      <c r="U393" s="6">
        <v>86</v>
      </c>
      <c r="V393" s="6">
        <f>IF(ISERROR(VLOOKUP($S$393,'TAR FIN'!$A$1:$O$88,15,0)),0,VLOOKUP($S$393,'TAR FIN'!$A$1:$O$88,15,0))</f>
        <v>0</v>
      </c>
      <c r="W393" s="6">
        <f>IF(ISERROR(VLOOKUP($T$393,'TAR FIN'!$A$1:$O$88,15,0)),0,VLOOKUP($T$393,'TAR FIN'!$A$1:$O$88,15,0))</f>
        <v>356.37</v>
      </c>
      <c r="X393" s="6">
        <f>IF(ISERROR(VLOOKUP($U$393,'TAR FIN'!$A$1:$O$88,15,0)),0,VLOOKUP($U$393,'TAR FIN'!$A$1:$O$88,15,0))</f>
        <v>252.22</v>
      </c>
      <c r="Y393" s="6"/>
      <c r="Z393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393" s="6">
        <f>('TE BE'!$AB$14+'TE BF'!$AB$14+'TE CVA'!$AB$14)*(1-CUSTOS!$M$37)</f>
        <v>251.92449556687748</v>
      </c>
      <c r="AB393" s="6">
        <f>$K$393*$V$393</f>
        <v>0</v>
      </c>
      <c r="AC393" s="6">
        <f>$M$393*$W$393</f>
        <v>2085.4772400000002</v>
      </c>
      <c r="AD393" s="6">
        <f>$O$393*$X$393</f>
        <v>1475.99144</v>
      </c>
      <c r="AE393" s="6">
        <f>$K$393*$Y$393</f>
        <v>0</v>
      </c>
      <c r="AF393" s="6">
        <f ca="1">$M$393*$Z$393</f>
        <v>2261.6189115022758</v>
      </c>
      <c r="AG393" s="6">
        <f>$O$393*$AA$393</f>
        <v>1474.2621480573671</v>
      </c>
    </row>
    <row r="394" spans="1:33" ht="11.25" customHeight="1" x14ac:dyDescent="0.25">
      <c r="A394" s="4" t="s">
        <v>21</v>
      </c>
      <c r="B394" s="4" t="s">
        <v>40</v>
      </c>
      <c r="C394" s="4" t="s">
        <v>23</v>
      </c>
      <c r="D394" s="4" t="s">
        <v>41</v>
      </c>
      <c r="E394" s="4" t="s">
        <v>49</v>
      </c>
      <c r="F394" s="4" t="s">
        <v>50</v>
      </c>
      <c r="G394" s="4" t="s">
        <v>25</v>
      </c>
      <c r="H394" s="4" t="s">
        <v>25</v>
      </c>
      <c r="I394" s="5">
        <v>44378</v>
      </c>
      <c r="J394" s="6">
        <v>0</v>
      </c>
      <c r="K394" s="6">
        <v>0</v>
      </c>
      <c r="L394" s="6">
        <v>4.234</v>
      </c>
      <c r="M394" s="6">
        <v>4.234</v>
      </c>
      <c r="N394" s="6">
        <v>4.234</v>
      </c>
      <c r="O394" s="6">
        <v>4.234</v>
      </c>
      <c r="P394" s="6">
        <v>0</v>
      </c>
      <c r="Q394" s="4" t="s">
        <v>26</v>
      </c>
      <c r="R394" s="4">
        <v>0</v>
      </c>
      <c r="S394" s="6">
        <v>0</v>
      </c>
      <c r="T394" s="6">
        <v>61</v>
      </c>
      <c r="U394" s="6">
        <v>72</v>
      </c>
      <c r="V394" s="6">
        <f>IF(ISERROR(VLOOKUP($S$394,'TAR FIN'!$A$1:$O$88,15,0)),0,VLOOKUP($S$394,'TAR FIN'!$A$1:$O$88,15,0))</f>
        <v>0</v>
      </c>
      <c r="W394" s="6">
        <f>IF(ISERROR(VLOOKUP($T$394,'TAR FIN'!$A$1:$O$88,15,0)),0,VLOOKUP($T$394,'TAR FIN'!$A$1:$O$88,15,0))</f>
        <v>374.66</v>
      </c>
      <c r="X394" s="6">
        <f>IF(ISERROR(VLOOKUP($U$394,'TAR FIN'!$A$1:$O$88,15,0)),0,VLOOKUP($U$394,'TAR FIN'!$A$1:$O$88,15,0))</f>
        <v>221.96</v>
      </c>
      <c r="Y394" s="6"/>
      <c r="Z394" s="6">
        <f ca="1">('TUSD BE'!$AM$33+'TUSD BF'!$AM$33+'TUSD CVA'!$AM$33)*(1-CUSTOS!$M$38)</f>
        <v>458.58557094695544</v>
      </c>
      <c r="AA394" s="6">
        <f>('TE BE'!$AB$23+'TE BF'!$AB$23+'TE CVA'!$AB$23)*(1-CUSTOS!$M$38)</f>
        <v>236.80902583286482</v>
      </c>
      <c r="AB394" s="6">
        <f>$K$394*$V$394</f>
        <v>0</v>
      </c>
      <c r="AC394" s="6">
        <f>$M$394*$W$394</f>
        <v>1586.3104400000002</v>
      </c>
      <c r="AD394" s="6">
        <f>$O$394*$X$394</f>
        <v>939.77864</v>
      </c>
      <c r="AE394" s="6">
        <f>$K$394*$Y$394</f>
        <v>0</v>
      </c>
      <c r="AF394" s="6">
        <f ca="1">$M$394*$Z$394</f>
        <v>1941.6513073894093</v>
      </c>
      <c r="AG394" s="6">
        <f>$O$394*$AA$394</f>
        <v>1002.6494153763497</v>
      </c>
    </row>
    <row r="395" spans="1:33" ht="11.25" customHeight="1" x14ac:dyDescent="0.25">
      <c r="A395" s="4" t="s">
        <v>28</v>
      </c>
      <c r="B395" s="4" t="s">
        <v>40</v>
      </c>
      <c r="C395" s="4" t="s">
        <v>23</v>
      </c>
      <c r="D395" s="4" t="s">
        <v>41</v>
      </c>
      <c r="E395" s="4" t="s">
        <v>49</v>
      </c>
      <c r="F395" s="4" t="s">
        <v>50</v>
      </c>
      <c r="G395" s="4" t="s">
        <v>25</v>
      </c>
      <c r="H395" s="4" t="s">
        <v>25</v>
      </c>
      <c r="I395" s="5">
        <v>44378</v>
      </c>
      <c r="J395" s="6">
        <v>0</v>
      </c>
      <c r="K395" s="6">
        <v>0</v>
      </c>
      <c r="L395" s="6">
        <v>0.04</v>
      </c>
      <c r="M395" s="6">
        <v>0.04</v>
      </c>
      <c r="N395" s="6">
        <v>0.04</v>
      </c>
      <c r="O395" s="6">
        <v>0.04</v>
      </c>
      <c r="P395" s="6">
        <v>0</v>
      </c>
      <c r="Q395" s="4" t="s">
        <v>26</v>
      </c>
      <c r="R395" s="4">
        <v>0</v>
      </c>
      <c r="S395" s="6">
        <v>0</v>
      </c>
      <c r="T395" s="6">
        <v>61</v>
      </c>
      <c r="U395" s="6">
        <v>72</v>
      </c>
      <c r="V395" s="6">
        <f>IF(ISERROR(VLOOKUP($S$395,'TAR FIN'!$A$1:$O$88,15,0)),0,VLOOKUP($S$395,'TAR FIN'!$A$1:$O$88,15,0))</f>
        <v>0</v>
      </c>
      <c r="W395" s="6">
        <f>IF(ISERROR(VLOOKUP($T$395,'TAR FIN'!$A$1:$O$88,15,0)),0,VLOOKUP($T$395,'TAR FIN'!$A$1:$O$88,15,0))</f>
        <v>374.66</v>
      </c>
      <c r="X395" s="6">
        <f>IF(ISERROR(VLOOKUP($U$395,'TAR FIN'!$A$1:$O$88,15,0)),0,VLOOKUP($U$395,'TAR FIN'!$A$1:$O$88,15,0))</f>
        <v>221.96</v>
      </c>
      <c r="Y395" s="6"/>
      <c r="Z395" s="6">
        <f ca="1">('TUSD BE'!$AM$33+'TUSD BF'!$AM$33+'TUSD CVA'!$AM$33)*(1-CUSTOS!$M$38)</f>
        <v>458.58557094695544</v>
      </c>
      <c r="AA395" s="6">
        <f>('TE BE'!$AB$23+'TE BF'!$AB$23+'TE CVA'!$AB$23)*(1-CUSTOS!$M$38)</f>
        <v>236.80902583286482</v>
      </c>
      <c r="AB395" s="6">
        <f>$K$395*$V$395</f>
        <v>0</v>
      </c>
      <c r="AC395" s="6">
        <f>$M$395*$W$395</f>
        <v>14.986400000000001</v>
      </c>
      <c r="AD395" s="6">
        <f>$O$395*$X$395</f>
        <v>8.878400000000001</v>
      </c>
      <c r="AE395" s="6">
        <f>$K$395*$Y$395</f>
        <v>0</v>
      </c>
      <c r="AF395" s="6">
        <f ca="1">$M$395*$Z$395</f>
        <v>18.343422837878219</v>
      </c>
      <c r="AG395" s="6">
        <f>$O$395*$AA$395</f>
        <v>9.4723610333145931</v>
      </c>
    </row>
    <row r="396" spans="1:33" ht="11.25" customHeight="1" x14ac:dyDescent="0.25">
      <c r="A396" s="4" t="s">
        <v>21</v>
      </c>
      <c r="B396" s="4" t="s">
        <v>40</v>
      </c>
      <c r="C396" s="4" t="s">
        <v>23</v>
      </c>
      <c r="D396" s="4" t="s">
        <v>41</v>
      </c>
      <c r="E396" s="4" t="s">
        <v>49</v>
      </c>
      <c r="F396" s="4" t="s">
        <v>50</v>
      </c>
      <c r="G396" s="4" t="s">
        <v>25</v>
      </c>
      <c r="H396" s="4" t="s">
        <v>25</v>
      </c>
      <c r="I396" s="5">
        <v>44409</v>
      </c>
      <c r="J396" s="6">
        <v>0</v>
      </c>
      <c r="K396" s="6">
        <v>0</v>
      </c>
      <c r="L396" s="6">
        <v>2.2959999999999998</v>
      </c>
      <c r="M396" s="6">
        <v>2.2959999999999998</v>
      </c>
      <c r="N396" s="6">
        <v>2.2959999999999998</v>
      </c>
      <c r="O396" s="6">
        <v>2.2959999999999998</v>
      </c>
      <c r="P396" s="6">
        <v>0</v>
      </c>
      <c r="Q396" s="4" t="s">
        <v>26</v>
      </c>
      <c r="R396" s="4">
        <v>0</v>
      </c>
      <c r="S396" s="6">
        <v>0</v>
      </c>
      <c r="T396" s="6">
        <v>61</v>
      </c>
      <c r="U396" s="6">
        <v>72</v>
      </c>
      <c r="V396" s="6">
        <f>IF(ISERROR(VLOOKUP($S$396,'TAR FIN'!$A$1:$O$88,15,0)),0,VLOOKUP($S$396,'TAR FIN'!$A$1:$O$88,15,0))</f>
        <v>0</v>
      </c>
      <c r="W396" s="6">
        <f>IF(ISERROR(VLOOKUP($T$396,'TAR FIN'!$A$1:$O$88,15,0)),0,VLOOKUP($T$396,'TAR FIN'!$A$1:$O$88,15,0))</f>
        <v>374.66</v>
      </c>
      <c r="X396" s="6">
        <f>IF(ISERROR(VLOOKUP($U$396,'TAR FIN'!$A$1:$O$88,15,0)),0,VLOOKUP($U$396,'TAR FIN'!$A$1:$O$88,15,0))</f>
        <v>221.96</v>
      </c>
      <c r="Y396" s="6"/>
      <c r="Z396" s="6">
        <f ca="1">('TUSD BE'!$AM$33+'TUSD BF'!$AM$33+'TUSD CVA'!$AM$33)*(1-CUSTOS!$M$38)</f>
        <v>458.58557094695544</v>
      </c>
      <c r="AA396" s="6">
        <f>('TE BE'!$AB$23+'TE BF'!$AB$23+'TE CVA'!$AB$23)*(1-CUSTOS!$M$38)</f>
        <v>236.80902583286482</v>
      </c>
      <c r="AB396" s="6">
        <f>$K$396*$V$396</f>
        <v>0</v>
      </c>
      <c r="AC396" s="6">
        <f>$M$396*$W$396</f>
        <v>860.21935999999994</v>
      </c>
      <c r="AD396" s="6">
        <f>$O$396*$X$396</f>
        <v>509.62016</v>
      </c>
      <c r="AE396" s="6">
        <f>$K$396*$Y$396</f>
        <v>0</v>
      </c>
      <c r="AF396" s="6">
        <f ca="1">$M$396*$Z$396</f>
        <v>1052.9124708942097</v>
      </c>
      <c r="AG396" s="6">
        <f>$O$396*$AA$396</f>
        <v>543.71352331225762</v>
      </c>
    </row>
    <row r="397" spans="1:33" ht="11.25" customHeight="1" x14ac:dyDescent="0.25">
      <c r="A397" s="4" t="s">
        <v>28</v>
      </c>
      <c r="B397" s="4" t="s">
        <v>40</v>
      </c>
      <c r="C397" s="4" t="s">
        <v>23</v>
      </c>
      <c r="D397" s="4" t="s">
        <v>41</v>
      </c>
      <c r="E397" s="4" t="s">
        <v>49</v>
      </c>
      <c r="F397" s="4" t="s">
        <v>50</v>
      </c>
      <c r="G397" s="4" t="s">
        <v>25</v>
      </c>
      <c r="H397" s="4" t="s">
        <v>25</v>
      </c>
      <c r="I397" s="5">
        <v>44409</v>
      </c>
      <c r="J397" s="6">
        <v>0</v>
      </c>
      <c r="K397" s="6">
        <v>0</v>
      </c>
      <c r="L397" s="6">
        <v>0.36599999999999999</v>
      </c>
      <c r="M397" s="6">
        <v>0.36599999999999999</v>
      </c>
      <c r="N397" s="6">
        <v>0.36599999999999999</v>
      </c>
      <c r="O397" s="6">
        <v>0.36599999999999999</v>
      </c>
      <c r="P397" s="6">
        <v>0</v>
      </c>
      <c r="Q397" s="4" t="s">
        <v>26</v>
      </c>
      <c r="R397" s="4">
        <v>0</v>
      </c>
      <c r="S397" s="6">
        <v>0</v>
      </c>
      <c r="T397" s="6">
        <v>61</v>
      </c>
      <c r="U397" s="6">
        <v>72</v>
      </c>
      <c r="V397" s="6">
        <f>IF(ISERROR(VLOOKUP($S$397,'TAR FIN'!$A$1:$O$88,15,0)),0,VLOOKUP($S$397,'TAR FIN'!$A$1:$O$88,15,0))</f>
        <v>0</v>
      </c>
      <c r="W397" s="6">
        <f>IF(ISERROR(VLOOKUP($T$397,'TAR FIN'!$A$1:$O$88,15,0)),0,VLOOKUP($T$397,'TAR FIN'!$A$1:$O$88,15,0))</f>
        <v>374.66</v>
      </c>
      <c r="X397" s="6">
        <f>IF(ISERROR(VLOOKUP($U$397,'TAR FIN'!$A$1:$O$88,15,0)),0,VLOOKUP($U$397,'TAR FIN'!$A$1:$O$88,15,0))</f>
        <v>221.96</v>
      </c>
      <c r="Y397" s="6"/>
      <c r="Z397" s="6">
        <f ca="1">('TUSD BE'!$AM$33+'TUSD BF'!$AM$33+'TUSD CVA'!$AM$33)*(1-CUSTOS!$M$38)</f>
        <v>458.58557094695544</v>
      </c>
      <c r="AA397" s="6">
        <f>('TE BE'!$AB$23+'TE BF'!$AB$23+'TE CVA'!$AB$23)*(1-CUSTOS!$M$38)</f>
        <v>236.80902583286482</v>
      </c>
      <c r="AB397" s="6">
        <f>$K$397*$V$397</f>
        <v>0</v>
      </c>
      <c r="AC397" s="6">
        <f>$M$397*$W$397</f>
        <v>137.12556000000001</v>
      </c>
      <c r="AD397" s="6">
        <f>$O$397*$X$397</f>
        <v>81.237359999999995</v>
      </c>
      <c r="AE397" s="6">
        <f>$K$397*$Y$397</f>
        <v>0</v>
      </c>
      <c r="AF397" s="6">
        <f ca="1">$M$397*$Z$397</f>
        <v>167.84231896658568</v>
      </c>
      <c r="AG397" s="6">
        <f>$O$397*$AA$397</f>
        <v>86.672103454828516</v>
      </c>
    </row>
    <row r="398" spans="1:33" ht="11.25" customHeight="1" x14ac:dyDescent="0.25">
      <c r="A398" s="4" t="s">
        <v>21</v>
      </c>
      <c r="B398" s="4" t="s">
        <v>40</v>
      </c>
      <c r="C398" s="4" t="s">
        <v>23</v>
      </c>
      <c r="D398" s="4" t="s">
        <v>41</v>
      </c>
      <c r="E398" s="4" t="s">
        <v>49</v>
      </c>
      <c r="F398" s="4" t="s">
        <v>50</v>
      </c>
      <c r="G398" s="4" t="s">
        <v>25</v>
      </c>
      <c r="H398" s="4" t="s">
        <v>25</v>
      </c>
      <c r="I398" s="5">
        <v>44440</v>
      </c>
      <c r="J398" s="6">
        <v>0</v>
      </c>
      <c r="K398" s="6">
        <v>0</v>
      </c>
      <c r="L398" s="6">
        <v>6.0069999999999997</v>
      </c>
      <c r="M398" s="6">
        <v>6.0069999999999997</v>
      </c>
      <c r="N398" s="6">
        <v>6.0069999999999997</v>
      </c>
      <c r="O398" s="6">
        <v>6.0069999999999997</v>
      </c>
      <c r="P398" s="6">
        <v>0</v>
      </c>
      <c r="Q398" s="4" t="s">
        <v>26</v>
      </c>
      <c r="R398" s="4">
        <v>0</v>
      </c>
      <c r="S398" s="6">
        <v>0</v>
      </c>
      <c r="T398" s="6">
        <v>61</v>
      </c>
      <c r="U398" s="6">
        <v>72</v>
      </c>
      <c r="V398" s="6">
        <f>IF(ISERROR(VLOOKUP($S$398,'TAR FIN'!$A$1:$O$88,15,0)),0,VLOOKUP($S$398,'TAR FIN'!$A$1:$O$88,15,0))</f>
        <v>0</v>
      </c>
      <c r="W398" s="6">
        <f>IF(ISERROR(VLOOKUP($T$398,'TAR FIN'!$A$1:$O$88,15,0)),0,VLOOKUP($T$398,'TAR FIN'!$A$1:$O$88,15,0))</f>
        <v>374.66</v>
      </c>
      <c r="X398" s="6">
        <f>IF(ISERROR(VLOOKUP($U$398,'TAR FIN'!$A$1:$O$88,15,0)),0,VLOOKUP($U$398,'TAR FIN'!$A$1:$O$88,15,0))</f>
        <v>221.96</v>
      </c>
      <c r="Y398" s="6"/>
      <c r="Z398" s="6">
        <f ca="1">('TUSD BE'!$AM$33+'TUSD BF'!$AM$33+'TUSD CVA'!$AM$33)*(1-CUSTOS!$M$38)</f>
        <v>458.58557094695544</v>
      </c>
      <c r="AA398" s="6">
        <f>('TE BE'!$AB$23+'TE BF'!$AB$23+'TE CVA'!$AB$23)*(1-CUSTOS!$M$38)</f>
        <v>236.80902583286482</v>
      </c>
      <c r="AB398" s="6">
        <f>$K$398*$V$398</f>
        <v>0</v>
      </c>
      <c r="AC398" s="6">
        <f>$M$398*$W$398</f>
        <v>2250.5826200000001</v>
      </c>
      <c r="AD398" s="6">
        <f>$O$398*$X$398</f>
        <v>1333.3137199999999</v>
      </c>
      <c r="AE398" s="6">
        <f>$K$398*$Y$398</f>
        <v>0</v>
      </c>
      <c r="AF398" s="6">
        <f ca="1">$M$398*$Z$398</f>
        <v>2754.7235246783612</v>
      </c>
      <c r="AG398" s="6">
        <f>$O$398*$AA$398</f>
        <v>1422.511818178019</v>
      </c>
    </row>
    <row r="399" spans="1:33" ht="11.25" customHeight="1" x14ac:dyDescent="0.25">
      <c r="A399" s="4" t="s">
        <v>28</v>
      </c>
      <c r="B399" s="4" t="s">
        <v>40</v>
      </c>
      <c r="C399" s="4" t="s">
        <v>23</v>
      </c>
      <c r="D399" s="4" t="s">
        <v>41</v>
      </c>
      <c r="E399" s="4" t="s">
        <v>49</v>
      </c>
      <c r="F399" s="4" t="s">
        <v>50</v>
      </c>
      <c r="G399" s="4" t="s">
        <v>25</v>
      </c>
      <c r="H399" s="4" t="s">
        <v>25</v>
      </c>
      <c r="I399" s="5">
        <v>44440</v>
      </c>
      <c r="J399" s="6">
        <v>0</v>
      </c>
      <c r="K399" s="6">
        <v>0</v>
      </c>
      <c r="L399" s="6">
        <v>1.2909999999999999</v>
      </c>
      <c r="M399" s="6">
        <v>1.2909999999999999</v>
      </c>
      <c r="N399" s="6">
        <v>1.2909999999999999</v>
      </c>
      <c r="O399" s="6">
        <v>1.2909999999999999</v>
      </c>
      <c r="P399" s="6">
        <v>0</v>
      </c>
      <c r="Q399" s="4" t="s">
        <v>26</v>
      </c>
      <c r="R399" s="4">
        <v>0</v>
      </c>
      <c r="S399" s="6">
        <v>0</v>
      </c>
      <c r="T399" s="6">
        <v>61</v>
      </c>
      <c r="U399" s="6">
        <v>72</v>
      </c>
      <c r="V399" s="6">
        <f>IF(ISERROR(VLOOKUP($S$399,'TAR FIN'!$A$1:$O$88,15,0)),0,VLOOKUP($S$399,'TAR FIN'!$A$1:$O$88,15,0))</f>
        <v>0</v>
      </c>
      <c r="W399" s="6">
        <f>IF(ISERROR(VLOOKUP($T$399,'TAR FIN'!$A$1:$O$88,15,0)),0,VLOOKUP($T$399,'TAR FIN'!$A$1:$O$88,15,0))</f>
        <v>374.66</v>
      </c>
      <c r="X399" s="6">
        <f>IF(ISERROR(VLOOKUP($U$399,'TAR FIN'!$A$1:$O$88,15,0)),0,VLOOKUP($U$399,'TAR FIN'!$A$1:$O$88,15,0))</f>
        <v>221.96</v>
      </c>
      <c r="Y399" s="6"/>
      <c r="Z399" s="6">
        <f ca="1">('TUSD BE'!$AM$33+'TUSD BF'!$AM$33+'TUSD CVA'!$AM$33)*(1-CUSTOS!$M$38)</f>
        <v>458.58557094695544</v>
      </c>
      <c r="AA399" s="6">
        <f>('TE BE'!$AB$23+'TE BF'!$AB$23+'TE CVA'!$AB$23)*(1-CUSTOS!$M$38)</f>
        <v>236.80902583286482</v>
      </c>
      <c r="AB399" s="6">
        <f>$K$399*$V$399</f>
        <v>0</v>
      </c>
      <c r="AC399" s="6">
        <f>$M$399*$W$399</f>
        <v>483.68606</v>
      </c>
      <c r="AD399" s="6">
        <f>$O$399*$X$399</f>
        <v>286.55036000000001</v>
      </c>
      <c r="AE399" s="6">
        <f>$K$399*$Y$399</f>
        <v>0</v>
      </c>
      <c r="AF399" s="6">
        <f ca="1">$M$399*$Z$399</f>
        <v>592.03397209251943</v>
      </c>
      <c r="AG399" s="6">
        <f>$O$399*$AA$399</f>
        <v>305.72045235022847</v>
      </c>
    </row>
    <row r="400" spans="1:33" ht="11.25" customHeight="1" x14ac:dyDescent="0.25">
      <c r="A400" s="4" t="s">
        <v>21</v>
      </c>
      <c r="B400" s="4" t="s">
        <v>40</v>
      </c>
      <c r="C400" s="4" t="s">
        <v>23</v>
      </c>
      <c r="D400" s="4" t="s">
        <v>41</v>
      </c>
      <c r="E400" s="4" t="s">
        <v>49</v>
      </c>
      <c r="F400" s="4" t="s">
        <v>50</v>
      </c>
      <c r="G400" s="4" t="s">
        <v>25</v>
      </c>
      <c r="H400" s="4" t="s">
        <v>25</v>
      </c>
      <c r="I400" s="5">
        <v>44470</v>
      </c>
      <c r="J400" s="6">
        <v>0</v>
      </c>
      <c r="K400" s="6">
        <v>0</v>
      </c>
      <c r="L400" s="6">
        <v>11.356999999999999</v>
      </c>
      <c r="M400" s="6">
        <v>11.356999999999999</v>
      </c>
      <c r="N400" s="6">
        <v>11.356999999999999</v>
      </c>
      <c r="O400" s="6">
        <v>11.356999999999999</v>
      </c>
      <c r="P400" s="6">
        <v>0</v>
      </c>
      <c r="Q400" s="4" t="s">
        <v>26</v>
      </c>
      <c r="R400" s="4">
        <v>0</v>
      </c>
      <c r="S400" s="6">
        <v>0</v>
      </c>
      <c r="T400" s="6">
        <v>61</v>
      </c>
      <c r="U400" s="6">
        <v>72</v>
      </c>
      <c r="V400" s="6">
        <f>IF(ISERROR(VLOOKUP($S$400,'TAR FIN'!$A$1:$O$88,15,0)),0,VLOOKUP($S$400,'TAR FIN'!$A$1:$O$88,15,0))</f>
        <v>0</v>
      </c>
      <c r="W400" s="6">
        <f>IF(ISERROR(VLOOKUP($T$400,'TAR FIN'!$A$1:$O$88,15,0)),0,VLOOKUP($T$400,'TAR FIN'!$A$1:$O$88,15,0))</f>
        <v>374.66</v>
      </c>
      <c r="X400" s="6">
        <f>IF(ISERROR(VLOOKUP($U$400,'TAR FIN'!$A$1:$O$88,15,0)),0,VLOOKUP($U$400,'TAR FIN'!$A$1:$O$88,15,0))</f>
        <v>221.96</v>
      </c>
      <c r="Y400" s="6"/>
      <c r="Z400" s="6">
        <f ca="1">('TUSD BE'!$AM$33+'TUSD BF'!$AM$33+'TUSD CVA'!$AM$33)*(1-CUSTOS!$M$38)</f>
        <v>458.58557094695544</v>
      </c>
      <c r="AA400" s="6">
        <f>('TE BE'!$AB$23+'TE BF'!$AB$23+'TE CVA'!$AB$23)*(1-CUSTOS!$M$38)</f>
        <v>236.80902583286482</v>
      </c>
      <c r="AB400" s="6">
        <f>$K$400*$V$400</f>
        <v>0</v>
      </c>
      <c r="AC400" s="6">
        <f>$M$400*$W$400</f>
        <v>4255.0136199999997</v>
      </c>
      <c r="AD400" s="6">
        <f>$O$400*$X$400</f>
        <v>2520.79972</v>
      </c>
      <c r="AE400" s="6">
        <f>$K$400*$Y$400</f>
        <v>0</v>
      </c>
      <c r="AF400" s="6">
        <f ca="1">$M$400*$Z$400</f>
        <v>5208.1563292445726</v>
      </c>
      <c r="AG400" s="6">
        <f>$O$400*$AA$400</f>
        <v>2689.4401063838454</v>
      </c>
    </row>
    <row r="401" spans="1:33" ht="11.25" customHeight="1" x14ac:dyDescent="0.25">
      <c r="A401" s="4" t="s">
        <v>28</v>
      </c>
      <c r="B401" s="4" t="s">
        <v>40</v>
      </c>
      <c r="C401" s="4" t="s">
        <v>23</v>
      </c>
      <c r="D401" s="4" t="s">
        <v>41</v>
      </c>
      <c r="E401" s="4" t="s">
        <v>49</v>
      </c>
      <c r="F401" s="4" t="s">
        <v>50</v>
      </c>
      <c r="G401" s="4" t="s">
        <v>25</v>
      </c>
      <c r="H401" s="4" t="s">
        <v>25</v>
      </c>
      <c r="I401" s="5">
        <v>44470</v>
      </c>
      <c r="J401" s="6">
        <v>0</v>
      </c>
      <c r="K401" s="6">
        <v>0</v>
      </c>
      <c r="L401" s="6">
        <v>0.19</v>
      </c>
      <c r="M401" s="6">
        <v>0.19</v>
      </c>
      <c r="N401" s="6">
        <v>0.19</v>
      </c>
      <c r="O401" s="6">
        <v>0.19</v>
      </c>
      <c r="P401" s="6">
        <v>0</v>
      </c>
      <c r="Q401" s="4" t="s">
        <v>26</v>
      </c>
      <c r="R401" s="4">
        <v>0</v>
      </c>
      <c r="S401" s="6">
        <v>0</v>
      </c>
      <c r="T401" s="6">
        <v>61</v>
      </c>
      <c r="U401" s="6">
        <v>72</v>
      </c>
      <c r="V401" s="6">
        <f>IF(ISERROR(VLOOKUP($S$401,'TAR FIN'!$A$1:$O$88,15,0)),0,VLOOKUP($S$401,'TAR FIN'!$A$1:$O$88,15,0))</f>
        <v>0</v>
      </c>
      <c r="W401" s="6">
        <f>IF(ISERROR(VLOOKUP($T$401,'TAR FIN'!$A$1:$O$88,15,0)),0,VLOOKUP($T$401,'TAR FIN'!$A$1:$O$88,15,0))</f>
        <v>374.66</v>
      </c>
      <c r="X401" s="6">
        <f>IF(ISERROR(VLOOKUP($U$401,'TAR FIN'!$A$1:$O$88,15,0)),0,VLOOKUP($U$401,'TAR FIN'!$A$1:$O$88,15,0))</f>
        <v>221.96</v>
      </c>
      <c r="Y401" s="6"/>
      <c r="Z401" s="6">
        <f ca="1">('TUSD BE'!$AM$33+'TUSD BF'!$AM$33+'TUSD CVA'!$AM$33)*(1-CUSTOS!$M$38)</f>
        <v>458.58557094695544</v>
      </c>
      <c r="AA401" s="6">
        <f>('TE BE'!$AB$23+'TE BF'!$AB$23+'TE CVA'!$AB$23)*(1-CUSTOS!$M$38)</f>
        <v>236.80902583286482</v>
      </c>
      <c r="AB401" s="6">
        <f>$K$401*$V$401</f>
        <v>0</v>
      </c>
      <c r="AC401" s="6">
        <f>$M$401*$W$401</f>
        <v>71.185400000000001</v>
      </c>
      <c r="AD401" s="6">
        <f>$O$401*$X$401</f>
        <v>42.172400000000003</v>
      </c>
      <c r="AE401" s="6">
        <f>$K$401*$Y$401</f>
        <v>0</v>
      </c>
      <c r="AF401" s="6">
        <f ca="1">$M$401*$Z$401</f>
        <v>87.131258479921541</v>
      </c>
      <c r="AG401" s="6">
        <f>$O$401*$AA$401</f>
        <v>44.993714908244314</v>
      </c>
    </row>
    <row r="402" spans="1:33" ht="11.25" customHeight="1" x14ac:dyDescent="0.25">
      <c r="A402" s="4" t="s">
        <v>21</v>
      </c>
      <c r="B402" s="4" t="s">
        <v>40</v>
      </c>
      <c r="C402" s="4" t="s">
        <v>23</v>
      </c>
      <c r="D402" s="4" t="s">
        <v>41</v>
      </c>
      <c r="E402" s="4" t="s">
        <v>49</v>
      </c>
      <c r="F402" s="4" t="s">
        <v>50</v>
      </c>
      <c r="G402" s="4" t="s">
        <v>25</v>
      </c>
      <c r="H402" s="4" t="s">
        <v>25</v>
      </c>
      <c r="I402" s="5">
        <v>44501</v>
      </c>
      <c r="J402" s="6">
        <v>0</v>
      </c>
      <c r="K402" s="6">
        <v>0</v>
      </c>
      <c r="L402" s="6">
        <v>83.301000000000002</v>
      </c>
      <c r="M402" s="6">
        <v>83.301000000000002</v>
      </c>
      <c r="N402" s="6">
        <v>83.301000000000002</v>
      </c>
      <c r="O402" s="6">
        <v>83.301000000000002</v>
      </c>
      <c r="P402" s="6">
        <v>0</v>
      </c>
      <c r="Q402" s="4" t="s">
        <v>26</v>
      </c>
      <c r="R402" s="4">
        <v>0</v>
      </c>
      <c r="S402" s="6">
        <v>0</v>
      </c>
      <c r="T402" s="6">
        <v>61</v>
      </c>
      <c r="U402" s="6">
        <v>72</v>
      </c>
      <c r="V402" s="6">
        <f>IF(ISERROR(VLOOKUP($S$402,'TAR FIN'!$A$1:$O$88,15,0)),0,VLOOKUP($S$402,'TAR FIN'!$A$1:$O$88,15,0))</f>
        <v>0</v>
      </c>
      <c r="W402" s="6">
        <f>IF(ISERROR(VLOOKUP($T$402,'TAR FIN'!$A$1:$O$88,15,0)),0,VLOOKUP($T$402,'TAR FIN'!$A$1:$O$88,15,0))</f>
        <v>374.66</v>
      </c>
      <c r="X402" s="6">
        <f>IF(ISERROR(VLOOKUP($U$402,'TAR FIN'!$A$1:$O$88,15,0)),0,VLOOKUP($U$402,'TAR FIN'!$A$1:$O$88,15,0))</f>
        <v>221.96</v>
      </c>
      <c r="Y402" s="6"/>
      <c r="Z402" s="6">
        <f ca="1">('TUSD BE'!$AM$33+'TUSD BF'!$AM$33+'TUSD CVA'!$AM$33)*(1-CUSTOS!$M$38)</f>
        <v>458.58557094695544</v>
      </c>
      <c r="AA402" s="6">
        <f>('TE BE'!$AB$23+'TE BF'!$AB$23+'TE CVA'!$AB$23)*(1-CUSTOS!$M$38)</f>
        <v>236.80902583286482</v>
      </c>
      <c r="AB402" s="6">
        <f>$K$402*$V$402</f>
        <v>0</v>
      </c>
      <c r="AC402" s="6">
        <f>$M$402*$W$402</f>
        <v>31209.552660000001</v>
      </c>
      <c r="AD402" s="6">
        <f>$O$402*$X$402</f>
        <v>18489.489960000003</v>
      </c>
      <c r="AE402" s="6">
        <f>$K$402*$Y$402</f>
        <v>0</v>
      </c>
      <c r="AF402" s="6">
        <f ca="1">$M$402*$Z$402</f>
        <v>38200.636645452338</v>
      </c>
      <c r="AG402" s="6">
        <f>$O$402*$AA$402</f>
        <v>19726.428660903472</v>
      </c>
    </row>
    <row r="403" spans="1:33" ht="11.25" customHeight="1" x14ac:dyDescent="0.25">
      <c r="A403" s="4" t="s">
        <v>27</v>
      </c>
      <c r="B403" s="4" t="s">
        <v>40</v>
      </c>
      <c r="C403" s="4" t="s">
        <v>23</v>
      </c>
      <c r="D403" s="4" t="s">
        <v>41</v>
      </c>
      <c r="E403" s="4" t="s">
        <v>49</v>
      </c>
      <c r="F403" s="4" t="s">
        <v>50</v>
      </c>
      <c r="G403" s="4" t="s">
        <v>25</v>
      </c>
      <c r="H403" s="4" t="s">
        <v>25</v>
      </c>
      <c r="I403" s="5">
        <v>44501</v>
      </c>
      <c r="J403" s="6">
        <v>0</v>
      </c>
      <c r="K403" s="6">
        <v>0</v>
      </c>
      <c r="L403" s="6">
        <v>0.2</v>
      </c>
      <c r="M403" s="6">
        <v>0.2</v>
      </c>
      <c r="N403" s="6">
        <v>0.2</v>
      </c>
      <c r="O403" s="6">
        <v>0.2</v>
      </c>
      <c r="P403" s="6">
        <v>0</v>
      </c>
      <c r="Q403" s="4" t="s">
        <v>26</v>
      </c>
      <c r="R403" s="4">
        <v>0</v>
      </c>
      <c r="S403" s="6">
        <v>0</v>
      </c>
      <c r="T403" s="6">
        <v>61</v>
      </c>
      <c r="U403" s="6">
        <v>72</v>
      </c>
      <c r="V403" s="6">
        <f>IF(ISERROR(VLOOKUP($S$403,'TAR FIN'!$A$1:$O$88,15,0)),0,VLOOKUP($S$403,'TAR FIN'!$A$1:$O$88,15,0))</f>
        <v>0</v>
      </c>
      <c r="W403" s="6">
        <f>IF(ISERROR(VLOOKUP($T$403,'TAR FIN'!$A$1:$O$88,15,0)),0,VLOOKUP($T$403,'TAR FIN'!$A$1:$O$88,15,0))</f>
        <v>374.66</v>
      </c>
      <c r="X403" s="6">
        <f>IF(ISERROR(VLOOKUP($U$403,'TAR FIN'!$A$1:$O$88,15,0)),0,VLOOKUP($U$403,'TAR FIN'!$A$1:$O$88,15,0))</f>
        <v>221.96</v>
      </c>
      <c r="Y403" s="6"/>
      <c r="Z403" s="6">
        <f ca="1">('TUSD BE'!$AM$33+'TUSD BF'!$AM$33+'TUSD CVA'!$AM$33)*(1-CUSTOS!$M$38)</f>
        <v>458.58557094695544</v>
      </c>
      <c r="AA403" s="6">
        <f>('TE BE'!$AB$23+'TE BF'!$AB$23+'TE CVA'!$AB$23)*(1-CUSTOS!$M$38)</f>
        <v>236.80902583286482</v>
      </c>
      <c r="AB403" s="6">
        <f>$K$403*$V$403</f>
        <v>0</v>
      </c>
      <c r="AC403" s="6">
        <f>$M$403*$W$403</f>
        <v>74.932000000000002</v>
      </c>
      <c r="AD403" s="6">
        <f>$O$403*$X$403</f>
        <v>44.392000000000003</v>
      </c>
      <c r="AE403" s="6">
        <f>$K$403*$Y$403</f>
        <v>0</v>
      </c>
      <c r="AF403" s="6">
        <f ca="1">$M$403*$Z$403</f>
        <v>91.717114189391097</v>
      </c>
      <c r="AG403" s="6">
        <f>$O$403*$AA$403</f>
        <v>47.361805166572964</v>
      </c>
    </row>
    <row r="404" spans="1:33" ht="11.25" customHeight="1" x14ac:dyDescent="0.25">
      <c r="A404" s="4" t="s">
        <v>28</v>
      </c>
      <c r="B404" s="4" t="s">
        <v>40</v>
      </c>
      <c r="C404" s="4" t="s">
        <v>23</v>
      </c>
      <c r="D404" s="4" t="s">
        <v>41</v>
      </c>
      <c r="E404" s="4" t="s">
        <v>49</v>
      </c>
      <c r="F404" s="4" t="s">
        <v>50</v>
      </c>
      <c r="G404" s="4" t="s">
        <v>25</v>
      </c>
      <c r="H404" s="4" t="s">
        <v>25</v>
      </c>
      <c r="I404" s="5">
        <v>44501</v>
      </c>
      <c r="J404" s="6">
        <v>0</v>
      </c>
      <c r="K404" s="6">
        <v>0</v>
      </c>
      <c r="L404" s="6">
        <v>1.4670000000000001</v>
      </c>
      <c r="M404" s="6">
        <v>1.4670000000000001</v>
      </c>
      <c r="N404" s="6">
        <v>1.4670000000000001</v>
      </c>
      <c r="O404" s="6">
        <v>1.4670000000000001</v>
      </c>
      <c r="P404" s="6">
        <v>0</v>
      </c>
      <c r="Q404" s="4" t="s">
        <v>26</v>
      </c>
      <c r="R404" s="4">
        <v>0</v>
      </c>
      <c r="S404" s="6">
        <v>0</v>
      </c>
      <c r="T404" s="6">
        <v>61</v>
      </c>
      <c r="U404" s="6">
        <v>72</v>
      </c>
      <c r="V404" s="6">
        <f>IF(ISERROR(VLOOKUP($S$404,'TAR FIN'!$A$1:$O$88,15,0)),0,VLOOKUP($S$404,'TAR FIN'!$A$1:$O$88,15,0))</f>
        <v>0</v>
      </c>
      <c r="W404" s="6">
        <f>IF(ISERROR(VLOOKUP($T$404,'TAR FIN'!$A$1:$O$88,15,0)),0,VLOOKUP($T$404,'TAR FIN'!$A$1:$O$88,15,0))</f>
        <v>374.66</v>
      </c>
      <c r="X404" s="6">
        <f>IF(ISERROR(VLOOKUP($U$404,'TAR FIN'!$A$1:$O$88,15,0)),0,VLOOKUP($U$404,'TAR FIN'!$A$1:$O$88,15,0))</f>
        <v>221.96</v>
      </c>
      <c r="Y404" s="6"/>
      <c r="Z404" s="6">
        <f ca="1">('TUSD BE'!$AM$33+'TUSD BF'!$AM$33+'TUSD CVA'!$AM$33)*(1-CUSTOS!$M$38)</f>
        <v>458.58557094695544</v>
      </c>
      <c r="AA404" s="6">
        <f>('TE BE'!$AB$23+'TE BF'!$AB$23+'TE CVA'!$AB$23)*(1-CUSTOS!$M$38)</f>
        <v>236.80902583286482</v>
      </c>
      <c r="AB404" s="6">
        <f>$K$404*$V$404</f>
        <v>0</v>
      </c>
      <c r="AC404" s="6">
        <f>$M$404*$W$404</f>
        <v>549.6262200000001</v>
      </c>
      <c r="AD404" s="6">
        <f>$O$404*$X$404</f>
        <v>325.61532000000005</v>
      </c>
      <c r="AE404" s="6">
        <f>$K$404*$Y$404</f>
        <v>0</v>
      </c>
      <c r="AF404" s="6">
        <f ca="1">$M$404*$Z$404</f>
        <v>672.74503257918366</v>
      </c>
      <c r="AG404" s="6">
        <f>$O$404*$AA$404</f>
        <v>347.39884089681271</v>
      </c>
    </row>
    <row r="405" spans="1:33" ht="11.25" customHeight="1" x14ac:dyDescent="0.25">
      <c r="A405" s="4" t="s">
        <v>21</v>
      </c>
      <c r="B405" s="4" t="s">
        <v>40</v>
      </c>
      <c r="C405" s="4" t="s">
        <v>23</v>
      </c>
      <c r="D405" s="4" t="s">
        <v>41</v>
      </c>
      <c r="E405" s="4" t="s">
        <v>49</v>
      </c>
      <c r="F405" s="4" t="s">
        <v>50</v>
      </c>
      <c r="G405" s="4" t="s">
        <v>25</v>
      </c>
      <c r="H405" s="4" t="s">
        <v>25</v>
      </c>
      <c r="I405" s="5">
        <v>44531</v>
      </c>
      <c r="J405" s="6">
        <v>0</v>
      </c>
      <c r="K405" s="6">
        <v>0</v>
      </c>
      <c r="L405" s="6">
        <v>209.755</v>
      </c>
      <c r="M405" s="6">
        <v>209.755</v>
      </c>
      <c r="N405" s="6">
        <v>209.755</v>
      </c>
      <c r="O405" s="6">
        <v>209.755</v>
      </c>
      <c r="P405" s="6">
        <v>0</v>
      </c>
      <c r="Q405" s="4" t="s">
        <v>26</v>
      </c>
      <c r="R405" s="4">
        <v>0</v>
      </c>
      <c r="S405" s="6">
        <v>0</v>
      </c>
      <c r="T405" s="6">
        <v>61</v>
      </c>
      <c r="U405" s="6">
        <v>72</v>
      </c>
      <c r="V405" s="6">
        <f>IF(ISERROR(VLOOKUP($S$405,'TAR FIN'!$A$1:$O$88,15,0)),0,VLOOKUP($S$405,'TAR FIN'!$A$1:$O$88,15,0))</f>
        <v>0</v>
      </c>
      <c r="W405" s="6">
        <f>IF(ISERROR(VLOOKUP($T$405,'TAR FIN'!$A$1:$O$88,15,0)),0,VLOOKUP($T$405,'TAR FIN'!$A$1:$O$88,15,0))</f>
        <v>374.66</v>
      </c>
      <c r="X405" s="6">
        <f>IF(ISERROR(VLOOKUP($U$405,'TAR FIN'!$A$1:$O$88,15,0)),0,VLOOKUP($U$405,'TAR FIN'!$A$1:$O$88,15,0))</f>
        <v>221.96</v>
      </c>
      <c r="Y405" s="6"/>
      <c r="Z405" s="6">
        <f ca="1">('TUSD BE'!$AM$33+'TUSD BF'!$AM$33+'TUSD CVA'!$AM$33)*(1-CUSTOS!$M$38)</f>
        <v>458.58557094695544</v>
      </c>
      <c r="AA405" s="6">
        <f>('TE BE'!$AB$23+'TE BF'!$AB$23+'TE CVA'!$AB$23)*(1-CUSTOS!$M$38)</f>
        <v>236.80902583286482</v>
      </c>
      <c r="AB405" s="6">
        <f>$K$405*$V$405</f>
        <v>0</v>
      </c>
      <c r="AC405" s="6">
        <f>$M$405*$W$405</f>
        <v>78586.808300000004</v>
      </c>
      <c r="AD405" s="6">
        <f>$O$405*$X$405</f>
        <v>46557.219799999999</v>
      </c>
      <c r="AE405" s="6">
        <f>$K$405*$Y$405</f>
        <v>0</v>
      </c>
      <c r="AF405" s="6">
        <f ca="1">$M$405*$Z$405</f>
        <v>96190.616433978634</v>
      </c>
      <c r="AG405" s="6">
        <f>$O$405*$AA$405</f>
        <v>49671.877213572559</v>
      </c>
    </row>
    <row r="406" spans="1:33" ht="11.25" customHeight="1" x14ac:dyDescent="0.25">
      <c r="A406" s="4" t="s">
        <v>28</v>
      </c>
      <c r="B406" s="4" t="s">
        <v>40</v>
      </c>
      <c r="C406" s="4" t="s">
        <v>23</v>
      </c>
      <c r="D406" s="4" t="s">
        <v>41</v>
      </c>
      <c r="E406" s="4" t="s">
        <v>49</v>
      </c>
      <c r="F406" s="4" t="s">
        <v>50</v>
      </c>
      <c r="G406" s="4" t="s">
        <v>25</v>
      </c>
      <c r="H406" s="4" t="s">
        <v>25</v>
      </c>
      <c r="I406" s="5">
        <v>44531</v>
      </c>
      <c r="J406" s="6">
        <v>0</v>
      </c>
      <c r="K406" s="6">
        <v>0</v>
      </c>
      <c r="L406" s="6">
        <v>0.89200000000000002</v>
      </c>
      <c r="M406" s="6">
        <v>0.89200000000000002</v>
      </c>
      <c r="N406" s="6">
        <v>0.89200000000000002</v>
      </c>
      <c r="O406" s="6">
        <v>0.89200000000000002</v>
      </c>
      <c r="P406" s="6">
        <v>0</v>
      </c>
      <c r="Q406" s="4" t="s">
        <v>26</v>
      </c>
      <c r="R406" s="4">
        <v>0</v>
      </c>
      <c r="S406" s="6">
        <v>0</v>
      </c>
      <c r="T406" s="6">
        <v>61</v>
      </c>
      <c r="U406" s="6">
        <v>72</v>
      </c>
      <c r="V406" s="6">
        <f>IF(ISERROR(VLOOKUP($S$406,'TAR FIN'!$A$1:$O$88,15,0)),0,VLOOKUP($S$406,'TAR FIN'!$A$1:$O$88,15,0))</f>
        <v>0</v>
      </c>
      <c r="W406" s="6">
        <f>IF(ISERROR(VLOOKUP($T$406,'TAR FIN'!$A$1:$O$88,15,0)),0,VLOOKUP($T$406,'TAR FIN'!$A$1:$O$88,15,0))</f>
        <v>374.66</v>
      </c>
      <c r="X406" s="6">
        <f>IF(ISERROR(VLOOKUP($U$406,'TAR FIN'!$A$1:$O$88,15,0)),0,VLOOKUP($U$406,'TAR FIN'!$A$1:$O$88,15,0))</f>
        <v>221.96</v>
      </c>
      <c r="Y406" s="6"/>
      <c r="Z406" s="6">
        <f ca="1">('TUSD BE'!$AM$33+'TUSD BF'!$AM$33+'TUSD CVA'!$AM$33)*(1-CUSTOS!$M$38)</f>
        <v>458.58557094695544</v>
      </c>
      <c r="AA406" s="6">
        <f>('TE BE'!$AB$23+'TE BF'!$AB$23+'TE CVA'!$AB$23)*(1-CUSTOS!$M$38)</f>
        <v>236.80902583286482</v>
      </c>
      <c r="AB406" s="6">
        <f>$K$406*$V$406</f>
        <v>0</v>
      </c>
      <c r="AC406" s="6">
        <f>$M$406*$W$406</f>
        <v>334.19672000000003</v>
      </c>
      <c r="AD406" s="6">
        <f>$O$406*$X$406</f>
        <v>197.98832000000002</v>
      </c>
      <c r="AE406" s="6">
        <f>$K$406*$Y$406</f>
        <v>0</v>
      </c>
      <c r="AF406" s="6">
        <f ca="1">$M$406*$Z$406</f>
        <v>409.05832928468425</v>
      </c>
      <c r="AG406" s="6">
        <f>$O$406*$AA$406</f>
        <v>211.23365104291543</v>
      </c>
    </row>
    <row r="407" spans="1:33" ht="11.25" customHeight="1" x14ac:dyDescent="0.25">
      <c r="A407" s="4" t="s">
        <v>21</v>
      </c>
      <c r="B407" s="4" t="s">
        <v>40</v>
      </c>
      <c r="C407" s="4" t="s">
        <v>23</v>
      </c>
      <c r="D407" s="4" t="s">
        <v>41</v>
      </c>
      <c r="E407" s="4" t="s">
        <v>49</v>
      </c>
      <c r="F407" s="4" t="s">
        <v>50</v>
      </c>
      <c r="G407" s="4" t="s">
        <v>25</v>
      </c>
      <c r="H407" s="4" t="s">
        <v>25</v>
      </c>
      <c r="I407" s="5">
        <v>44562</v>
      </c>
      <c r="J407" s="6">
        <v>0</v>
      </c>
      <c r="K407" s="6">
        <v>0</v>
      </c>
      <c r="L407" s="6">
        <v>243.178</v>
      </c>
      <c r="M407" s="6">
        <v>243.178</v>
      </c>
      <c r="N407" s="6">
        <v>243.178</v>
      </c>
      <c r="O407" s="6">
        <v>243.178</v>
      </c>
      <c r="P407" s="6">
        <v>0</v>
      </c>
      <c r="Q407" s="4" t="s">
        <v>26</v>
      </c>
      <c r="R407" s="4">
        <v>0</v>
      </c>
      <c r="S407" s="6">
        <v>0</v>
      </c>
      <c r="T407" s="6">
        <v>61</v>
      </c>
      <c r="U407" s="6">
        <v>72</v>
      </c>
      <c r="V407" s="6">
        <f>IF(ISERROR(VLOOKUP($S$407,'TAR FIN'!$A$1:$O$88,15,0)),0,VLOOKUP($S$407,'TAR FIN'!$A$1:$O$88,15,0))</f>
        <v>0</v>
      </c>
      <c r="W407" s="6">
        <f>IF(ISERROR(VLOOKUP($T$407,'TAR FIN'!$A$1:$O$88,15,0)),0,VLOOKUP($T$407,'TAR FIN'!$A$1:$O$88,15,0))</f>
        <v>374.66</v>
      </c>
      <c r="X407" s="6">
        <f>IF(ISERROR(VLOOKUP($U$407,'TAR FIN'!$A$1:$O$88,15,0)),0,VLOOKUP($U$407,'TAR FIN'!$A$1:$O$88,15,0))</f>
        <v>221.96</v>
      </c>
      <c r="Y407" s="6"/>
      <c r="Z407" s="6">
        <f ca="1">('TUSD BE'!$AM$33+'TUSD BF'!$AM$33+'TUSD CVA'!$AM$33)*(1-CUSTOS!$M$38)</f>
        <v>458.58557094695544</v>
      </c>
      <c r="AA407" s="6">
        <f>('TE BE'!$AB$23+'TE BF'!$AB$23+'TE CVA'!$AB$23)*(1-CUSTOS!$M$38)</f>
        <v>236.80902583286482</v>
      </c>
      <c r="AB407" s="6">
        <f>$K$407*$V$407</f>
        <v>0</v>
      </c>
      <c r="AC407" s="6">
        <f>$M$407*$W$407</f>
        <v>91109.069480000006</v>
      </c>
      <c r="AD407" s="6">
        <f>$O$407*$X$407</f>
        <v>53975.78888</v>
      </c>
      <c r="AE407" s="6">
        <f>$K$407*$Y$407</f>
        <v>0</v>
      </c>
      <c r="AF407" s="6">
        <f ca="1">$M$407*$Z$407</f>
        <v>111517.92197173873</v>
      </c>
      <c r="AG407" s="6">
        <f>$O$407*$AA$407</f>
        <v>57586.745283984397</v>
      </c>
    </row>
    <row r="408" spans="1:33" ht="11.25" customHeight="1" x14ac:dyDescent="0.25">
      <c r="A408" s="4" t="s">
        <v>28</v>
      </c>
      <c r="B408" s="4" t="s">
        <v>40</v>
      </c>
      <c r="C408" s="4" t="s">
        <v>23</v>
      </c>
      <c r="D408" s="4" t="s">
        <v>41</v>
      </c>
      <c r="E408" s="4" t="s">
        <v>49</v>
      </c>
      <c r="F408" s="4" t="s">
        <v>50</v>
      </c>
      <c r="G408" s="4" t="s">
        <v>25</v>
      </c>
      <c r="H408" s="4" t="s">
        <v>25</v>
      </c>
      <c r="I408" s="5">
        <v>44562</v>
      </c>
      <c r="J408" s="6">
        <v>0</v>
      </c>
      <c r="K408" s="6">
        <v>0</v>
      </c>
      <c r="L408" s="6">
        <v>3.8889999999999998</v>
      </c>
      <c r="M408" s="6">
        <v>3.8889999999999998</v>
      </c>
      <c r="N408" s="6">
        <v>3.8889999999999998</v>
      </c>
      <c r="O408" s="6">
        <v>3.8889999999999998</v>
      </c>
      <c r="P408" s="6">
        <v>0</v>
      </c>
      <c r="Q408" s="4" t="s">
        <v>26</v>
      </c>
      <c r="R408" s="4">
        <v>0</v>
      </c>
      <c r="S408" s="6">
        <v>0</v>
      </c>
      <c r="T408" s="6">
        <v>61</v>
      </c>
      <c r="U408" s="6">
        <v>72</v>
      </c>
      <c r="V408" s="6">
        <f>IF(ISERROR(VLOOKUP($S$408,'TAR FIN'!$A$1:$O$88,15,0)),0,VLOOKUP($S$408,'TAR FIN'!$A$1:$O$88,15,0))</f>
        <v>0</v>
      </c>
      <c r="W408" s="6">
        <f>IF(ISERROR(VLOOKUP($T$408,'TAR FIN'!$A$1:$O$88,15,0)),0,VLOOKUP($T$408,'TAR FIN'!$A$1:$O$88,15,0))</f>
        <v>374.66</v>
      </c>
      <c r="X408" s="6">
        <f>IF(ISERROR(VLOOKUP($U$408,'TAR FIN'!$A$1:$O$88,15,0)),0,VLOOKUP($U$408,'TAR FIN'!$A$1:$O$88,15,0))</f>
        <v>221.96</v>
      </c>
      <c r="Y408" s="6"/>
      <c r="Z408" s="6">
        <f ca="1">('TUSD BE'!$AM$33+'TUSD BF'!$AM$33+'TUSD CVA'!$AM$33)*(1-CUSTOS!$M$38)</f>
        <v>458.58557094695544</v>
      </c>
      <c r="AA408" s="6">
        <f>('TE BE'!$AB$23+'TE BF'!$AB$23+'TE CVA'!$AB$23)*(1-CUSTOS!$M$38)</f>
        <v>236.80902583286482</v>
      </c>
      <c r="AB408" s="6">
        <f>$K$408*$V$408</f>
        <v>0</v>
      </c>
      <c r="AC408" s="6">
        <f>$M$408*$W$408</f>
        <v>1457.0527400000001</v>
      </c>
      <c r="AD408" s="6">
        <f>$O$408*$X$408</f>
        <v>863.20244000000002</v>
      </c>
      <c r="AE408" s="6">
        <f>$K$408*$Y$408</f>
        <v>0</v>
      </c>
      <c r="AF408" s="6">
        <f ca="1">$M$408*$Z$408</f>
        <v>1783.4392854127095</v>
      </c>
      <c r="AG408" s="6">
        <f>$O$408*$AA$408</f>
        <v>920.9503014640112</v>
      </c>
    </row>
    <row r="409" spans="1:33" ht="11.25" customHeight="1" x14ac:dyDescent="0.25">
      <c r="A409" s="4" t="s">
        <v>21</v>
      </c>
      <c r="B409" s="4" t="s">
        <v>40</v>
      </c>
      <c r="C409" s="4" t="s">
        <v>23</v>
      </c>
      <c r="D409" s="4" t="s">
        <v>41</v>
      </c>
      <c r="E409" s="4" t="s">
        <v>49</v>
      </c>
      <c r="F409" s="4" t="s">
        <v>50</v>
      </c>
      <c r="G409" s="4" t="s">
        <v>25</v>
      </c>
      <c r="H409" s="4" t="s">
        <v>25</v>
      </c>
      <c r="I409" s="5">
        <v>44593</v>
      </c>
      <c r="J409" s="6">
        <v>0</v>
      </c>
      <c r="K409" s="6">
        <v>0</v>
      </c>
      <c r="L409" s="6">
        <v>220.43299999999999</v>
      </c>
      <c r="M409" s="6">
        <v>220.43299999999999</v>
      </c>
      <c r="N409" s="6">
        <v>220.43299999999999</v>
      </c>
      <c r="O409" s="6">
        <v>220.43299999999999</v>
      </c>
      <c r="P409" s="6">
        <v>0</v>
      </c>
      <c r="Q409" s="4" t="s">
        <v>26</v>
      </c>
      <c r="R409" s="4">
        <v>0</v>
      </c>
      <c r="S409" s="6">
        <v>0</v>
      </c>
      <c r="T409" s="6">
        <v>61</v>
      </c>
      <c r="U409" s="6">
        <v>72</v>
      </c>
      <c r="V409" s="6">
        <f>IF(ISERROR(VLOOKUP($S$409,'TAR FIN'!$A$1:$O$88,15,0)),0,VLOOKUP($S$409,'TAR FIN'!$A$1:$O$88,15,0))</f>
        <v>0</v>
      </c>
      <c r="W409" s="6">
        <f>IF(ISERROR(VLOOKUP($T$409,'TAR FIN'!$A$1:$O$88,15,0)),0,VLOOKUP($T$409,'TAR FIN'!$A$1:$O$88,15,0))</f>
        <v>374.66</v>
      </c>
      <c r="X409" s="6">
        <f>IF(ISERROR(VLOOKUP($U$409,'TAR FIN'!$A$1:$O$88,15,0)),0,VLOOKUP($U$409,'TAR FIN'!$A$1:$O$88,15,0))</f>
        <v>221.96</v>
      </c>
      <c r="Y409" s="6"/>
      <c r="Z409" s="6">
        <f ca="1">('TUSD BE'!$AM$33+'TUSD BF'!$AM$33+'TUSD CVA'!$AM$33)*(1-CUSTOS!$M$38)</f>
        <v>458.58557094695544</v>
      </c>
      <c r="AA409" s="6">
        <f>('TE BE'!$AB$23+'TE BF'!$AB$23+'TE CVA'!$AB$23)*(1-CUSTOS!$M$38)</f>
        <v>236.80902583286482</v>
      </c>
      <c r="AB409" s="6">
        <f>$K$409*$V$409</f>
        <v>0</v>
      </c>
      <c r="AC409" s="6">
        <f>$M$409*$W$409</f>
        <v>82587.427779999998</v>
      </c>
      <c r="AD409" s="6">
        <f>$O$409*$X$409</f>
        <v>48927.308680000002</v>
      </c>
      <c r="AE409" s="6">
        <f>$K$409*$Y$409</f>
        <v>0</v>
      </c>
      <c r="AF409" s="6">
        <f ca="1">$M$409*$Z$409</f>
        <v>101087.39316055023</v>
      </c>
      <c r="AG409" s="6">
        <f>$O$409*$AA$409</f>
        <v>52200.523991415888</v>
      </c>
    </row>
    <row r="410" spans="1:33" ht="11.25" customHeight="1" x14ac:dyDescent="0.25">
      <c r="A410" s="4" t="s">
        <v>28</v>
      </c>
      <c r="B410" s="4" t="s">
        <v>40</v>
      </c>
      <c r="C410" s="4" t="s">
        <v>23</v>
      </c>
      <c r="D410" s="4" t="s">
        <v>41</v>
      </c>
      <c r="E410" s="4" t="s">
        <v>49</v>
      </c>
      <c r="F410" s="4" t="s">
        <v>50</v>
      </c>
      <c r="G410" s="4" t="s">
        <v>25</v>
      </c>
      <c r="H410" s="4" t="s">
        <v>25</v>
      </c>
      <c r="I410" s="5">
        <v>44593</v>
      </c>
      <c r="J410" s="6">
        <v>0</v>
      </c>
      <c r="K410" s="6">
        <v>0</v>
      </c>
      <c r="L410" s="6">
        <v>0.1</v>
      </c>
      <c r="M410" s="6">
        <v>0.1</v>
      </c>
      <c r="N410" s="6">
        <v>0.1</v>
      </c>
      <c r="O410" s="6">
        <v>0.1</v>
      </c>
      <c r="P410" s="6">
        <v>0</v>
      </c>
      <c r="Q410" s="4" t="s">
        <v>26</v>
      </c>
      <c r="R410" s="4">
        <v>0</v>
      </c>
      <c r="S410" s="6">
        <v>0</v>
      </c>
      <c r="T410" s="6">
        <v>61</v>
      </c>
      <c r="U410" s="6">
        <v>72</v>
      </c>
      <c r="V410" s="6">
        <f>IF(ISERROR(VLOOKUP($S$410,'TAR FIN'!$A$1:$O$88,15,0)),0,VLOOKUP($S$410,'TAR FIN'!$A$1:$O$88,15,0))</f>
        <v>0</v>
      </c>
      <c r="W410" s="6">
        <f>IF(ISERROR(VLOOKUP($T$410,'TAR FIN'!$A$1:$O$88,15,0)),0,VLOOKUP($T$410,'TAR FIN'!$A$1:$O$88,15,0))</f>
        <v>374.66</v>
      </c>
      <c r="X410" s="6">
        <f>IF(ISERROR(VLOOKUP($U$410,'TAR FIN'!$A$1:$O$88,15,0)),0,VLOOKUP($U$410,'TAR FIN'!$A$1:$O$88,15,0))</f>
        <v>221.96</v>
      </c>
      <c r="Y410" s="6"/>
      <c r="Z410" s="6">
        <f ca="1">('TUSD BE'!$AM$33+'TUSD BF'!$AM$33+'TUSD CVA'!$AM$33)*(1-CUSTOS!$M$38)</f>
        <v>458.58557094695544</v>
      </c>
      <c r="AA410" s="6">
        <f>('TE BE'!$AB$23+'TE BF'!$AB$23+'TE CVA'!$AB$23)*(1-CUSTOS!$M$38)</f>
        <v>236.80902583286482</v>
      </c>
      <c r="AB410" s="6">
        <f>$K$410*$V$410</f>
        <v>0</v>
      </c>
      <c r="AC410" s="6">
        <f>$M$410*$W$410</f>
        <v>37.466000000000001</v>
      </c>
      <c r="AD410" s="6">
        <f>$O$410*$X$410</f>
        <v>22.196000000000002</v>
      </c>
      <c r="AE410" s="6">
        <f>$K$410*$Y$410</f>
        <v>0</v>
      </c>
      <c r="AF410" s="6">
        <f ca="1">$M$410*$Z$410</f>
        <v>45.858557094695549</v>
      </c>
      <c r="AG410" s="6">
        <f>$O$410*$AA$410</f>
        <v>23.680902583286482</v>
      </c>
    </row>
    <row r="411" spans="1:33" ht="11.25" customHeight="1" x14ac:dyDescent="0.25">
      <c r="A411" s="4" t="s">
        <v>21</v>
      </c>
      <c r="B411" s="4" t="s">
        <v>40</v>
      </c>
      <c r="C411" s="4" t="s">
        <v>23</v>
      </c>
      <c r="D411" s="4" t="s">
        <v>41</v>
      </c>
      <c r="E411" s="4" t="s">
        <v>49</v>
      </c>
      <c r="F411" s="4" t="s">
        <v>50</v>
      </c>
      <c r="G411" s="4" t="s">
        <v>25</v>
      </c>
      <c r="H411" s="4" t="s">
        <v>25</v>
      </c>
      <c r="I411" s="5">
        <v>44621</v>
      </c>
      <c r="J411" s="6">
        <v>0</v>
      </c>
      <c r="K411" s="6">
        <v>0</v>
      </c>
      <c r="L411" s="6">
        <v>139.81899999999999</v>
      </c>
      <c r="M411" s="6">
        <v>139.81899999999999</v>
      </c>
      <c r="N411" s="6">
        <v>139.81899999999999</v>
      </c>
      <c r="O411" s="6">
        <v>139.81899999999999</v>
      </c>
      <c r="P411" s="6">
        <v>0</v>
      </c>
      <c r="Q411" s="4" t="s">
        <v>26</v>
      </c>
      <c r="R411" s="4">
        <v>0</v>
      </c>
      <c r="S411" s="6">
        <v>0</v>
      </c>
      <c r="T411" s="6">
        <v>61</v>
      </c>
      <c r="U411" s="6">
        <v>72</v>
      </c>
      <c r="V411" s="6">
        <f>IF(ISERROR(VLOOKUP($S$411,'TAR FIN'!$A$1:$O$88,15,0)),0,VLOOKUP($S$411,'TAR FIN'!$A$1:$O$88,15,0))</f>
        <v>0</v>
      </c>
      <c r="W411" s="6">
        <f>IF(ISERROR(VLOOKUP($T$411,'TAR FIN'!$A$1:$O$88,15,0)),0,VLOOKUP($T$411,'TAR FIN'!$A$1:$O$88,15,0))</f>
        <v>374.66</v>
      </c>
      <c r="X411" s="6">
        <f>IF(ISERROR(VLOOKUP($U$411,'TAR FIN'!$A$1:$O$88,15,0)),0,VLOOKUP($U$411,'TAR FIN'!$A$1:$O$88,15,0))</f>
        <v>221.96</v>
      </c>
      <c r="Y411" s="6"/>
      <c r="Z411" s="6">
        <f ca="1">('TUSD BE'!$AM$33+'TUSD BF'!$AM$33+'TUSD CVA'!$AM$33)*(1-CUSTOS!$M$38)</f>
        <v>458.58557094695544</v>
      </c>
      <c r="AA411" s="6">
        <f>('TE BE'!$AB$23+'TE BF'!$AB$23+'TE CVA'!$AB$23)*(1-CUSTOS!$M$38)</f>
        <v>236.80902583286482</v>
      </c>
      <c r="AB411" s="6">
        <f>$K$411*$V$411</f>
        <v>0</v>
      </c>
      <c r="AC411" s="6">
        <f>$M$411*$W$411</f>
        <v>52384.586539999997</v>
      </c>
      <c r="AD411" s="6">
        <f>$O$411*$X$411</f>
        <v>31034.22524</v>
      </c>
      <c r="AE411" s="6">
        <f>$K$411*$Y$411</f>
        <v>0</v>
      </c>
      <c r="AF411" s="6">
        <f ca="1">$M$411*$Z$411</f>
        <v>64118.975944232356</v>
      </c>
      <c r="AG411" s="6">
        <f>$O$411*$AA$411</f>
        <v>33110.401182925321</v>
      </c>
    </row>
    <row r="412" spans="1:33" ht="11.25" customHeight="1" x14ac:dyDescent="0.25">
      <c r="A412" s="4" t="s">
        <v>28</v>
      </c>
      <c r="B412" s="4" t="s">
        <v>40</v>
      </c>
      <c r="C412" s="4" t="s">
        <v>23</v>
      </c>
      <c r="D412" s="4" t="s">
        <v>41</v>
      </c>
      <c r="E412" s="4" t="s">
        <v>49</v>
      </c>
      <c r="F412" s="4" t="s">
        <v>50</v>
      </c>
      <c r="G412" s="4" t="s">
        <v>25</v>
      </c>
      <c r="H412" s="4" t="s">
        <v>25</v>
      </c>
      <c r="I412" s="5">
        <v>44621</v>
      </c>
      <c r="J412" s="6">
        <v>0</v>
      </c>
      <c r="K412" s="6">
        <v>0</v>
      </c>
      <c r="L412" s="6">
        <v>10.055</v>
      </c>
      <c r="M412" s="6">
        <v>10.055</v>
      </c>
      <c r="N412" s="6">
        <v>10.055</v>
      </c>
      <c r="O412" s="6">
        <v>10.055</v>
      </c>
      <c r="P412" s="6">
        <v>0</v>
      </c>
      <c r="Q412" s="4" t="s">
        <v>26</v>
      </c>
      <c r="R412" s="4">
        <v>0</v>
      </c>
      <c r="S412" s="6">
        <v>0</v>
      </c>
      <c r="T412" s="6">
        <v>61</v>
      </c>
      <c r="U412" s="6">
        <v>72</v>
      </c>
      <c r="V412" s="6">
        <f>IF(ISERROR(VLOOKUP($S$412,'TAR FIN'!$A$1:$O$88,15,0)),0,VLOOKUP($S$412,'TAR FIN'!$A$1:$O$88,15,0))</f>
        <v>0</v>
      </c>
      <c r="W412" s="6">
        <f>IF(ISERROR(VLOOKUP($T$412,'TAR FIN'!$A$1:$O$88,15,0)),0,VLOOKUP($T$412,'TAR FIN'!$A$1:$O$88,15,0))</f>
        <v>374.66</v>
      </c>
      <c r="X412" s="6">
        <f>IF(ISERROR(VLOOKUP($U$412,'TAR FIN'!$A$1:$O$88,15,0)),0,VLOOKUP($U$412,'TAR FIN'!$A$1:$O$88,15,0))</f>
        <v>221.96</v>
      </c>
      <c r="Y412" s="6"/>
      <c r="Z412" s="6">
        <f ca="1">('TUSD BE'!$AM$33+'TUSD BF'!$AM$33+'TUSD CVA'!$AM$33)*(1-CUSTOS!$M$38)</f>
        <v>458.58557094695544</v>
      </c>
      <c r="AA412" s="6">
        <f>('TE BE'!$AB$23+'TE BF'!$AB$23+'TE CVA'!$AB$23)*(1-CUSTOS!$M$38)</f>
        <v>236.80902583286482</v>
      </c>
      <c r="AB412" s="6">
        <f>$K$412*$V$412</f>
        <v>0</v>
      </c>
      <c r="AC412" s="6">
        <f>$M$412*$W$412</f>
        <v>3767.2063000000003</v>
      </c>
      <c r="AD412" s="6">
        <f>$O$412*$X$412</f>
        <v>2231.8078</v>
      </c>
      <c r="AE412" s="6">
        <f>$K$412*$Y$412</f>
        <v>0</v>
      </c>
      <c r="AF412" s="6">
        <f ca="1">$M$412*$Z$412</f>
        <v>4611.0779158716368</v>
      </c>
      <c r="AG412" s="6">
        <f>$O$412*$AA$412</f>
        <v>2381.1147547494556</v>
      </c>
    </row>
    <row r="413" spans="1:33" ht="11.25" customHeight="1" x14ac:dyDescent="0.25">
      <c r="A413" s="4" t="s">
        <v>21</v>
      </c>
      <c r="B413" s="4" t="s">
        <v>40</v>
      </c>
      <c r="C413" s="4" t="s">
        <v>23</v>
      </c>
      <c r="D413" s="4" t="s">
        <v>41</v>
      </c>
      <c r="E413" s="4" t="s">
        <v>49</v>
      </c>
      <c r="F413" s="4" t="s">
        <v>50</v>
      </c>
      <c r="G413" s="4" t="s">
        <v>25</v>
      </c>
      <c r="H413" s="4" t="s">
        <v>25</v>
      </c>
      <c r="I413" s="5">
        <v>44652</v>
      </c>
      <c r="J413" s="6">
        <v>0</v>
      </c>
      <c r="K413" s="6">
        <v>0</v>
      </c>
      <c r="L413" s="6">
        <v>27.771999999999998</v>
      </c>
      <c r="M413" s="6">
        <v>27.771999999999998</v>
      </c>
      <c r="N413" s="6">
        <v>27.771999999999998</v>
      </c>
      <c r="O413" s="6">
        <v>27.771999999999998</v>
      </c>
      <c r="P413" s="6">
        <v>0</v>
      </c>
      <c r="Q413" s="4" t="s">
        <v>26</v>
      </c>
      <c r="R413" s="4">
        <v>0</v>
      </c>
      <c r="S413" s="6">
        <v>0</v>
      </c>
      <c r="T413" s="6">
        <v>61</v>
      </c>
      <c r="U413" s="6">
        <v>72</v>
      </c>
      <c r="V413" s="6">
        <f>IF(ISERROR(VLOOKUP($S$413,'TAR FIN'!$A$1:$O$88,15,0)),0,VLOOKUP($S$413,'TAR FIN'!$A$1:$O$88,15,0))</f>
        <v>0</v>
      </c>
      <c r="W413" s="6">
        <f>IF(ISERROR(VLOOKUP($T$413,'TAR FIN'!$A$1:$O$88,15,0)),0,VLOOKUP($T$413,'TAR FIN'!$A$1:$O$88,15,0))</f>
        <v>374.66</v>
      </c>
      <c r="X413" s="6">
        <f>IF(ISERROR(VLOOKUP($U$413,'TAR FIN'!$A$1:$O$88,15,0)),0,VLOOKUP($U$413,'TAR FIN'!$A$1:$O$88,15,0))</f>
        <v>221.96</v>
      </c>
      <c r="Y413" s="6"/>
      <c r="Z413" s="6">
        <f ca="1">('TUSD BE'!$AM$33+'TUSD BF'!$AM$33+'TUSD CVA'!$AM$33)*(1-CUSTOS!$M$38)</f>
        <v>458.58557094695544</v>
      </c>
      <c r="AA413" s="6">
        <f>('TE BE'!$AB$23+'TE BF'!$AB$23+'TE CVA'!$AB$23)*(1-CUSTOS!$M$38)</f>
        <v>236.80902583286482</v>
      </c>
      <c r="AB413" s="6">
        <f>$K$413*$V$413</f>
        <v>0</v>
      </c>
      <c r="AC413" s="6">
        <f>$M$413*$W$413</f>
        <v>10405.05752</v>
      </c>
      <c r="AD413" s="6">
        <f>$O$413*$X$413</f>
        <v>6164.2731199999998</v>
      </c>
      <c r="AE413" s="6">
        <f>$K$413*$Y$413</f>
        <v>0</v>
      </c>
      <c r="AF413" s="6">
        <f ca="1">$M$413*$Z$413</f>
        <v>12735.838476338846</v>
      </c>
      <c r="AG413" s="6">
        <f>$O$413*$AA$413</f>
        <v>6576.6602654303215</v>
      </c>
    </row>
    <row r="414" spans="1:33" ht="11.25" customHeight="1" x14ac:dyDescent="0.25">
      <c r="A414" s="4" t="s">
        <v>28</v>
      </c>
      <c r="B414" s="4" t="s">
        <v>40</v>
      </c>
      <c r="C414" s="4" t="s">
        <v>23</v>
      </c>
      <c r="D414" s="4" t="s">
        <v>41</v>
      </c>
      <c r="E414" s="4" t="s">
        <v>49</v>
      </c>
      <c r="F414" s="4" t="s">
        <v>50</v>
      </c>
      <c r="G414" s="4" t="s">
        <v>25</v>
      </c>
      <c r="H414" s="4" t="s">
        <v>25</v>
      </c>
      <c r="I414" s="5">
        <v>44652</v>
      </c>
      <c r="J414" s="6">
        <v>0</v>
      </c>
      <c r="K414" s="6">
        <v>0</v>
      </c>
      <c r="L414" s="6">
        <v>0.2</v>
      </c>
      <c r="M414" s="6">
        <v>0.2</v>
      </c>
      <c r="N414" s="6">
        <v>0.2</v>
      </c>
      <c r="O414" s="6">
        <v>0.2</v>
      </c>
      <c r="P414" s="6">
        <v>0</v>
      </c>
      <c r="Q414" s="4" t="s">
        <v>26</v>
      </c>
      <c r="R414" s="4">
        <v>0</v>
      </c>
      <c r="S414" s="6">
        <v>0</v>
      </c>
      <c r="T414" s="6">
        <v>61</v>
      </c>
      <c r="U414" s="6">
        <v>72</v>
      </c>
      <c r="V414" s="6">
        <f>IF(ISERROR(VLOOKUP($S$414,'TAR FIN'!$A$1:$O$88,15,0)),0,VLOOKUP($S$414,'TAR FIN'!$A$1:$O$88,15,0))</f>
        <v>0</v>
      </c>
      <c r="W414" s="6">
        <f>IF(ISERROR(VLOOKUP($T$414,'TAR FIN'!$A$1:$O$88,15,0)),0,VLOOKUP($T$414,'TAR FIN'!$A$1:$O$88,15,0))</f>
        <v>374.66</v>
      </c>
      <c r="X414" s="6">
        <f>IF(ISERROR(VLOOKUP($U$414,'TAR FIN'!$A$1:$O$88,15,0)),0,VLOOKUP($U$414,'TAR FIN'!$A$1:$O$88,15,0))</f>
        <v>221.96</v>
      </c>
      <c r="Y414" s="6"/>
      <c r="Z414" s="6">
        <f ca="1">('TUSD BE'!$AM$33+'TUSD BF'!$AM$33+'TUSD CVA'!$AM$33)*(1-CUSTOS!$M$38)</f>
        <v>458.58557094695544</v>
      </c>
      <c r="AA414" s="6">
        <f>('TE BE'!$AB$23+'TE BF'!$AB$23+'TE CVA'!$AB$23)*(1-CUSTOS!$M$38)</f>
        <v>236.80902583286482</v>
      </c>
      <c r="AB414" s="6">
        <f>$K$414*$V$414</f>
        <v>0</v>
      </c>
      <c r="AC414" s="6">
        <f>$M$414*$W$414</f>
        <v>74.932000000000002</v>
      </c>
      <c r="AD414" s="6">
        <f>$O$414*$X$414</f>
        <v>44.392000000000003</v>
      </c>
      <c r="AE414" s="6">
        <f>$K$414*$Y$414</f>
        <v>0</v>
      </c>
      <c r="AF414" s="6">
        <f ca="1">$M$414*$Z$414</f>
        <v>91.717114189391097</v>
      </c>
      <c r="AG414" s="6">
        <f>$O$414*$AA$414</f>
        <v>47.361805166572964</v>
      </c>
    </row>
    <row r="415" spans="1:33" ht="11.25" customHeight="1" x14ac:dyDescent="0.25">
      <c r="A415" s="4" t="s">
        <v>21</v>
      </c>
      <c r="B415" s="4" t="s">
        <v>40</v>
      </c>
      <c r="C415" s="4" t="s">
        <v>23</v>
      </c>
      <c r="D415" s="4" t="s">
        <v>41</v>
      </c>
      <c r="E415" s="4" t="s">
        <v>49</v>
      </c>
      <c r="F415" s="4" t="s">
        <v>50</v>
      </c>
      <c r="G415" s="4" t="s">
        <v>25</v>
      </c>
      <c r="H415" s="4" t="s">
        <v>25</v>
      </c>
      <c r="I415" s="5">
        <v>44682</v>
      </c>
      <c r="J415" s="6">
        <v>0</v>
      </c>
      <c r="K415" s="6">
        <v>0</v>
      </c>
      <c r="L415" s="6">
        <v>5.6420000000000003</v>
      </c>
      <c r="M415" s="6">
        <v>5.6420000000000003</v>
      </c>
      <c r="N415" s="6">
        <v>5.6420000000000003</v>
      </c>
      <c r="O415" s="6">
        <v>5.6420000000000003</v>
      </c>
      <c r="P415" s="6">
        <v>0</v>
      </c>
      <c r="Q415" s="4" t="s">
        <v>26</v>
      </c>
      <c r="R415" s="4">
        <v>0</v>
      </c>
      <c r="S415" s="6">
        <v>0</v>
      </c>
      <c r="T415" s="6">
        <v>61</v>
      </c>
      <c r="U415" s="6">
        <v>72</v>
      </c>
      <c r="V415" s="6">
        <f>IF(ISERROR(VLOOKUP($S$415,'TAR FIN'!$A$1:$O$88,15,0)),0,VLOOKUP($S$415,'TAR FIN'!$A$1:$O$88,15,0))</f>
        <v>0</v>
      </c>
      <c r="W415" s="6">
        <f>IF(ISERROR(VLOOKUP($T$415,'TAR FIN'!$A$1:$O$88,15,0)),0,VLOOKUP($T$415,'TAR FIN'!$A$1:$O$88,15,0))</f>
        <v>374.66</v>
      </c>
      <c r="X415" s="6">
        <f>IF(ISERROR(VLOOKUP($U$415,'TAR FIN'!$A$1:$O$88,15,0)),0,VLOOKUP($U$415,'TAR FIN'!$A$1:$O$88,15,0))</f>
        <v>221.96</v>
      </c>
      <c r="Y415" s="6"/>
      <c r="Z415" s="6">
        <f ca="1">('TUSD BE'!$AM$33+'TUSD BF'!$AM$33+'TUSD CVA'!$AM$33)*(1-CUSTOS!$M$38)</f>
        <v>458.58557094695544</v>
      </c>
      <c r="AA415" s="6">
        <f>('TE BE'!$AB$23+'TE BF'!$AB$23+'TE CVA'!$AB$23)*(1-CUSTOS!$M$38)</f>
        <v>236.80902583286482</v>
      </c>
      <c r="AB415" s="6">
        <f>$K$415*$V$415</f>
        <v>0</v>
      </c>
      <c r="AC415" s="6">
        <f>$M$415*$W$415</f>
        <v>2113.8317200000001</v>
      </c>
      <c r="AD415" s="6">
        <f>$O$415*$X$415</f>
        <v>1252.2983200000001</v>
      </c>
      <c r="AE415" s="6">
        <f>$K$415*$Y$415</f>
        <v>0</v>
      </c>
      <c r="AF415" s="6">
        <f ca="1">$M$415*$Z$415</f>
        <v>2587.3397912827227</v>
      </c>
      <c r="AG415" s="6">
        <f>$O$415*$AA$415</f>
        <v>1336.0765237490234</v>
      </c>
    </row>
    <row r="416" spans="1:33" ht="11.25" customHeight="1" x14ac:dyDescent="0.25">
      <c r="A416" s="4" t="s">
        <v>27</v>
      </c>
      <c r="B416" s="4" t="s">
        <v>40</v>
      </c>
      <c r="C416" s="4" t="s">
        <v>23</v>
      </c>
      <c r="D416" s="4" t="s">
        <v>41</v>
      </c>
      <c r="E416" s="4" t="s">
        <v>49</v>
      </c>
      <c r="F416" s="4" t="s">
        <v>50</v>
      </c>
      <c r="G416" s="4" t="s">
        <v>25</v>
      </c>
      <c r="H416" s="4" t="s">
        <v>25</v>
      </c>
      <c r="I416" s="5">
        <v>44682</v>
      </c>
      <c r="J416" s="6">
        <v>0</v>
      </c>
      <c r="K416" s="6">
        <v>0</v>
      </c>
      <c r="L416" s="6">
        <v>3.2040000000000002</v>
      </c>
      <c r="M416" s="6">
        <v>3.2040000000000002</v>
      </c>
      <c r="N416" s="6">
        <v>3.2040000000000002</v>
      </c>
      <c r="O416" s="6">
        <v>3.2040000000000002</v>
      </c>
      <c r="P416" s="6">
        <v>0</v>
      </c>
      <c r="Q416" s="4" t="s">
        <v>26</v>
      </c>
      <c r="R416" s="4">
        <v>0</v>
      </c>
      <c r="S416" s="6">
        <v>0</v>
      </c>
      <c r="T416" s="6">
        <v>61</v>
      </c>
      <c r="U416" s="6">
        <v>72</v>
      </c>
      <c r="V416" s="6">
        <f>IF(ISERROR(VLOOKUP($S$416,'TAR FIN'!$A$1:$O$88,15,0)),0,VLOOKUP($S$416,'TAR FIN'!$A$1:$O$88,15,0))</f>
        <v>0</v>
      </c>
      <c r="W416" s="6">
        <f>IF(ISERROR(VLOOKUP($T$416,'TAR FIN'!$A$1:$O$88,15,0)),0,VLOOKUP($T$416,'TAR FIN'!$A$1:$O$88,15,0))</f>
        <v>374.66</v>
      </c>
      <c r="X416" s="6">
        <f>IF(ISERROR(VLOOKUP($U$416,'TAR FIN'!$A$1:$O$88,15,0)),0,VLOOKUP($U$416,'TAR FIN'!$A$1:$O$88,15,0))</f>
        <v>221.96</v>
      </c>
      <c r="Y416" s="6"/>
      <c r="Z416" s="6">
        <f ca="1">('TUSD BE'!$AM$33+'TUSD BF'!$AM$33+'TUSD CVA'!$AM$33)*(1-CUSTOS!$M$38)</f>
        <v>458.58557094695544</v>
      </c>
      <c r="AA416" s="6">
        <f>('TE BE'!$AB$23+'TE BF'!$AB$23+'TE CVA'!$AB$23)*(1-CUSTOS!$M$38)</f>
        <v>236.80902583286482</v>
      </c>
      <c r="AB416" s="6">
        <f>$K$416*$V$416</f>
        <v>0</v>
      </c>
      <c r="AC416" s="6">
        <f>$M$416*$W$416</f>
        <v>1200.4106400000001</v>
      </c>
      <c r="AD416" s="6">
        <f>$O$416*$X$416</f>
        <v>711.15984000000003</v>
      </c>
      <c r="AE416" s="6">
        <f>$K$416*$Y$416</f>
        <v>0</v>
      </c>
      <c r="AF416" s="6">
        <f ca="1">$M$416*$Z$416</f>
        <v>1469.3081693140452</v>
      </c>
      <c r="AG416" s="6">
        <f>$O$416*$AA$416</f>
        <v>758.73611876849895</v>
      </c>
    </row>
    <row r="417" spans="1:33" ht="11.25" customHeight="1" x14ac:dyDescent="0.25">
      <c r="A417" s="4" t="s">
        <v>28</v>
      </c>
      <c r="B417" s="4" t="s">
        <v>40</v>
      </c>
      <c r="C417" s="4" t="s">
        <v>23</v>
      </c>
      <c r="D417" s="4" t="s">
        <v>41</v>
      </c>
      <c r="E417" s="4" t="s">
        <v>49</v>
      </c>
      <c r="F417" s="4" t="s">
        <v>50</v>
      </c>
      <c r="G417" s="4" t="s">
        <v>25</v>
      </c>
      <c r="H417" s="4" t="s">
        <v>25</v>
      </c>
      <c r="I417" s="5">
        <v>44682</v>
      </c>
      <c r="J417" s="6">
        <v>0</v>
      </c>
      <c r="K417" s="6">
        <v>0</v>
      </c>
      <c r="L417" s="6">
        <v>0.16</v>
      </c>
      <c r="M417" s="6">
        <v>0.16</v>
      </c>
      <c r="N417" s="6">
        <v>0.16</v>
      </c>
      <c r="O417" s="6">
        <v>0.16</v>
      </c>
      <c r="P417" s="6">
        <v>0</v>
      </c>
      <c r="Q417" s="4" t="s">
        <v>26</v>
      </c>
      <c r="R417" s="4">
        <v>0</v>
      </c>
      <c r="S417" s="6">
        <v>0</v>
      </c>
      <c r="T417" s="6">
        <v>61</v>
      </c>
      <c r="U417" s="6">
        <v>72</v>
      </c>
      <c r="V417" s="6">
        <f>IF(ISERROR(VLOOKUP($S$417,'TAR FIN'!$A$1:$O$88,15,0)),0,VLOOKUP($S$417,'TAR FIN'!$A$1:$O$88,15,0))</f>
        <v>0</v>
      </c>
      <c r="W417" s="6">
        <f>IF(ISERROR(VLOOKUP($T$417,'TAR FIN'!$A$1:$O$88,15,0)),0,VLOOKUP($T$417,'TAR FIN'!$A$1:$O$88,15,0))</f>
        <v>374.66</v>
      </c>
      <c r="X417" s="6">
        <f>IF(ISERROR(VLOOKUP($U$417,'TAR FIN'!$A$1:$O$88,15,0)),0,VLOOKUP($U$417,'TAR FIN'!$A$1:$O$88,15,0))</f>
        <v>221.96</v>
      </c>
      <c r="Y417" s="6"/>
      <c r="Z417" s="6">
        <f ca="1">('TUSD BE'!$AM$33+'TUSD BF'!$AM$33+'TUSD CVA'!$AM$33)*(1-CUSTOS!$M$38)</f>
        <v>458.58557094695544</v>
      </c>
      <c r="AA417" s="6">
        <f>('TE BE'!$AB$23+'TE BF'!$AB$23+'TE CVA'!$AB$23)*(1-CUSTOS!$M$38)</f>
        <v>236.80902583286482</v>
      </c>
      <c r="AB417" s="6">
        <f>$K$417*$V$417</f>
        <v>0</v>
      </c>
      <c r="AC417" s="6">
        <f>$M$417*$W$417</f>
        <v>59.945600000000006</v>
      </c>
      <c r="AD417" s="6">
        <f>$O$417*$X$417</f>
        <v>35.513600000000004</v>
      </c>
      <c r="AE417" s="6">
        <f>$K$417*$Y$417</f>
        <v>0</v>
      </c>
      <c r="AF417" s="6">
        <f ca="1">$M$417*$Z$417</f>
        <v>73.373691351512875</v>
      </c>
      <c r="AG417" s="6">
        <f>$O$417*$AA$417</f>
        <v>37.889444133258372</v>
      </c>
    </row>
    <row r="418" spans="1:33" ht="11.25" customHeight="1" x14ac:dyDescent="0.25">
      <c r="A418" s="4" t="s">
        <v>21</v>
      </c>
      <c r="B418" s="4" t="s">
        <v>40</v>
      </c>
      <c r="C418" s="4" t="s">
        <v>23</v>
      </c>
      <c r="D418" s="4" t="s">
        <v>41</v>
      </c>
      <c r="E418" s="4" t="s">
        <v>49</v>
      </c>
      <c r="F418" s="4" t="s">
        <v>50</v>
      </c>
      <c r="G418" s="4" t="s">
        <v>25</v>
      </c>
      <c r="H418" s="4" t="s">
        <v>25</v>
      </c>
      <c r="I418" s="5">
        <v>44713</v>
      </c>
      <c r="J418" s="6">
        <v>0</v>
      </c>
      <c r="K418" s="6">
        <v>0</v>
      </c>
      <c r="L418" s="6">
        <v>3.7</v>
      </c>
      <c r="M418" s="6">
        <v>3.7</v>
      </c>
      <c r="N418" s="6">
        <v>3.7</v>
      </c>
      <c r="O418" s="6">
        <v>3.7</v>
      </c>
      <c r="P418" s="6">
        <v>0</v>
      </c>
      <c r="Q418" s="4" t="s">
        <v>26</v>
      </c>
      <c r="R418" s="4">
        <v>0</v>
      </c>
      <c r="S418" s="6">
        <v>0</v>
      </c>
      <c r="T418" s="6">
        <v>61</v>
      </c>
      <c r="U418" s="6">
        <v>72</v>
      </c>
      <c r="V418" s="6">
        <f>IF(ISERROR(VLOOKUP($S$418,'TAR FIN'!$A$1:$O$88,15,0)),0,VLOOKUP($S$418,'TAR FIN'!$A$1:$O$88,15,0))</f>
        <v>0</v>
      </c>
      <c r="W418" s="6">
        <f>IF(ISERROR(VLOOKUP($T$418,'TAR FIN'!$A$1:$O$88,15,0)),0,VLOOKUP($T$418,'TAR FIN'!$A$1:$O$88,15,0))</f>
        <v>374.66</v>
      </c>
      <c r="X418" s="6">
        <f>IF(ISERROR(VLOOKUP($U$418,'TAR FIN'!$A$1:$O$88,15,0)),0,VLOOKUP($U$418,'TAR FIN'!$A$1:$O$88,15,0))</f>
        <v>221.96</v>
      </c>
      <c r="Y418" s="6"/>
      <c r="Z418" s="6">
        <f ca="1">('TUSD BE'!$AM$33+'TUSD BF'!$AM$33+'TUSD CVA'!$AM$33)*(1-CUSTOS!$M$38)</f>
        <v>458.58557094695544</v>
      </c>
      <c r="AA418" s="6">
        <f>('TE BE'!$AB$23+'TE BF'!$AB$23+'TE CVA'!$AB$23)*(1-CUSTOS!$M$38)</f>
        <v>236.80902583286482</v>
      </c>
      <c r="AB418" s="6">
        <f>$K$418*$V$418</f>
        <v>0</v>
      </c>
      <c r="AC418" s="6">
        <f>$M$418*$W$418</f>
        <v>1386.2420000000002</v>
      </c>
      <c r="AD418" s="6">
        <f>$O$418*$X$418</f>
        <v>821.25200000000007</v>
      </c>
      <c r="AE418" s="6">
        <f>$K$418*$Y$418</f>
        <v>0</v>
      </c>
      <c r="AF418" s="6">
        <f ca="1">$M$418*$Z$418</f>
        <v>1696.7666125037351</v>
      </c>
      <c r="AG418" s="6">
        <f>$O$418*$AA$418</f>
        <v>876.19339558159982</v>
      </c>
    </row>
    <row r="419" spans="1:33" ht="11.25" customHeight="1" x14ac:dyDescent="0.25">
      <c r="A419" s="4" t="s">
        <v>28</v>
      </c>
      <c r="B419" s="4" t="s">
        <v>40</v>
      </c>
      <c r="C419" s="4" t="s">
        <v>23</v>
      </c>
      <c r="D419" s="4" t="s">
        <v>41</v>
      </c>
      <c r="E419" s="4" t="s">
        <v>49</v>
      </c>
      <c r="F419" s="4" t="s">
        <v>50</v>
      </c>
      <c r="G419" s="4" t="s">
        <v>25</v>
      </c>
      <c r="H419" s="4" t="s">
        <v>25</v>
      </c>
      <c r="I419" s="5">
        <v>44713</v>
      </c>
      <c r="J419" s="6">
        <v>0</v>
      </c>
      <c r="K419" s="6">
        <v>0</v>
      </c>
      <c r="L419" s="6">
        <v>0.16</v>
      </c>
      <c r="M419" s="6">
        <v>0.16</v>
      </c>
      <c r="N419" s="6">
        <v>0.16</v>
      </c>
      <c r="O419" s="6">
        <v>0.16</v>
      </c>
      <c r="P419" s="6">
        <v>0</v>
      </c>
      <c r="Q419" s="4" t="s">
        <v>26</v>
      </c>
      <c r="R419" s="4">
        <v>0</v>
      </c>
      <c r="S419" s="6">
        <v>0</v>
      </c>
      <c r="T419" s="6">
        <v>61</v>
      </c>
      <c r="U419" s="6">
        <v>72</v>
      </c>
      <c r="V419" s="6">
        <f>IF(ISERROR(VLOOKUP($S$419,'TAR FIN'!$A$1:$O$88,15,0)),0,VLOOKUP($S$419,'TAR FIN'!$A$1:$O$88,15,0))</f>
        <v>0</v>
      </c>
      <c r="W419" s="6">
        <f>IF(ISERROR(VLOOKUP($T$419,'TAR FIN'!$A$1:$O$88,15,0)),0,VLOOKUP($T$419,'TAR FIN'!$A$1:$O$88,15,0))</f>
        <v>374.66</v>
      </c>
      <c r="X419" s="6">
        <f>IF(ISERROR(VLOOKUP($U$419,'TAR FIN'!$A$1:$O$88,15,0)),0,VLOOKUP($U$419,'TAR FIN'!$A$1:$O$88,15,0))</f>
        <v>221.96</v>
      </c>
      <c r="Y419" s="6"/>
      <c r="Z419" s="6">
        <f ca="1">('TUSD BE'!$AM$33+'TUSD BF'!$AM$33+'TUSD CVA'!$AM$33)*(1-CUSTOS!$M$38)</f>
        <v>458.58557094695544</v>
      </c>
      <c r="AA419" s="6">
        <f>('TE BE'!$AB$23+'TE BF'!$AB$23+'TE CVA'!$AB$23)*(1-CUSTOS!$M$38)</f>
        <v>236.80902583286482</v>
      </c>
      <c r="AB419" s="6">
        <f>$K$419*$V$419</f>
        <v>0</v>
      </c>
      <c r="AC419" s="6">
        <f>$M$419*$W$419</f>
        <v>59.945600000000006</v>
      </c>
      <c r="AD419" s="6">
        <f>$O$419*$X$419</f>
        <v>35.513600000000004</v>
      </c>
      <c r="AE419" s="6">
        <f>$K$419*$Y$419</f>
        <v>0</v>
      </c>
      <c r="AF419" s="6">
        <f ca="1">$M$419*$Z$419</f>
        <v>73.373691351512875</v>
      </c>
      <c r="AG419" s="6">
        <f>$O$419*$AA$419</f>
        <v>37.889444133258372</v>
      </c>
    </row>
    <row r="420" spans="1:33" ht="11.25" customHeight="1" x14ac:dyDescent="0.25">
      <c r="A420" s="4" t="s">
        <v>21</v>
      </c>
      <c r="B420" s="4" t="s">
        <v>40</v>
      </c>
      <c r="C420" s="4" t="s">
        <v>23</v>
      </c>
      <c r="D420" s="4" t="s">
        <v>41</v>
      </c>
      <c r="E420" s="4" t="s">
        <v>49</v>
      </c>
      <c r="F420" s="4" t="s">
        <v>51</v>
      </c>
      <c r="G420" s="4" t="s">
        <v>25</v>
      </c>
      <c r="H420" s="4" t="s">
        <v>25</v>
      </c>
      <c r="I420" s="5">
        <v>44378</v>
      </c>
      <c r="J420" s="6">
        <v>0</v>
      </c>
      <c r="K420" s="6">
        <v>0</v>
      </c>
      <c r="L420" s="6">
        <v>0.55600000000000005</v>
      </c>
      <c r="M420" s="6">
        <v>0.22239999999999999</v>
      </c>
      <c r="N420" s="6">
        <v>0.55600000000000005</v>
      </c>
      <c r="O420" s="6">
        <v>0.22239999999999999</v>
      </c>
      <c r="P420" s="6">
        <v>0</v>
      </c>
      <c r="Q420" s="4" t="s">
        <v>26</v>
      </c>
      <c r="R420" s="4">
        <v>0</v>
      </c>
      <c r="S420" s="6">
        <v>0</v>
      </c>
      <c r="T420" s="6">
        <v>33</v>
      </c>
      <c r="U420" s="6">
        <v>72</v>
      </c>
      <c r="V420" s="6">
        <f>IF(ISERROR(VLOOKUP($S$420,'TAR FIN'!$A$1:$O$88,15,0)),0,VLOOKUP($S$420,'TAR FIN'!$A$1:$O$88,15,0))</f>
        <v>0</v>
      </c>
      <c r="W420" s="6">
        <f>IF(ISERROR(VLOOKUP($T$420,'TAR FIN'!$A$1:$O$88,15,0)),0,VLOOKUP($T$420,'TAR FIN'!$A$1:$O$88,15,0))</f>
        <v>374.66</v>
      </c>
      <c r="X420" s="6">
        <f>IF(ISERROR(VLOOKUP($U$420,'TAR FIN'!$A$1:$O$88,15,0)),0,VLOOKUP($U$420,'TAR FIN'!$A$1:$O$88,15,0))</f>
        <v>221.96</v>
      </c>
      <c r="Y420" s="6"/>
      <c r="Z420" s="6">
        <f ca="1">('TUSD BE'!$AM$33+'TUSD BF'!$AM$33+'TUSD CVA'!$AM$33)*(1-CUSTOS!$M$38)</f>
        <v>458.58557094695544</v>
      </c>
      <c r="AA420" s="6">
        <f>('TE BE'!$AB$23+'TE BF'!$AB$23+'TE CVA'!$AB$23)*(1-CUSTOS!$M$38)</f>
        <v>236.80902583286482</v>
      </c>
      <c r="AB420" s="6">
        <f>$K$420*$V$420</f>
        <v>0</v>
      </c>
      <c r="AC420" s="6">
        <f>$M$420*$W$420</f>
        <v>83.324383999999995</v>
      </c>
      <c r="AD420" s="6">
        <f>$O$420*$X$420</f>
        <v>49.363903999999998</v>
      </c>
      <c r="AE420" s="6">
        <f>$K$420*$Y$420</f>
        <v>0</v>
      </c>
      <c r="AF420" s="6">
        <f ca="1">$M$420*$Z$420</f>
        <v>101.98943097860288</v>
      </c>
      <c r="AG420" s="6">
        <f>$O$420*$AA$420</f>
        <v>52.666327345229135</v>
      </c>
    </row>
    <row r="421" spans="1:33" ht="11.25" customHeight="1" x14ac:dyDescent="0.25">
      <c r="A421" s="4" t="s">
        <v>28</v>
      </c>
      <c r="B421" s="4" t="s">
        <v>40</v>
      </c>
      <c r="C421" s="4" t="s">
        <v>23</v>
      </c>
      <c r="D421" s="4" t="s">
        <v>41</v>
      </c>
      <c r="E421" s="4" t="s">
        <v>49</v>
      </c>
      <c r="F421" s="4" t="s">
        <v>51</v>
      </c>
      <c r="G421" s="4" t="s">
        <v>25</v>
      </c>
      <c r="H421" s="4" t="s">
        <v>25</v>
      </c>
      <c r="I421" s="5">
        <v>44378</v>
      </c>
      <c r="J421" s="6">
        <v>0</v>
      </c>
      <c r="K421" s="6">
        <v>0</v>
      </c>
      <c r="L421" s="6">
        <v>0.247</v>
      </c>
      <c r="M421" s="6">
        <v>0.247</v>
      </c>
      <c r="N421" s="6">
        <v>0.247</v>
      </c>
      <c r="O421" s="6">
        <v>0.247</v>
      </c>
      <c r="P421" s="6">
        <v>0</v>
      </c>
      <c r="Q421" s="4" t="s">
        <v>26</v>
      </c>
      <c r="R421" s="4">
        <v>0</v>
      </c>
      <c r="S421" s="6">
        <v>0</v>
      </c>
      <c r="T421" s="6">
        <v>33</v>
      </c>
      <c r="U421" s="6">
        <v>72</v>
      </c>
      <c r="V421" s="6">
        <f>IF(ISERROR(VLOOKUP($S$421,'TAR FIN'!$A$1:$O$88,15,0)),0,VLOOKUP($S$421,'TAR FIN'!$A$1:$O$88,15,0))</f>
        <v>0</v>
      </c>
      <c r="W421" s="6">
        <f>IF(ISERROR(VLOOKUP($T$421,'TAR FIN'!$A$1:$O$88,15,0)),0,VLOOKUP($T$421,'TAR FIN'!$A$1:$O$88,15,0))</f>
        <v>374.66</v>
      </c>
      <c r="X421" s="6">
        <f>IF(ISERROR(VLOOKUP($U$421,'TAR FIN'!$A$1:$O$88,15,0)),0,VLOOKUP($U$421,'TAR FIN'!$A$1:$O$88,15,0))</f>
        <v>221.96</v>
      </c>
      <c r="Y421" s="6"/>
      <c r="Z421" s="6">
        <f ca="1">('TUSD BE'!$AM$33+'TUSD BF'!$AM$33+'TUSD CVA'!$AM$33)*(1-CUSTOS!$M$38)</f>
        <v>458.58557094695544</v>
      </c>
      <c r="AA421" s="6">
        <f>('TE BE'!$AB$23+'TE BF'!$AB$23+'TE CVA'!$AB$23)*(1-CUSTOS!$M$38)</f>
        <v>236.80902583286482</v>
      </c>
      <c r="AB421" s="6">
        <f>$K$421*$V$421</f>
        <v>0</v>
      </c>
      <c r="AC421" s="6">
        <f>$M$421*$W$421</f>
        <v>92.541020000000003</v>
      </c>
      <c r="AD421" s="6">
        <f>$O$421*$X$421</f>
        <v>54.824120000000001</v>
      </c>
      <c r="AE421" s="6">
        <f>$K$421*$Y$421</f>
        <v>0</v>
      </c>
      <c r="AF421" s="6">
        <f ca="1">$M$421*$Z$421</f>
        <v>113.27063602389799</v>
      </c>
      <c r="AG421" s="6">
        <f>$O$421*$AA$421</f>
        <v>58.491829380717611</v>
      </c>
    </row>
    <row r="422" spans="1:33" ht="11.25" customHeight="1" x14ac:dyDescent="0.25">
      <c r="A422" s="4" t="s">
        <v>21</v>
      </c>
      <c r="B422" s="4" t="s">
        <v>40</v>
      </c>
      <c r="C422" s="4" t="s">
        <v>23</v>
      </c>
      <c r="D422" s="4" t="s">
        <v>41</v>
      </c>
      <c r="E422" s="4" t="s">
        <v>49</v>
      </c>
      <c r="F422" s="4" t="s">
        <v>51</v>
      </c>
      <c r="G422" s="4" t="s">
        <v>25</v>
      </c>
      <c r="H422" s="4" t="s">
        <v>25</v>
      </c>
      <c r="I422" s="5">
        <v>44409</v>
      </c>
      <c r="J422" s="6">
        <v>0</v>
      </c>
      <c r="K422" s="6">
        <v>0</v>
      </c>
      <c r="L422" s="6">
        <v>1.163</v>
      </c>
      <c r="M422" s="6">
        <v>0.4652</v>
      </c>
      <c r="N422" s="6">
        <v>1.163</v>
      </c>
      <c r="O422" s="6">
        <v>0.4652</v>
      </c>
      <c r="P422" s="6">
        <v>0</v>
      </c>
      <c r="Q422" s="4" t="s">
        <v>26</v>
      </c>
      <c r="R422" s="4">
        <v>0</v>
      </c>
      <c r="S422" s="6">
        <v>0</v>
      </c>
      <c r="T422" s="6">
        <v>33</v>
      </c>
      <c r="U422" s="6">
        <v>72</v>
      </c>
      <c r="V422" s="6">
        <f>IF(ISERROR(VLOOKUP($S$422,'TAR FIN'!$A$1:$O$88,15,0)),0,VLOOKUP($S$422,'TAR FIN'!$A$1:$O$88,15,0))</f>
        <v>0</v>
      </c>
      <c r="W422" s="6">
        <f>IF(ISERROR(VLOOKUP($T$422,'TAR FIN'!$A$1:$O$88,15,0)),0,VLOOKUP($T$422,'TAR FIN'!$A$1:$O$88,15,0))</f>
        <v>374.66</v>
      </c>
      <c r="X422" s="6">
        <f>IF(ISERROR(VLOOKUP($U$422,'TAR FIN'!$A$1:$O$88,15,0)),0,VLOOKUP($U$422,'TAR FIN'!$A$1:$O$88,15,0))</f>
        <v>221.96</v>
      </c>
      <c r="Y422" s="6"/>
      <c r="Z422" s="6">
        <f ca="1">('TUSD BE'!$AM$33+'TUSD BF'!$AM$33+'TUSD CVA'!$AM$33)*(1-CUSTOS!$M$38)</f>
        <v>458.58557094695544</v>
      </c>
      <c r="AA422" s="6">
        <f>('TE BE'!$AB$23+'TE BF'!$AB$23+'TE CVA'!$AB$23)*(1-CUSTOS!$M$38)</f>
        <v>236.80902583286482</v>
      </c>
      <c r="AB422" s="6">
        <f>$K$422*$V$422</f>
        <v>0</v>
      </c>
      <c r="AC422" s="6">
        <f>$M$422*$W$422</f>
        <v>174.291832</v>
      </c>
      <c r="AD422" s="6">
        <f>$O$422*$X$422</f>
        <v>103.255792</v>
      </c>
      <c r="AE422" s="6">
        <f>$K$422*$Y$422</f>
        <v>0</v>
      </c>
      <c r="AF422" s="6">
        <f ca="1">$M$422*$Z$422</f>
        <v>213.33400760452366</v>
      </c>
      <c r="AG422" s="6">
        <f>$O$422*$AA$422</f>
        <v>110.16355881744872</v>
      </c>
    </row>
    <row r="423" spans="1:33" ht="11.25" customHeight="1" x14ac:dyDescent="0.25">
      <c r="A423" s="4" t="s">
        <v>28</v>
      </c>
      <c r="B423" s="4" t="s">
        <v>40</v>
      </c>
      <c r="C423" s="4" t="s">
        <v>23</v>
      </c>
      <c r="D423" s="4" t="s">
        <v>41</v>
      </c>
      <c r="E423" s="4" t="s">
        <v>49</v>
      </c>
      <c r="F423" s="4" t="s">
        <v>51</v>
      </c>
      <c r="G423" s="4" t="s">
        <v>25</v>
      </c>
      <c r="H423" s="4" t="s">
        <v>25</v>
      </c>
      <c r="I423" s="5">
        <v>44409</v>
      </c>
      <c r="J423" s="6">
        <v>0</v>
      </c>
      <c r="K423" s="6">
        <v>0</v>
      </c>
      <c r="L423" s="6">
        <v>0.317</v>
      </c>
      <c r="M423" s="6">
        <v>0.317</v>
      </c>
      <c r="N423" s="6">
        <v>0.317</v>
      </c>
      <c r="O423" s="6">
        <v>0.317</v>
      </c>
      <c r="P423" s="6">
        <v>0</v>
      </c>
      <c r="Q423" s="4" t="s">
        <v>26</v>
      </c>
      <c r="R423" s="4">
        <v>0</v>
      </c>
      <c r="S423" s="6">
        <v>0</v>
      </c>
      <c r="T423" s="6">
        <v>33</v>
      </c>
      <c r="U423" s="6">
        <v>72</v>
      </c>
      <c r="V423" s="6">
        <f>IF(ISERROR(VLOOKUP($S$423,'TAR FIN'!$A$1:$O$88,15,0)),0,VLOOKUP($S$423,'TAR FIN'!$A$1:$O$88,15,0))</f>
        <v>0</v>
      </c>
      <c r="W423" s="6">
        <f>IF(ISERROR(VLOOKUP($T$423,'TAR FIN'!$A$1:$O$88,15,0)),0,VLOOKUP($T$423,'TAR FIN'!$A$1:$O$88,15,0))</f>
        <v>374.66</v>
      </c>
      <c r="X423" s="6">
        <f>IF(ISERROR(VLOOKUP($U$423,'TAR FIN'!$A$1:$O$88,15,0)),0,VLOOKUP($U$423,'TAR FIN'!$A$1:$O$88,15,0))</f>
        <v>221.96</v>
      </c>
      <c r="Y423" s="6"/>
      <c r="Z423" s="6">
        <f ca="1">('TUSD BE'!$AM$33+'TUSD BF'!$AM$33+'TUSD CVA'!$AM$33)*(1-CUSTOS!$M$38)</f>
        <v>458.58557094695544</v>
      </c>
      <c r="AA423" s="6">
        <f>('TE BE'!$AB$23+'TE BF'!$AB$23+'TE CVA'!$AB$23)*(1-CUSTOS!$M$38)</f>
        <v>236.80902583286482</v>
      </c>
      <c r="AB423" s="6">
        <f>$K$423*$V$423</f>
        <v>0</v>
      </c>
      <c r="AC423" s="6">
        <f>$M$423*$W$423</f>
        <v>118.76722000000001</v>
      </c>
      <c r="AD423" s="6">
        <f>$O$423*$X$423</f>
        <v>70.361320000000006</v>
      </c>
      <c r="AE423" s="6">
        <f>$K$423*$Y$423</f>
        <v>0</v>
      </c>
      <c r="AF423" s="6">
        <f ca="1">$M$423*$Z$423</f>
        <v>145.37162599018487</v>
      </c>
      <c r="AG423" s="6">
        <f>$O$423*$AA$423</f>
        <v>75.068461189018151</v>
      </c>
    </row>
    <row r="424" spans="1:33" ht="11.25" customHeight="1" x14ac:dyDescent="0.25">
      <c r="A424" s="4" t="s">
        <v>21</v>
      </c>
      <c r="B424" s="4" t="s">
        <v>40</v>
      </c>
      <c r="C424" s="4" t="s">
        <v>23</v>
      </c>
      <c r="D424" s="4" t="s">
        <v>41</v>
      </c>
      <c r="E424" s="4" t="s">
        <v>49</v>
      </c>
      <c r="F424" s="4" t="s">
        <v>51</v>
      </c>
      <c r="G424" s="4" t="s">
        <v>25</v>
      </c>
      <c r="H424" s="4" t="s">
        <v>25</v>
      </c>
      <c r="I424" s="5">
        <v>44440</v>
      </c>
      <c r="J424" s="6">
        <v>0</v>
      </c>
      <c r="K424" s="6">
        <v>0</v>
      </c>
      <c r="L424" s="6">
        <v>5.7380000000000004</v>
      </c>
      <c r="M424" s="6">
        <v>2.2951999999999999</v>
      </c>
      <c r="N424" s="6">
        <v>5.7380000000000004</v>
      </c>
      <c r="O424" s="6">
        <v>2.2951999999999999</v>
      </c>
      <c r="P424" s="6">
        <v>0</v>
      </c>
      <c r="Q424" s="4" t="s">
        <v>26</v>
      </c>
      <c r="R424" s="4">
        <v>0</v>
      </c>
      <c r="S424" s="6">
        <v>0</v>
      </c>
      <c r="T424" s="6">
        <v>33</v>
      </c>
      <c r="U424" s="6">
        <v>72</v>
      </c>
      <c r="V424" s="6">
        <f>IF(ISERROR(VLOOKUP($S$424,'TAR FIN'!$A$1:$O$88,15,0)),0,VLOOKUP($S$424,'TAR FIN'!$A$1:$O$88,15,0))</f>
        <v>0</v>
      </c>
      <c r="W424" s="6">
        <f>IF(ISERROR(VLOOKUP($T$424,'TAR FIN'!$A$1:$O$88,15,0)),0,VLOOKUP($T$424,'TAR FIN'!$A$1:$O$88,15,0))</f>
        <v>374.66</v>
      </c>
      <c r="X424" s="6">
        <f>IF(ISERROR(VLOOKUP($U$424,'TAR FIN'!$A$1:$O$88,15,0)),0,VLOOKUP($U$424,'TAR FIN'!$A$1:$O$88,15,0))</f>
        <v>221.96</v>
      </c>
      <c r="Y424" s="6"/>
      <c r="Z424" s="6">
        <f ca="1">('TUSD BE'!$AM$33+'TUSD BF'!$AM$33+'TUSD CVA'!$AM$33)*(1-CUSTOS!$M$38)</f>
        <v>458.58557094695544</v>
      </c>
      <c r="AA424" s="6">
        <f>('TE BE'!$AB$23+'TE BF'!$AB$23+'TE CVA'!$AB$23)*(1-CUSTOS!$M$38)</f>
        <v>236.80902583286482</v>
      </c>
      <c r="AB424" s="6">
        <f>$K$424*$V$424</f>
        <v>0</v>
      </c>
      <c r="AC424" s="6">
        <f>$M$424*$W$424</f>
        <v>859.91963199999998</v>
      </c>
      <c r="AD424" s="6">
        <f>$O$424*$X$424</f>
        <v>509.44259199999999</v>
      </c>
      <c r="AE424" s="6">
        <f>$K$424*$Y$424</f>
        <v>0</v>
      </c>
      <c r="AF424" s="6">
        <f ca="1">$M$424*$Z$424</f>
        <v>1052.5456024374521</v>
      </c>
      <c r="AG424" s="6">
        <f>$O$424*$AA$424</f>
        <v>543.52407609159127</v>
      </c>
    </row>
    <row r="425" spans="1:33" ht="11.25" customHeight="1" x14ac:dyDescent="0.25">
      <c r="A425" s="4" t="s">
        <v>28</v>
      </c>
      <c r="B425" s="4" t="s">
        <v>40</v>
      </c>
      <c r="C425" s="4" t="s">
        <v>23</v>
      </c>
      <c r="D425" s="4" t="s">
        <v>41</v>
      </c>
      <c r="E425" s="4" t="s">
        <v>49</v>
      </c>
      <c r="F425" s="4" t="s">
        <v>51</v>
      </c>
      <c r="G425" s="4" t="s">
        <v>25</v>
      </c>
      <c r="H425" s="4" t="s">
        <v>25</v>
      </c>
      <c r="I425" s="5">
        <v>44440</v>
      </c>
      <c r="J425" s="6">
        <v>0</v>
      </c>
      <c r="K425" s="6">
        <v>0</v>
      </c>
      <c r="L425" s="6">
        <v>1.1499999999999999</v>
      </c>
      <c r="M425" s="6">
        <v>1.1499999999999999</v>
      </c>
      <c r="N425" s="6">
        <v>1.1499999999999999</v>
      </c>
      <c r="O425" s="6">
        <v>1.1499999999999999</v>
      </c>
      <c r="P425" s="6">
        <v>0</v>
      </c>
      <c r="Q425" s="4" t="s">
        <v>26</v>
      </c>
      <c r="R425" s="4">
        <v>0</v>
      </c>
      <c r="S425" s="6">
        <v>0</v>
      </c>
      <c r="T425" s="6">
        <v>33</v>
      </c>
      <c r="U425" s="6">
        <v>72</v>
      </c>
      <c r="V425" s="6">
        <f>IF(ISERROR(VLOOKUP($S$425,'TAR FIN'!$A$1:$O$88,15,0)),0,VLOOKUP($S$425,'TAR FIN'!$A$1:$O$88,15,0))</f>
        <v>0</v>
      </c>
      <c r="W425" s="6">
        <f>IF(ISERROR(VLOOKUP($T$425,'TAR FIN'!$A$1:$O$88,15,0)),0,VLOOKUP($T$425,'TAR FIN'!$A$1:$O$88,15,0))</f>
        <v>374.66</v>
      </c>
      <c r="X425" s="6">
        <f>IF(ISERROR(VLOOKUP($U$425,'TAR FIN'!$A$1:$O$88,15,0)),0,VLOOKUP($U$425,'TAR FIN'!$A$1:$O$88,15,0))</f>
        <v>221.96</v>
      </c>
      <c r="Y425" s="6"/>
      <c r="Z425" s="6">
        <f ca="1">('TUSD BE'!$AM$33+'TUSD BF'!$AM$33+'TUSD CVA'!$AM$33)*(1-CUSTOS!$M$38)</f>
        <v>458.58557094695544</v>
      </c>
      <c r="AA425" s="6">
        <f>('TE BE'!$AB$23+'TE BF'!$AB$23+'TE CVA'!$AB$23)*(1-CUSTOS!$M$38)</f>
        <v>236.80902583286482</v>
      </c>
      <c r="AB425" s="6">
        <f>$K$425*$V$425</f>
        <v>0</v>
      </c>
      <c r="AC425" s="6">
        <f>$M$425*$W$425</f>
        <v>430.85899999999998</v>
      </c>
      <c r="AD425" s="6">
        <f>$O$425*$X$425</f>
        <v>255.25399999999999</v>
      </c>
      <c r="AE425" s="6">
        <f>$K$425*$Y$425</f>
        <v>0</v>
      </c>
      <c r="AF425" s="6">
        <f ca="1">$M$425*$Z$425</f>
        <v>527.37340658899871</v>
      </c>
      <c r="AG425" s="6">
        <f>$O$425*$AA$425</f>
        <v>272.33037970779452</v>
      </c>
    </row>
    <row r="426" spans="1:33" ht="11.25" customHeight="1" x14ac:dyDescent="0.25">
      <c r="A426" s="4" t="s">
        <v>21</v>
      </c>
      <c r="B426" s="4" t="s">
        <v>40</v>
      </c>
      <c r="C426" s="4" t="s">
        <v>23</v>
      </c>
      <c r="D426" s="4" t="s">
        <v>41</v>
      </c>
      <c r="E426" s="4" t="s">
        <v>49</v>
      </c>
      <c r="F426" s="4" t="s">
        <v>51</v>
      </c>
      <c r="G426" s="4" t="s">
        <v>25</v>
      </c>
      <c r="H426" s="4" t="s">
        <v>25</v>
      </c>
      <c r="I426" s="5">
        <v>44470</v>
      </c>
      <c r="J426" s="6">
        <v>0</v>
      </c>
      <c r="K426" s="6">
        <v>0</v>
      </c>
      <c r="L426" s="6">
        <v>19.593</v>
      </c>
      <c r="M426" s="6">
        <v>7.8372000000000002</v>
      </c>
      <c r="N426" s="6">
        <v>19.593</v>
      </c>
      <c r="O426" s="6">
        <v>7.8372000000000002</v>
      </c>
      <c r="P426" s="6">
        <v>0</v>
      </c>
      <c r="Q426" s="4" t="s">
        <v>26</v>
      </c>
      <c r="R426" s="4">
        <v>0</v>
      </c>
      <c r="S426" s="6">
        <v>0</v>
      </c>
      <c r="T426" s="6">
        <v>33</v>
      </c>
      <c r="U426" s="6">
        <v>72</v>
      </c>
      <c r="V426" s="6">
        <f>IF(ISERROR(VLOOKUP($S$426,'TAR FIN'!$A$1:$O$88,15,0)),0,VLOOKUP($S$426,'TAR FIN'!$A$1:$O$88,15,0))</f>
        <v>0</v>
      </c>
      <c r="W426" s="6">
        <f>IF(ISERROR(VLOOKUP($T$426,'TAR FIN'!$A$1:$O$88,15,0)),0,VLOOKUP($T$426,'TAR FIN'!$A$1:$O$88,15,0))</f>
        <v>374.66</v>
      </c>
      <c r="X426" s="6">
        <f>IF(ISERROR(VLOOKUP($U$426,'TAR FIN'!$A$1:$O$88,15,0)),0,VLOOKUP($U$426,'TAR FIN'!$A$1:$O$88,15,0))</f>
        <v>221.96</v>
      </c>
      <c r="Y426" s="6"/>
      <c r="Z426" s="6">
        <f ca="1">('TUSD BE'!$AM$33+'TUSD BF'!$AM$33+'TUSD CVA'!$AM$33)*(1-CUSTOS!$M$38)</f>
        <v>458.58557094695544</v>
      </c>
      <c r="AA426" s="6">
        <f>('TE BE'!$AB$23+'TE BF'!$AB$23+'TE CVA'!$AB$23)*(1-CUSTOS!$M$38)</f>
        <v>236.80902583286482</v>
      </c>
      <c r="AB426" s="6">
        <f>$K$426*$V$426</f>
        <v>0</v>
      </c>
      <c r="AC426" s="6">
        <f>$M$426*$W$426</f>
        <v>2936.2853520000003</v>
      </c>
      <c r="AD426" s="6">
        <f>$O$426*$X$426</f>
        <v>1739.5449120000001</v>
      </c>
      <c r="AE426" s="6">
        <f>$K$426*$Y$426</f>
        <v>0</v>
      </c>
      <c r="AF426" s="6">
        <f ca="1">$M$426*$Z$426</f>
        <v>3594.0268366254791</v>
      </c>
      <c r="AG426" s="6">
        <f>$O$426*$AA$426</f>
        <v>1855.9196972573282</v>
      </c>
    </row>
    <row r="427" spans="1:33" ht="11.25" customHeight="1" x14ac:dyDescent="0.25">
      <c r="A427" s="4" t="s">
        <v>28</v>
      </c>
      <c r="B427" s="4" t="s">
        <v>40</v>
      </c>
      <c r="C427" s="4" t="s">
        <v>23</v>
      </c>
      <c r="D427" s="4" t="s">
        <v>41</v>
      </c>
      <c r="E427" s="4" t="s">
        <v>49</v>
      </c>
      <c r="F427" s="4" t="s">
        <v>51</v>
      </c>
      <c r="G427" s="4" t="s">
        <v>25</v>
      </c>
      <c r="H427" s="4" t="s">
        <v>25</v>
      </c>
      <c r="I427" s="5">
        <v>44470</v>
      </c>
      <c r="J427" s="6">
        <v>0</v>
      </c>
      <c r="K427" s="6">
        <v>0</v>
      </c>
      <c r="L427" s="6">
        <v>0.01</v>
      </c>
      <c r="M427" s="6">
        <v>0.01</v>
      </c>
      <c r="N427" s="6">
        <v>0.01</v>
      </c>
      <c r="O427" s="6">
        <v>0.01</v>
      </c>
      <c r="P427" s="6">
        <v>0</v>
      </c>
      <c r="Q427" s="4" t="s">
        <v>26</v>
      </c>
      <c r="R427" s="4">
        <v>0</v>
      </c>
      <c r="S427" s="6">
        <v>0</v>
      </c>
      <c r="T427" s="6">
        <v>33</v>
      </c>
      <c r="U427" s="6">
        <v>72</v>
      </c>
      <c r="V427" s="6">
        <f>IF(ISERROR(VLOOKUP($S$427,'TAR FIN'!$A$1:$O$88,15,0)),0,VLOOKUP($S$427,'TAR FIN'!$A$1:$O$88,15,0))</f>
        <v>0</v>
      </c>
      <c r="W427" s="6">
        <f>IF(ISERROR(VLOOKUP($T$427,'TAR FIN'!$A$1:$O$88,15,0)),0,VLOOKUP($T$427,'TAR FIN'!$A$1:$O$88,15,0))</f>
        <v>374.66</v>
      </c>
      <c r="X427" s="6">
        <f>IF(ISERROR(VLOOKUP($U$427,'TAR FIN'!$A$1:$O$88,15,0)),0,VLOOKUP($U$427,'TAR FIN'!$A$1:$O$88,15,0))</f>
        <v>221.96</v>
      </c>
      <c r="Y427" s="6"/>
      <c r="Z427" s="6">
        <f ca="1">('TUSD BE'!$AM$33+'TUSD BF'!$AM$33+'TUSD CVA'!$AM$33)*(1-CUSTOS!$M$38)</f>
        <v>458.58557094695544</v>
      </c>
      <c r="AA427" s="6">
        <f>('TE BE'!$AB$23+'TE BF'!$AB$23+'TE CVA'!$AB$23)*(1-CUSTOS!$M$38)</f>
        <v>236.80902583286482</v>
      </c>
      <c r="AB427" s="6">
        <f>$K$427*$V$427</f>
        <v>0</v>
      </c>
      <c r="AC427" s="6">
        <f>$M$427*$W$427</f>
        <v>3.7466000000000004</v>
      </c>
      <c r="AD427" s="6">
        <f>$O$427*$X$427</f>
        <v>2.2196000000000002</v>
      </c>
      <c r="AE427" s="6">
        <f>$K$427*$Y$427</f>
        <v>0</v>
      </c>
      <c r="AF427" s="6">
        <f ca="1">$M$427*$Z$427</f>
        <v>4.5858557094695547</v>
      </c>
      <c r="AG427" s="6">
        <f>$O$427*$AA$427</f>
        <v>2.3680902583286483</v>
      </c>
    </row>
    <row r="428" spans="1:33" ht="11.25" customHeight="1" x14ac:dyDescent="0.25">
      <c r="A428" s="4" t="s">
        <v>21</v>
      </c>
      <c r="B428" s="4" t="s">
        <v>40</v>
      </c>
      <c r="C428" s="4" t="s">
        <v>23</v>
      </c>
      <c r="D428" s="4" t="s">
        <v>41</v>
      </c>
      <c r="E428" s="4" t="s">
        <v>49</v>
      </c>
      <c r="F428" s="4" t="s">
        <v>51</v>
      </c>
      <c r="G428" s="4" t="s">
        <v>25</v>
      </c>
      <c r="H428" s="4" t="s">
        <v>25</v>
      </c>
      <c r="I428" s="5">
        <v>44501</v>
      </c>
      <c r="J428" s="6">
        <v>0</v>
      </c>
      <c r="K428" s="6">
        <v>0</v>
      </c>
      <c r="L428" s="6">
        <v>103.77800000000001</v>
      </c>
      <c r="M428" s="6">
        <v>41.511200000000002</v>
      </c>
      <c r="N428" s="6">
        <v>103.77800000000001</v>
      </c>
      <c r="O428" s="6">
        <v>41.511200000000002</v>
      </c>
      <c r="P428" s="6">
        <v>0</v>
      </c>
      <c r="Q428" s="4" t="s">
        <v>26</v>
      </c>
      <c r="R428" s="4">
        <v>0</v>
      </c>
      <c r="S428" s="6">
        <v>0</v>
      </c>
      <c r="T428" s="6">
        <v>33</v>
      </c>
      <c r="U428" s="6">
        <v>72</v>
      </c>
      <c r="V428" s="6">
        <f>IF(ISERROR(VLOOKUP($S$428,'TAR FIN'!$A$1:$O$88,15,0)),0,VLOOKUP($S$428,'TAR FIN'!$A$1:$O$88,15,0))</f>
        <v>0</v>
      </c>
      <c r="W428" s="6">
        <f>IF(ISERROR(VLOOKUP($T$428,'TAR FIN'!$A$1:$O$88,15,0)),0,VLOOKUP($T$428,'TAR FIN'!$A$1:$O$88,15,0))</f>
        <v>374.66</v>
      </c>
      <c r="X428" s="6">
        <f>IF(ISERROR(VLOOKUP($U$428,'TAR FIN'!$A$1:$O$88,15,0)),0,VLOOKUP($U$428,'TAR FIN'!$A$1:$O$88,15,0))</f>
        <v>221.96</v>
      </c>
      <c r="Y428" s="6"/>
      <c r="Z428" s="6">
        <f ca="1">('TUSD BE'!$AM$33+'TUSD BF'!$AM$33+'TUSD CVA'!$AM$33)*(1-CUSTOS!$M$38)</f>
        <v>458.58557094695544</v>
      </c>
      <c r="AA428" s="6">
        <f>('TE BE'!$AB$23+'TE BF'!$AB$23+'TE CVA'!$AB$23)*(1-CUSTOS!$M$38)</f>
        <v>236.80902583286482</v>
      </c>
      <c r="AB428" s="6">
        <f>$K$428*$V$428</f>
        <v>0</v>
      </c>
      <c r="AC428" s="6">
        <f>$M$428*$W$428</f>
        <v>15552.586192000002</v>
      </c>
      <c r="AD428" s="6">
        <f>$O$428*$X$428</f>
        <v>9213.8259520000011</v>
      </c>
      <c r="AE428" s="6">
        <f>$K$428*$Y$428</f>
        <v>0</v>
      </c>
      <c r="AF428" s="6">
        <f ca="1">$M$428*$Z$428</f>
        <v>19036.437352693258</v>
      </c>
      <c r="AG428" s="6">
        <f>$O$428*$AA$428</f>
        <v>9830.2268331532177</v>
      </c>
    </row>
    <row r="429" spans="1:33" ht="11.25" customHeight="1" x14ac:dyDescent="0.25">
      <c r="A429" s="4" t="s">
        <v>27</v>
      </c>
      <c r="B429" s="4" t="s">
        <v>40</v>
      </c>
      <c r="C429" s="4" t="s">
        <v>23</v>
      </c>
      <c r="D429" s="4" t="s">
        <v>41</v>
      </c>
      <c r="E429" s="4" t="s">
        <v>49</v>
      </c>
      <c r="F429" s="4" t="s">
        <v>51</v>
      </c>
      <c r="G429" s="4" t="s">
        <v>25</v>
      </c>
      <c r="H429" s="4" t="s">
        <v>25</v>
      </c>
      <c r="I429" s="5">
        <v>44501</v>
      </c>
      <c r="J429" s="6">
        <v>0</v>
      </c>
      <c r="K429" s="6">
        <v>0</v>
      </c>
      <c r="L429" s="6">
        <v>-12.36</v>
      </c>
      <c r="M429" s="6">
        <v>-4.944</v>
      </c>
      <c r="N429" s="6">
        <v>-12.36</v>
      </c>
      <c r="O429" s="6">
        <v>-4.944</v>
      </c>
      <c r="P429" s="6">
        <v>0</v>
      </c>
      <c r="Q429" s="4" t="s">
        <v>26</v>
      </c>
      <c r="R429" s="4">
        <v>0</v>
      </c>
      <c r="S429" s="6">
        <v>0</v>
      </c>
      <c r="T429" s="6">
        <v>33</v>
      </c>
      <c r="U429" s="6">
        <v>72</v>
      </c>
      <c r="V429" s="6">
        <f>IF(ISERROR(VLOOKUP($S$429,'TAR FIN'!$A$1:$O$88,15,0)),0,VLOOKUP($S$429,'TAR FIN'!$A$1:$O$88,15,0))</f>
        <v>0</v>
      </c>
      <c r="W429" s="6">
        <f>IF(ISERROR(VLOOKUP($T$429,'TAR FIN'!$A$1:$O$88,15,0)),0,VLOOKUP($T$429,'TAR FIN'!$A$1:$O$88,15,0))</f>
        <v>374.66</v>
      </c>
      <c r="X429" s="6">
        <f>IF(ISERROR(VLOOKUP($U$429,'TAR FIN'!$A$1:$O$88,15,0)),0,VLOOKUP($U$429,'TAR FIN'!$A$1:$O$88,15,0))</f>
        <v>221.96</v>
      </c>
      <c r="Y429" s="6"/>
      <c r="Z429" s="6">
        <f ca="1">('TUSD BE'!$AM$33+'TUSD BF'!$AM$33+'TUSD CVA'!$AM$33)*(1-CUSTOS!$M$38)</f>
        <v>458.58557094695544</v>
      </c>
      <c r="AA429" s="6">
        <f>('TE BE'!$AB$23+'TE BF'!$AB$23+'TE CVA'!$AB$23)*(1-CUSTOS!$M$38)</f>
        <v>236.80902583286482</v>
      </c>
      <c r="AB429" s="6">
        <f>$K$429*$V$429</f>
        <v>0</v>
      </c>
      <c r="AC429" s="6">
        <f>$M$429*$W$429</f>
        <v>-1852.3190400000001</v>
      </c>
      <c r="AD429" s="6">
        <f>$O$429*$X$429</f>
        <v>-1097.37024</v>
      </c>
      <c r="AE429" s="6">
        <f>$K$429*$Y$429</f>
        <v>0</v>
      </c>
      <c r="AF429" s="6">
        <f ca="1">$M$429*$Z$429</f>
        <v>-2267.2470627617477</v>
      </c>
      <c r="AG429" s="6">
        <f>$O$429*$AA$429</f>
        <v>-1170.7838237176836</v>
      </c>
    </row>
    <row r="430" spans="1:33" ht="11.25" customHeight="1" x14ac:dyDescent="0.25">
      <c r="A430" s="4" t="s">
        <v>28</v>
      </c>
      <c r="B430" s="4" t="s">
        <v>40</v>
      </c>
      <c r="C430" s="4" t="s">
        <v>23</v>
      </c>
      <c r="D430" s="4" t="s">
        <v>41</v>
      </c>
      <c r="E430" s="4" t="s">
        <v>49</v>
      </c>
      <c r="F430" s="4" t="s">
        <v>51</v>
      </c>
      <c r="G430" s="4" t="s">
        <v>25</v>
      </c>
      <c r="H430" s="4" t="s">
        <v>25</v>
      </c>
      <c r="I430" s="5">
        <v>44501</v>
      </c>
      <c r="J430" s="6">
        <v>0</v>
      </c>
      <c r="K430" s="6">
        <v>0</v>
      </c>
      <c r="L430" s="6">
        <v>8.2799999999999994</v>
      </c>
      <c r="M430" s="6">
        <v>8.2799999999999994</v>
      </c>
      <c r="N430" s="6">
        <v>8.2799999999999994</v>
      </c>
      <c r="O430" s="6">
        <v>8.2799999999999994</v>
      </c>
      <c r="P430" s="6">
        <v>0</v>
      </c>
      <c r="Q430" s="4" t="s">
        <v>26</v>
      </c>
      <c r="R430" s="4">
        <v>0</v>
      </c>
      <c r="S430" s="6">
        <v>0</v>
      </c>
      <c r="T430" s="6">
        <v>33</v>
      </c>
      <c r="U430" s="6">
        <v>72</v>
      </c>
      <c r="V430" s="6">
        <f>IF(ISERROR(VLOOKUP($S$430,'TAR FIN'!$A$1:$O$88,15,0)),0,VLOOKUP($S$430,'TAR FIN'!$A$1:$O$88,15,0))</f>
        <v>0</v>
      </c>
      <c r="W430" s="6">
        <f>IF(ISERROR(VLOOKUP($T$430,'TAR FIN'!$A$1:$O$88,15,0)),0,VLOOKUP($T$430,'TAR FIN'!$A$1:$O$88,15,0))</f>
        <v>374.66</v>
      </c>
      <c r="X430" s="6">
        <f>IF(ISERROR(VLOOKUP($U$430,'TAR FIN'!$A$1:$O$88,15,0)),0,VLOOKUP($U$430,'TAR FIN'!$A$1:$O$88,15,0))</f>
        <v>221.96</v>
      </c>
      <c r="Y430" s="6"/>
      <c r="Z430" s="6">
        <f ca="1">('TUSD BE'!$AM$33+'TUSD BF'!$AM$33+'TUSD CVA'!$AM$33)*(1-CUSTOS!$M$38)</f>
        <v>458.58557094695544</v>
      </c>
      <c r="AA430" s="6">
        <f>('TE BE'!$AB$23+'TE BF'!$AB$23+'TE CVA'!$AB$23)*(1-CUSTOS!$M$38)</f>
        <v>236.80902583286482</v>
      </c>
      <c r="AB430" s="6">
        <f>$K$430*$V$430</f>
        <v>0</v>
      </c>
      <c r="AC430" s="6">
        <f>$M$430*$W$430</f>
        <v>3102.1848</v>
      </c>
      <c r="AD430" s="6">
        <f>$O$430*$X$430</f>
        <v>1837.8288</v>
      </c>
      <c r="AE430" s="6">
        <f>$K$430*$Y$430</f>
        <v>0</v>
      </c>
      <c r="AF430" s="6">
        <f ca="1">$M$430*$Z$430</f>
        <v>3797.0885274407906</v>
      </c>
      <c r="AG430" s="6">
        <f>$O$430*$AA$430</f>
        <v>1960.7787338961205</v>
      </c>
    </row>
    <row r="431" spans="1:33" ht="11.25" customHeight="1" x14ac:dyDescent="0.25">
      <c r="A431" s="4" t="s">
        <v>21</v>
      </c>
      <c r="B431" s="4" t="s">
        <v>40</v>
      </c>
      <c r="C431" s="4" t="s">
        <v>23</v>
      </c>
      <c r="D431" s="4" t="s">
        <v>41</v>
      </c>
      <c r="E431" s="4" t="s">
        <v>49</v>
      </c>
      <c r="F431" s="4" t="s">
        <v>51</v>
      </c>
      <c r="G431" s="4" t="s">
        <v>25</v>
      </c>
      <c r="H431" s="4" t="s">
        <v>25</v>
      </c>
      <c r="I431" s="5">
        <v>44531</v>
      </c>
      <c r="J431" s="6">
        <v>0</v>
      </c>
      <c r="K431" s="6">
        <v>0</v>
      </c>
      <c r="L431" s="6">
        <v>262.84800000000001</v>
      </c>
      <c r="M431" s="6">
        <v>105.1392</v>
      </c>
      <c r="N431" s="6">
        <v>262.84800000000001</v>
      </c>
      <c r="O431" s="6">
        <v>105.1392</v>
      </c>
      <c r="P431" s="6">
        <v>0</v>
      </c>
      <c r="Q431" s="4" t="s">
        <v>26</v>
      </c>
      <c r="R431" s="4">
        <v>0</v>
      </c>
      <c r="S431" s="6">
        <v>0</v>
      </c>
      <c r="T431" s="6">
        <v>33</v>
      </c>
      <c r="U431" s="6">
        <v>72</v>
      </c>
      <c r="V431" s="6">
        <f>IF(ISERROR(VLOOKUP($S$431,'TAR FIN'!$A$1:$O$88,15,0)),0,VLOOKUP($S$431,'TAR FIN'!$A$1:$O$88,15,0))</f>
        <v>0</v>
      </c>
      <c r="W431" s="6">
        <f>IF(ISERROR(VLOOKUP($T$431,'TAR FIN'!$A$1:$O$88,15,0)),0,VLOOKUP($T$431,'TAR FIN'!$A$1:$O$88,15,0))</f>
        <v>374.66</v>
      </c>
      <c r="X431" s="6">
        <f>IF(ISERROR(VLOOKUP($U$431,'TAR FIN'!$A$1:$O$88,15,0)),0,VLOOKUP($U$431,'TAR FIN'!$A$1:$O$88,15,0))</f>
        <v>221.96</v>
      </c>
      <c r="Y431" s="6"/>
      <c r="Z431" s="6">
        <f ca="1">('TUSD BE'!$AM$33+'TUSD BF'!$AM$33+'TUSD CVA'!$AM$33)*(1-CUSTOS!$M$38)</f>
        <v>458.58557094695544</v>
      </c>
      <c r="AA431" s="6">
        <f>('TE BE'!$AB$23+'TE BF'!$AB$23+'TE CVA'!$AB$23)*(1-CUSTOS!$M$38)</f>
        <v>236.80902583286482</v>
      </c>
      <c r="AB431" s="6">
        <f>$K$431*$V$431</f>
        <v>0</v>
      </c>
      <c r="AC431" s="6">
        <f>$M$431*$W$431</f>
        <v>39391.452672000007</v>
      </c>
      <c r="AD431" s="6">
        <f>$O$431*$X$431</f>
        <v>23336.696832000001</v>
      </c>
      <c r="AE431" s="6">
        <f>$K$431*$Y$431</f>
        <v>0</v>
      </c>
      <c r="AF431" s="6">
        <f ca="1">$M$431*$Z$431</f>
        <v>48215.320060906139</v>
      </c>
      <c r="AG431" s="6">
        <f>$O$431*$AA$431</f>
        <v>24897.91152884674</v>
      </c>
    </row>
    <row r="432" spans="1:33" ht="11.25" customHeight="1" x14ac:dyDescent="0.25">
      <c r="A432" s="4" t="s">
        <v>28</v>
      </c>
      <c r="B432" s="4" t="s">
        <v>40</v>
      </c>
      <c r="C432" s="4" t="s">
        <v>23</v>
      </c>
      <c r="D432" s="4" t="s">
        <v>41</v>
      </c>
      <c r="E432" s="4" t="s">
        <v>49</v>
      </c>
      <c r="F432" s="4" t="s">
        <v>51</v>
      </c>
      <c r="G432" s="4" t="s">
        <v>25</v>
      </c>
      <c r="H432" s="4" t="s">
        <v>25</v>
      </c>
      <c r="I432" s="5">
        <v>44531</v>
      </c>
      <c r="J432" s="6">
        <v>0</v>
      </c>
      <c r="K432" s="6">
        <v>0</v>
      </c>
      <c r="L432" s="6">
        <v>17.352</v>
      </c>
      <c r="M432" s="6">
        <v>17.352</v>
      </c>
      <c r="N432" s="6">
        <v>17.352</v>
      </c>
      <c r="O432" s="6">
        <v>17.352</v>
      </c>
      <c r="P432" s="6">
        <v>0</v>
      </c>
      <c r="Q432" s="4" t="s">
        <v>26</v>
      </c>
      <c r="R432" s="4">
        <v>0</v>
      </c>
      <c r="S432" s="6">
        <v>0</v>
      </c>
      <c r="T432" s="6">
        <v>33</v>
      </c>
      <c r="U432" s="6">
        <v>72</v>
      </c>
      <c r="V432" s="6">
        <f>IF(ISERROR(VLOOKUP($S$432,'TAR FIN'!$A$1:$O$88,15,0)),0,VLOOKUP($S$432,'TAR FIN'!$A$1:$O$88,15,0))</f>
        <v>0</v>
      </c>
      <c r="W432" s="6">
        <f>IF(ISERROR(VLOOKUP($T$432,'TAR FIN'!$A$1:$O$88,15,0)),0,VLOOKUP($T$432,'TAR FIN'!$A$1:$O$88,15,0))</f>
        <v>374.66</v>
      </c>
      <c r="X432" s="6">
        <f>IF(ISERROR(VLOOKUP($U$432,'TAR FIN'!$A$1:$O$88,15,0)),0,VLOOKUP($U$432,'TAR FIN'!$A$1:$O$88,15,0))</f>
        <v>221.96</v>
      </c>
      <c r="Y432" s="6"/>
      <c r="Z432" s="6">
        <f ca="1">('TUSD BE'!$AM$33+'TUSD BF'!$AM$33+'TUSD CVA'!$AM$33)*(1-CUSTOS!$M$38)</f>
        <v>458.58557094695544</v>
      </c>
      <c r="AA432" s="6">
        <f>('TE BE'!$AB$23+'TE BF'!$AB$23+'TE CVA'!$AB$23)*(1-CUSTOS!$M$38)</f>
        <v>236.80902583286482</v>
      </c>
      <c r="AB432" s="6">
        <f>$K$432*$V$432</f>
        <v>0</v>
      </c>
      <c r="AC432" s="6">
        <f>$M$432*$W$432</f>
        <v>6501.1003200000005</v>
      </c>
      <c r="AD432" s="6">
        <f>$O$432*$X$432</f>
        <v>3851.44992</v>
      </c>
      <c r="AE432" s="6">
        <f>$K$432*$Y$432</f>
        <v>0</v>
      </c>
      <c r="AF432" s="6">
        <f ca="1">$M$432*$Z$432</f>
        <v>7957.3768270715709</v>
      </c>
      <c r="AG432" s="6">
        <f>$O$432*$AA$432</f>
        <v>4109.11021625187</v>
      </c>
    </row>
    <row r="433" spans="1:33" ht="11.25" customHeight="1" x14ac:dyDescent="0.25">
      <c r="A433" s="4" t="s">
        <v>21</v>
      </c>
      <c r="B433" s="4" t="s">
        <v>40</v>
      </c>
      <c r="C433" s="4" t="s">
        <v>23</v>
      </c>
      <c r="D433" s="4" t="s">
        <v>41</v>
      </c>
      <c r="E433" s="4" t="s">
        <v>49</v>
      </c>
      <c r="F433" s="4" t="s">
        <v>51</v>
      </c>
      <c r="G433" s="4" t="s">
        <v>25</v>
      </c>
      <c r="H433" s="4" t="s">
        <v>25</v>
      </c>
      <c r="I433" s="5">
        <v>44562</v>
      </c>
      <c r="J433" s="6">
        <v>0</v>
      </c>
      <c r="K433" s="6">
        <v>0</v>
      </c>
      <c r="L433" s="6">
        <v>273.72500000000002</v>
      </c>
      <c r="M433" s="6">
        <v>109.49</v>
      </c>
      <c r="N433" s="6">
        <v>273.72500000000002</v>
      </c>
      <c r="O433" s="6">
        <v>109.49</v>
      </c>
      <c r="P433" s="6">
        <v>0</v>
      </c>
      <c r="Q433" s="4" t="s">
        <v>26</v>
      </c>
      <c r="R433" s="4">
        <v>0</v>
      </c>
      <c r="S433" s="6">
        <v>0</v>
      </c>
      <c r="T433" s="6">
        <v>33</v>
      </c>
      <c r="U433" s="6">
        <v>72</v>
      </c>
      <c r="V433" s="6">
        <f>IF(ISERROR(VLOOKUP($S$433,'TAR FIN'!$A$1:$O$88,15,0)),0,VLOOKUP($S$433,'TAR FIN'!$A$1:$O$88,15,0))</f>
        <v>0</v>
      </c>
      <c r="W433" s="6">
        <f>IF(ISERROR(VLOOKUP($T$433,'TAR FIN'!$A$1:$O$88,15,0)),0,VLOOKUP($T$433,'TAR FIN'!$A$1:$O$88,15,0))</f>
        <v>374.66</v>
      </c>
      <c r="X433" s="6">
        <f>IF(ISERROR(VLOOKUP($U$433,'TAR FIN'!$A$1:$O$88,15,0)),0,VLOOKUP($U$433,'TAR FIN'!$A$1:$O$88,15,0))</f>
        <v>221.96</v>
      </c>
      <c r="Y433" s="6"/>
      <c r="Z433" s="6">
        <f ca="1">('TUSD BE'!$AM$33+'TUSD BF'!$AM$33+'TUSD CVA'!$AM$33)*(1-CUSTOS!$M$38)</f>
        <v>458.58557094695544</v>
      </c>
      <c r="AA433" s="6">
        <f>('TE BE'!$AB$23+'TE BF'!$AB$23+'TE CVA'!$AB$23)*(1-CUSTOS!$M$38)</f>
        <v>236.80902583286482</v>
      </c>
      <c r="AB433" s="6">
        <f>$K$433*$V$433</f>
        <v>0</v>
      </c>
      <c r="AC433" s="6">
        <f>$M$433*$W$433</f>
        <v>41021.523399999998</v>
      </c>
      <c r="AD433" s="6">
        <f>$O$433*$X$433</f>
        <v>24302.400399999999</v>
      </c>
      <c r="AE433" s="6">
        <f>$K$433*$Y$433</f>
        <v>0</v>
      </c>
      <c r="AF433" s="6">
        <f ca="1">$M$433*$Z$433</f>
        <v>50210.534162982149</v>
      </c>
      <c r="AG433" s="6">
        <f>$O$433*$AA$433</f>
        <v>25928.220238440368</v>
      </c>
    </row>
    <row r="434" spans="1:33" ht="11.25" customHeight="1" x14ac:dyDescent="0.25">
      <c r="A434" s="4" t="s">
        <v>28</v>
      </c>
      <c r="B434" s="4" t="s">
        <v>40</v>
      </c>
      <c r="C434" s="4" t="s">
        <v>23</v>
      </c>
      <c r="D434" s="4" t="s">
        <v>41</v>
      </c>
      <c r="E434" s="4" t="s">
        <v>49</v>
      </c>
      <c r="F434" s="4" t="s">
        <v>51</v>
      </c>
      <c r="G434" s="4" t="s">
        <v>25</v>
      </c>
      <c r="H434" s="4" t="s">
        <v>25</v>
      </c>
      <c r="I434" s="5">
        <v>44562</v>
      </c>
      <c r="J434" s="6">
        <v>0</v>
      </c>
      <c r="K434" s="6">
        <v>0</v>
      </c>
      <c r="L434" s="6">
        <v>26.376999999999999</v>
      </c>
      <c r="M434" s="6">
        <v>26.376999999999999</v>
      </c>
      <c r="N434" s="6">
        <v>26.376999999999999</v>
      </c>
      <c r="O434" s="6">
        <v>26.376999999999999</v>
      </c>
      <c r="P434" s="6">
        <v>0</v>
      </c>
      <c r="Q434" s="4" t="s">
        <v>26</v>
      </c>
      <c r="R434" s="4">
        <v>0</v>
      </c>
      <c r="S434" s="6">
        <v>0</v>
      </c>
      <c r="T434" s="6">
        <v>33</v>
      </c>
      <c r="U434" s="6">
        <v>72</v>
      </c>
      <c r="V434" s="6">
        <f>IF(ISERROR(VLOOKUP($S$434,'TAR FIN'!$A$1:$O$88,15,0)),0,VLOOKUP($S$434,'TAR FIN'!$A$1:$O$88,15,0))</f>
        <v>0</v>
      </c>
      <c r="W434" s="6">
        <f>IF(ISERROR(VLOOKUP($T$434,'TAR FIN'!$A$1:$O$88,15,0)),0,VLOOKUP($T$434,'TAR FIN'!$A$1:$O$88,15,0))</f>
        <v>374.66</v>
      </c>
      <c r="X434" s="6">
        <f>IF(ISERROR(VLOOKUP($U$434,'TAR FIN'!$A$1:$O$88,15,0)),0,VLOOKUP($U$434,'TAR FIN'!$A$1:$O$88,15,0))</f>
        <v>221.96</v>
      </c>
      <c r="Y434" s="6"/>
      <c r="Z434" s="6">
        <f ca="1">('TUSD BE'!$AM$33+'TUSD BF'!$AM$33+'TUSD CVA'!$AM$33)*(1-CUSTOS!$M$38)</f>
        <v>458.58557094695544</v>
      </c>
      <c r="AA434" s="6">
        <f>('TE BE'!$AB$23+'TE BF'!$AB$23+'TE CVA'!$AB$23)*(1-CUSTOS!$M$38)</f>
        <v>236.80902583286482</v>
      </c>
      <c r="AB434" s="6">
        <f>$K$434*$V$434</f>
        <v>0</v>
      </c>
      <c r="AC434" s="6">
        <f>$M$434*$W$434</f>
        <v>9882.4068200000002</v>
      </c>
      <c r="AD434" s="6">
        <f>$O$434*$X$434</f>
        <v>5854.6389200000003</v>
      </c>
      <c r="AE434" s="6">
        <f>$K$434*$Y$434</f>
        <v>0</v>
      </c>
      <c r="AF434" s="6">
        <f ca="1">$M$434*$Z$434</f>
        <v>12096.111604867843</v>
      </c>
      <c r="AG434" s="6">
        <f>$O$434*$AA$434</f>
        <v>6246.3116743934752</v>
      </c>
    </row>
    <row r="435" spans="1:33" ht="11.25" customHeight="1" x14ac:dyDescent="0.25">
      <c r="A435" s="4" t="s">
        <v>21</v>
      </c>
      <c r="B435" s="4" t="s">
        <v>40</v>
      </c>
      <c r="C435" s="4" t="s">
        <v>23</v>
      </c>
      <c r="D435" s="4" t="s">
        <v>41</v>
      </c>
      <c r="E435" s="4" t="s">
        <v>49</v>
      </c>
      <c r="F435" s="4" t="s">
        <v>51</v>
      </c>
      <c r="G435" s="4" t="s">
        <v>25</v>
      </c>
      <c r="H435" s="4" t="s">
        <v>25</v>
      </c>
      <c r="I435" s="5">
        <v>44593</v>
      </c>
      <c r="J435" s="6">
        <v>0</v>
      </c>
      <c r="K435" s="6">
        <v>0</v>
      </c>
      <c r="L435" s="6">
        <v>101.414</v>
      </c>
      <c r="M435" s="6">
        <v>40.565600000000003</v>
      </c>
      <c r="N435" s="6">
        <v>101.414</v>
      </c>
      <c r="O435" s="6">
        <v>40.565600000000003</v>
      </c>
      <c r="P435" s="6">
        <v>0</v>
      </c>
      <c r="Q435" s="4" t="s">
        <v>26</v>
      </c>
      <c r="R435" s="4">
        <v>0</v>
      </c>
      <c r="S435" s="6">
        <v>0</v>
      </c>
      <c r="T435" s="6">
        <v>33</v>
      </c>
      <c r="U435" s="6">
        <v>72</v>
      </c>
      <c r="V435" s="6">
        <f>IF(ISERROR(VLOOKUP($S$435,'TAR FIN'!$A$1:$O$88,15,0)),0,VLOOKUP($S$435,'TAR FIN'!$A$1:$O$88,15,0))</f>
        <v>0</v>
      </c>
      <c r="W435" s="6">
        <f>IF(ISERROR(VLOOKUP($T$435,'TAR FIN'!$A$1:$O$88,15,0)),0,VLOOKUP($T$435,'TAR FIN'!$A$1:$O$88,15,0))</f>
        <v>374.66</v>
      </c>
      <c r="X435" s="6">
        <f>IF(ISERROR(VLOOKUP($U$435,'TAR FIN'!$A$1:$O$88,15,0)),0,VLOOKUP($U$435,'TAR FIN'!$A$1:$O$88,15,0))</f>
        <v>221.96</v>
      </c>
      <c r="Y435" s="6"/>
      <c r="Z435" s="6">
        <f ca="1">('TUSD BE'!$AM$33+'TUSD BF'!$AM$33+'TUSD CVA'!$AM$33)*(1-CUSTOS!$M$38)</f>
        <v>458.58557094695544</v>
      </c>
      <c r="AA435" s="6">
        <f>('TE BE'!$AB$23+'TE BF'!$AB$23+'TE CVA'!$AB$23)*(1-CUSTOS!$M$38)</f>
        <v>236.80902583286482</v>
      </c>
      <c r="AB435" s="6">
        <f>$K$435*$V$435</f>
        <v>0</v>
      </c>
      <c r="AC435" s="6">
        <f>$M$435*$W$435</f>
        <v>15198.307696000002</v>
      </c>
      <c r="AD435" s="6">
        <f>$O$435*$X$435</f>
        <v>9003.9405760000009</v>
      </c>
      <c r="AE435" s="6">
        <f>$K$435*$Y$435</f>
        <v>0</v>
      </c>
      <c r="AF435" s="6">
        <f ca="1">$M$435*$Z$435</f>
        <v>18602.798836805818</v>
      </c>
      <c r="AG435" s="6">
        <f>$O$435*$AA$435</f>
        <v>9606.3002183256613</v>
      </c>
    </row>
    <row r="436" spans="1:33" ht="11.25" customHeight="1" x14ac:dyDescent="0.25">
      <c r="A436" s="4" t="s">
        <v>21</v>
      </c>
      <c r="B436" s="4" t="s">
        <v>40</v>
      </c>
      <c r="C436" s="4" t="s">
        <v>23</v>
      </c>
      <c r="D436" s="4" t="s">
        <v>41</v>
      </c>
      <c r="E436" s="4" t="s">
        <v>49</v>
      </c>
      <c r="F436" s="4" t="s">
        <v>51</v>
      </c>
      <c r="G436" s="4" t="s">
        <v>25</v>
      </c>
      <c r="H436" s="4" t="s">
        <v>25</v>
      </c>
      <c r="I436" s="5">
        <v>44621</v>
      </c>
      <c r="J436" s="6">
        <v>0</v>
      </c>
      <c r="K436" s="6">
        <v>0</v>
      </c>
      <c r="L436" s="6">
        <v>67.37</v>
      </c>
      <c r="M436" s="6">
        <v>26.948</v>
      </c>
      <c r="N436" s="6">
        <v>67.37</v>
      </c>
      <c r="O436" s="6">
        <v>26.948</v>
      </c>
      <c r="P436" s="6">
        <v>0</v>
      </c>
      <c r="Q436" s="4" t="s">
        <v>26</v>
      </c>
      <c r="R436" s="4">
        <v>0</v>
      </c>
      <c r="S436" s="6">
        <v>0</v>
      </c>
      <c r="T436" s="6">
        <v>33</v>
      </c>
      <c r="U436" s="6">
        <v>72</v>
      </c>
      <c r="V436" s="6">
        <f>IF(ISERROR(VLOOKUP($S$436,'TAR FIN'!$A$1:$O$88,15,0)),0,VLOOKUP($S$436,'TAR FIN'!$A$1:$O$88,15,0))</f>
        <v>0</v>
      </c>
      <c r="W436" s="6">
        <f>IF(ISERROR(VLOOKUP($T$436,'TAR FIN'!$A$1:$O$88,15,0)),0,VLOOKUP($T$436,'TAR FIN'!$A$1:$O$88,15,0))</f>
        <v>374.66</v>
      </c>
      <c r="X436" s="6">
        <f>IF(ISERROR(VLOOKUP($U$436,'TAR FIN'!$A$1:$O$88,15,0)),0,VLOOKUP($U$436,'TAR FIN'!$A$1:$O$88,15,0))</f>
        <v>221.96</v>
      </c>
      <c r="Y436" s="6"/>
      <c r="Z436" s="6">
        <f ca="1">('TUSD BE'!$AM$33+'TUSD BF'!$AM$33+'TUSD CVA'!$AM$33)*(1-CUSTOS!$M$38)</f>
        <v>458.58557094695544</v>
      </c>
      <c r="AA436" s="6">
        <f>('TE BE'!$AB$23+'TE BF'!$AB$23+'TE CVA'!$AB$23)*(1-CUSTOS!$M$38)</f>
        <v>236.80902583286482</v>
      </c>
      <c r="AB436" s="6">
        <f>$K$436*$V$436</f>
        <v>0</v>
      </c>
      <c r="AC436" s="6">
        <f>$M$436*$W$436</f>
        <v>10096.337680000001</v>
      </c>
      <c r="AD436" s="6">
        <f>$O$436*$X$436</f>
        <v>5981.3780800000004</v>
      </c>
      <c r="AE436" s="6">
        <f>$K$436*$Y$436</f>
        <v>0</v>
      </c>
      <c r="AF436" s="6">
        <f ca="1">$M$436*$Z$436</f>
        <v>12357.963965878556</v>
      </c>
      <c r="AG436" s="6">
        <f>$O$436*$AA$436</f>
        <v>6381.5296281440415</v>
      </c>
    </row>
    <row r="437" spans="1:33" ht="11.25" customHeight="1" x14ac:dyDescent="0.25">
      <c r="A437" s="4" t="s">
        <v>28</v>
      </c>
      <c r="B437" s="4" t="s">
        <v>40</v>
      </c>
      <c r="C437" s="4" t="s">
        <v>23</v>
      </c>
      <c r="D437" s="4" t="s">
        <v>41</v>
      </c>
      <c r="E437" s="4" t="s">
        <v>49</v>
      </c>
      <c r="F437" s="4" t="s">
        <v>51</v>
      </c>
      <c r="G437" s="4" t="s">
        <v>25</v>
      </c>
      <c r="H437" s="4" t="s">
        <v>25</v>
      </c>
      <c r="I437" s="5">
        <v>44621</v>
      </c>
      <c r="J437" s="6">
        <v>0</v>
      </c>
      <c r="K437" s="6">
        <v>0</v>
      </c>
      <c r="L437" s="6">
        <v>6.4210000000000003</v>
      </c>
      <c r="M437" s="6">
        <v>6.4210000000000003</v>
      </c>
      <c r="N437" s="6">
        <v>6.4210000000000003</v>
      </c>
      <c r="O437" s="6">
        <v>6.4210000000000003</v>
      </c>
      <c r="P437" s="6">
        <v>0</v>
      </c>
      <c r="Q437" s="4" t="s">
        <v>26</v>
      </c>
      <c r="R437" s="4">
        <v>0</v>
      </c>
      <c r="S437" s="6">
        <v>0</v>
      </c>
      <c r="T437" s="6">
        <v>33</v>
      </c>
      <c r="U437" s="6">
        <v>72</v>
      </c>
      <c r="V437" s="6">
        <f>IF(ISERROR(VLOOKUP($S$437,'TAR FIN'!$A$1:$O$88,15,0)),0,VLOOKUP($S$437,'TAR FIN'!$A$1:$O$88,15,0))</f>
        <v>0</v>
      </c>
      <c r="W437" s="6">
        <f>IF(ISERROR(VLOOKUP($T$437,'TAR FIN'!$A$1:$O$88,15,0)),0,VLOOKUP($T$437,'TAR FIN'!$A$1:$O$88,15,0))</f>
        <v>374.66</v>
      </c>
      <c r="X437" s="6">
        <f>IF(ISERROR(VLOOKUP($U$437,'TAR FIN'!$A$1:$O$88,15,0)),0,VLOOKUP($U$437,'TAR FIN'!$A$1:$O$88,15,0))</f>
        <v>221.96</v>
      </c>
      <c r="Y437" s="6"/>
      <c r="Z437" s="6">
        <f ca="1">('TUSD BE'!$AM$33+'TUSD BF'!$AM$33+'TUSD CVA'!$AM$33)*(1-CUSTOS!$M$38)</f>
        <v>458.58557094695544</v>
      </c>
      <c r="AA437" s="6">
        <f>('TE BE'!$AB$23+'TE BF'!$AB$23+'TE CVA'!$AB$23)*(1-CUSTOS!$M$38)</f>
        <v>236.80902583286482</v>
      </c>
      <c r="AB437" s="6">
        <f>$K$437*$V$437</f>
        <v>0</v>
      </c>
      <c r="AC437" s="6">
        <f>$M$437*$W$437</f>
        <v>2405.6918600000004</v>
      </c>
      <c r="AD437" s="6">
        <f>$O$437*$X$437</f>
        <v>1425.2051600000002</v>
      </c>
      <c r="AE437" s="6">
        <f>$K$437*$Y$437</f>
        <v>0</v>
      </c>
      <c r="AF437" s="6">
        <f ca="1">$M$437*$Z$437</f>
        <v>2944.5779510504012</v>
      </c>
      <c r="AG437" s="6">
        <f>$O$437*$AA$437</f>
        <v>1520.5507548728251</v>
      </c>
    </row>
    <row r="438" spans="1:33" ht="11.25" customHeight="1" x14ac:dyDescent="0.25">
      <c r="A438" s="4" t="s">
        <v>21</v>
      </c>
      <c r="B438" s="4" t="s">
        <v>40</v>
      </c>
      <c r="C438" s="4" t="s">
        <v>23</v>
      </c>
      <c r="D438" s="4" t="s">
        <v>41</v>
      </c>
      <c r="E438" s="4" t="s">
        <v>49</v>
      </c>
      <c r="F438" s="4" t="s">
        <v>51</v>
      </c>
      <c r="G438" s="4" t="s">
        <v>25</v>
      </c>
      <c r="H438" s="4" t="s">
        <v>25</v>
      </c>
      <c r="I438" s="5">
        <v>44652</v>
      </c>
      <c r="J438" s="6">
        <v>0</v>
      </c>
      <c r="K438" s="6">
        <v>0</v>
      </c>
      <c r="L438" s="6">
        <v>26.43</v>
      </c>
      <c r="M438" s="6">
        <v>10.571999999999999</v>
      </c>
      <c r="N438" s="6">
        <v>26.43</v>
      </c>
      <c r="O438" s="6">
        <v>10.571999999999999</v>
      </c>
      <c r="P438" s="6">
        <v>0</v>
      </c>
      <c r="Q438" s="4" t="s">
        <v>26</v>
      </c>
      <c r="R438" s="4">
        <v>0</v>
      </c>
      <c r="S438" s="6">
        <v>0</v>
      </c>
      <c r="T438" s="6">
        <v>33</v>
      </c>
      <c r="U438" s="6">
        <v>72</v>
      </c>
      <c r="V438" s="6">
        <f>IF(ISERROR(VLOOKUP($S$438,'TAR FIN'!$A$1:$O$88,15,0)),0,VLOOKUP($S$438,'TAR FIN'!$A$1:$O$88,15,0))</f>
        <v>0</v>
      </c>
      <c r="W438" s="6">
        <f>IF(ISERROR(VLOOKUP($T$438,'TAR FIN'!$A$1:$O$88,15,0)),0,VLOOKUP($T$438,'TAR FIN'!$A$1:$O$88,15,0))</f>
        <v>374.66</v>
      </c>
      <c r="X438" s="6">
        <f>IF(ISERROR(VLOOKUP($U$438,'TAR FIN'!$A$1:$O$88,15,0)),0,VLOOKUP($U$438,'TAR FIN'!$A$1:$O$88,15,0))</f>
        <v>221.96</v>
      </c>
      <c r="Y438" s="6"/>
      <c r="Z438" s="6">
        <f ca="1">('TUSD BE'!$AM$33+'TUSD BF'!$AM$33+'TUSD CVA'!$AM$33)*(1-CUSTOS!$M$38)</f>
        <v>458.58557094695544</v>
      </c>
      <c r="AA438" s="6">
        <f>('TE BE'!$AB$23+'TE BF'!$AB$23+'TE CVA'!$AB$23)*(1-CUSTOS!$M$38)</f>
        <v>236.80902583286482</v>
      </c>
      <c r="AB438" s="6">
        <f>$K$438*$V$438</f>
        <v>0</v>
      </c>
      <c r="AC438" s="6">
        <f>$M$438*$W$438</f>
        <v>3960.9055199999998</v>
      </c>
      <c r="AD438" s="6">
        <f>$O$438*$X$438</f>
        <v>2346.5611199999998</v>
      </c>
      <c r="AE438" s="6">
        <f>$K$438*$Y$438</f>
        <v>0</v>
      </c>
      <c r="AF438" s="6">
        <f ca="1">$M$438*$Z$438</f>
        <v>4848.1666560512122</v>
      </c>
      <c r="AG438" s="6">
        <f>$O$438*$AA$438</f>
        <v>2503.5450211050465</v>
      </c>
    </row>
    <row r="439" spans="1:33" ht="11.25" customHeight="1" x14ac:dyDescent="0.25">
      <c r="A439" s="4" t="s">
        <v>28</v>
      </c>
      <c r="B439" s="4" t="s">
        <v>40</v>
      </c>
      <c r="C439" s="4" t="s">
        <v>23</v>
      </c>
      <c r="D439" s="4" t="s">
        <v>41</v>
      </c>
      <c r="E439" s="4" t="s">
        <v>49</v>
      </c>
      <c r="F439" s="4" t="s">
        <v>51</v>
      </c>
      <c r="G439" s="4" t="s">
        <v>25</v>
      </c>
      <c r="H439" s="4" t="s">
        <v>25</v>
      </c>
      <c r="I439" s="5">
        <v>44652</v>
      </c>
      <c r="J439" s="6">
        <v>0</v>
      </c>
      <c r="K439" s="6">
        <v>0</v>
      </c>
      <c r="L439" s="6">
        <v>0.2</v>
      </c>
      <c r="M439" s="6">
        <v>0.2</v>
      </c>
      <c r="N439" s="6">
        <v>0.2</v>
      </c>
      <c r="O439" s="6">
        <v>0.2</v>
      </c>
      <c r="P439" s="6">
        <v>0</v>
      </c>
      <c r="Q439" s="4" t="s">
        <v>26</v>
      </c>
      <c r="R439" s="4">
        <v>0</v>
      </c>
      <c r="S439" s="6">
        <v>0</v>
      </c>
      <c r="T439" s="6">
        <v>33</v>
      </c>
      <c r="U439" s="6">
        <v>72</v>
      </c>
      <c r="V439" s="6">
        <f>IF(ISERROR(VLOOKUP($S$439,'TAR FIN'!$A$1:$O$88,15,0)),0,VLOOKUP($S$439,'TAR FIN'!$A$1:$O$88,15,0))</f>
        <v>0</v>
      </c>
      <c r="W439" s="6">
        <f>IF(ISERROR(VLOOKUP($T$439,'TAR FIN'!$A$1:$O$88,15,0)),0,VLOOKUP($T$439,'TAR FIN'!$A$1:$O$88,15,0))</f>
        <v>374.66</v>
      </c>
      <c r="X439" s="6">
        <f>IF(ISERROR(VLOOKUP($U$439,'TAR FIN'!$A$1:$O$88,15,0)),0,VLOOKUP($U$439,'TAR FIN'!$A$1:$O$88,15,0))</f>
        <v>221.96</v>
      </c>
      <c r="Y439" s="6"/>
      <c r="Z439" s="6">
        <f ca="1">('TUSD BE'!$AM$33+'TUSD BF'!$AM$33+'TUSD CVA'!$AM$33)*(1-CUSTOS!$M$38)</f>
        <v>458.58557094695544</v>
      </c>
      <c r="AA439" s="6">
        <f>('TE BE'!$AB$23+'TE BF'!$AB$23+'TE CVA'!$AB$23)*(1-CUSTOS!$M$38)</f>
        <v>236.80902583286482</v>
      </c>
      <c r="AB439" s="6">
        <f>$K$439*$V$439</f>
        <v>0</v>
      </c>
      <c r="AC439" s="6">
        <f>$M$439*$W$439</f>
        <v>74.932000000000002</v>
      </c>
      <c r="AD439" s="6">
        <f>$O$439*$X$439</f>
        <v>44.392000000000003</v>
      </c>
      <c r="AE439" s="6">
        <f>$K$439*$Y$439</f>
        <v>0</v>
      </c>
      <c r="AF439" s="6">
        <f ca="1">$M$439*$Z$439</f>
        <v>91.717114189391097</v>
      </c>
      <c r="AG439" s="6">
        <f>$O$439*$AA$439</f>
        <v>47.361805166572964</v>
      </c>
    </row>
    <row r="440" spans="1:33" ht="11.25" customHeight="1" x14ac:dyDescent="0.25">
      <c r="A440" s="4" t="s">
        <v>21</v>
      </c>
      <c r="B440" s="4" t="s">
        <v>40</v>
      </c>
      <c r="C440" s="4" t="s">
        <v>23</v>
      </c>
      <c r="D440" s="4" t="s">
        <v>41</v>
      </c>
      <c r="E440" s="4" t="s">
        <v>49</v>
      </c>
      <c r="F440" s="4" t="s">
        <v>51</v>
      </c>
      <c r="G440" s="4" t="s">
        <v>25</v>
      </c>
      <c r="H440" s="4" t="s">
        <v>25</v>
      </c>
      <c r="I440" s="5">
        <v>44682</v>
      </c>
      <c r="J440" s="6">
        <v>0</v>
      </c>
      <c r="K440" s="6">
        <v>0</v>
      </c>
      <c r="L440" s="6">
        <v>2.2999999999999998</v>
      </c>
      <c r="M440" s="6">
        <v>0.92</v>
      </c>
      <c r="N440" s="6">
        <v>2.2999999999999998</v>
      </c>
      <c r="O440" s="6">
        <v>0.92</v>
      </c>
      <c r="P440" s="6">
        <v>0</v>
      </c>
      <c r="Q440" s="4" t="s">
        <v>26</v>
      </c>
      <c r="R440" s="4">
        <v>0</v>
      </c>
      <c r="S440" s="6">
        <v>0</v>
      </c>
      <c r="T440" s="6">
        <v>33</v>
      </c>
      <c r="U440" s="6">
        <v>72</v>
      </c>
      <c r="V440" s="6">
        <f>IF(ISERROR(VLOOKUP($S$440,'TAR FIN'!$A$1:$O$88,15,0)),0,VLOOKUP($S$440,'TAR FIN'!$A$1:$O$88,15,0))</f>
        <v>0</v>
      </c>
      <c r="W440" s="6">
        <f>IF(ISERROR(VLOOKUP($T$440,'TAR FIN'!$A$1:$O$88,15,0)),0,VLOOKUP($T$440,'TAR FIN'!$A$1:$O$88,15,0))</f>
        <v>374.66</v>
      </c>
      <c r="X440" s="6">
        <f>IF(ISERROR(VLOOKUP($U$440,'TAR FIN'!$A$1:$O$88,15,0)),0,VLOOKUP($U$440,'TAR FIN'!$A$1:$O$88,15,0))</f>
        <v>221.96</v>
      </c>
      <c r="Y440" s="6"/>
      <c r="Z440" s="6">
        <f ca="1">('TUSD BE'!$AM$33+'TUSD BF'!$AM$33+'TUSD CVA'!$AM$33)*(1-CUSTOS!$M$38)</f>
        <v>458.58557094695544</v>
      </c>
      <c r="AA440" s="6">
        <f>('TE BE'!$AB$23+'TE BF'!$AB$23+'TE CVA'!$AB$23)*(1-CUSTOS!$M$38)</f>
        <v>236.80902583286482</v>
      </c>
      <c r="AB440" s="6">
        <f>$K$440*$V$440</f>
        <v>0</v>
      </c>
      <c r="AC440" s="6">
        <f>$M$440*$W$440</f>
        <v>344.68720000000002</v>
      </c>
      <c r="AD440" s="6">
        <f>$O$440*$X$440</f>
        <v>204.20320000000001</v>
      </c>
      <c r="AE440" s="6">
        <f>$K$440*$Y$440</f>
        <v>0</v>
      </c>
      <c r="AF440" s="6">
        <f ca="1">$M$440*$Z$440</f>
        <v>421.898725271199</v>
      </c>
      <c r="AG440" s="6">
        <f>$O$440*$AA$440</f>
        <v>217.86430376623565</v>
      </c>
    </row>
    <row r="441" spans="1:33" ht="11.25" customHeight="1" x14ac:dyDescent="0.25">
      <c r="A441" s="4" t="s">
        <v>27</v>
      </c>
      <c r="B441" s="4" t="s">
        <v>40</v>
      </c>
      <c r="C441" s="4" t="s">
        <v>23</v>
      </c>
      <c r="D441" s="4" t="s">
        <v>41</v>
      </c>
      <c r="E441" s="4" t="s">
        <v>49</v>
      </c>
      <c r="F441" s="4" t="s">
        <v>51</v>
      </c>
      <c r="G441" s="4" t="s">
        <v>25</v>
      </c>
      <c r="H441" s="4" t="s">
        <v>25</v>
      </c>
      <c r="I441" s="5">
        <v>44682</v>
      </c>
      <c r="J441" s="6">
        <v>0</v>
      </c>
      <c r="K441" s="6">
        <v>0</v>
      </c>
      <c r="L441" s="6">
        <v>-3.1019999999999999</v>
      </c>
      <c r="M441" s="6">
        <v>-1.2407999999999999</v>
      </c>
      <c r="N441" s="6">
        <v>-3.1019999999999999</v>
      </c>
      <c r="O441" s="6">
        <v>-1.2407999999999999</v>
      </c>
      <c r="P441" s="6">
        <v>0</v>
      </c>
      <c r="Q441" s="4" t="s">
        <v>26</v>
      </c>
      <c r="R441" s="4">
        <v>0</v>
      </c>
      <c r="S441" s="6">
        <v>0</v>
      </c>
      <c r="T441" s="6">
        <v>33</v>
      </c>
      <c r="U441" s="6">
        <v>72</v>
      </c>
      <c r="V441" s="6">
        <f>IF(ISERROR(VLOOKUP($S$441,'TAR FIN'!$A$1:$O$88,15,0)),0,VLOOKUP($S$441,'TAR FIN'!$A$1:$O$88,15,0))</f>
        <v>0</v>
      </c>
      <c r="W441" s="6">
        <f>IF(ISERROR(VLOOKUP($T$441,'TAR FIN'!$A$1:$O$88,15,0)),0,VLOOKUP($T$441,'TAR FIN'!$A$1:$O$88,15,0))</f>
        <v>374.66</v>
      </c>
      <c r="X441" s="6">
        <f>IF(ISERROR(VLOOKUP($U$441,'TAR FIN'!$A$1:$O$88,15,0)),0,VLOOKUP($U$441,'TAR FIN'!$A$1:$O$88,15,0))</f>
        <v>221.96</v>
      </c>
      <c r="Y441" s="6"/>
      <c r="Z441" s="6">
        <f ca="1">('TUSD BE'!$AM$33+'TUSD BF'!$AM$33+'TUSD CVA'!$AM$33)*(1-CUSTOS!$M$38)</f>
        <v>458.58557094695544</v>
      </c>
      <c r="AA441" s="6">
        <f>('TE BE'!$AB$23+'TE BF'!$AB$23+'TE CVA'!$AB$23)*(1-CUSTOS!$M$38)</f>
        <v>236.80902583286482</v>
      </c>
      <c r="AB441" s="6">
        <f>$K$441*$V$441</f>
        <v>0</v>
      </c>
      <c r="AC441" s="6">
        <f>$M$441*$W$441</f>
        <v>-464.878128</v>
      </c>
      <c r="AD441" s="6">
        <f>$O$441*$X$441</f>
        <v>-275.40796799999998</v>
      </c>
      <c r="AE441" s="6">
        <f>$K$441*$Y$441</f>
        <v>0</v>
      </c>
      <c r="AF441" s="6">
        <f ca="1">$M$441*$Z$441</f>
        <v>-569.01297643098223</v>
      </c>
      <c r="AG441" s="6">
        <f>$O$441*$AA$441</f>
        <v>-293.83263925341862</v>
      </c>
    </row>
    <row r="442" spans="1:33" ht="11.25" customHeight="1" x14ac:dyDescent="0.25">
      <c r="A442" s="4" t="s">
        <v>28</v>
      </c>
      <c r="B442" s="4" t="s">
        <v>40</v>
      </c>
      <c r="C442" s="4" t="s">
        <v>23</v>
      </c>
      <c r="D442" s="4" t="s">
        <v>41</v>
      </c>
      <c r="E442" s="4" t="s">
        <v>49</v>
      </c>
      <c r="F442" s="4" t="s">
        <v>51</v>
      </c>
      <c r="G442" s="4" t="s">
        <v>25</v>
      </c>
      <c r="H442" s="4" t="s">
        <v>25</v>
      </c>
      <c r="I442" s="5">
        <v>44682</v>
      </c>
      <c r="J442" s="6">
        <v>0</v>
      </c>
      <c r="K442" s="6">
        <v>0</v>
      </c>
      <c r="L442" s="6">
        <v>0.04</v>
      </c>
      <c r="M442" s="6">
        <v>0.04</v>
      </c>
      <c r="N442" s="6">
        <v>0.04</v>
      </c>
      <c r="O442" s="6">
        <v>0.04</v>
      </c>
      <c r="P442" s="6">
        <v>0</v>
      </c>
      <c r="Q442" s="4" t="s">
        <v>26</v>
      </c>
      <c r="R442" s="4">
        <v>0</v>
      </c>
      <c r="S442" s="6">
        <v>0</v>
      </c>
      <c r="T442" s="6">
        <v>33</v>
      </c>
      <c r="U442" s="6">
        <v>72</v>
      </c>
      <c r="V442" s="6">
        <f>IF(ISERROR(VLOOKUP($S$442,'TAR FIN'!$A$1:$O$88,15,0)),0,VLOOKUP($S$442,'TAR FIN'!$A$1:$O$88,15,0))</f>
        <v>0</v>
      </c>
      <c r="W442" s="6">
        <f>IF(ISERROR(VLOOKUP($T$442,'TAR FIN'!$A$1:$O$88,15,0)),0,VLOOKUP($T$442,'TAR FIN'!$A$1:$O$88,15,0))</f>
        <v>374.66</v>
      </c>
      <c r="X442" s="6">
        <f>IF(ISERROR(VLOOKUP($U$442,'TAR FIN'!$A$1:$O$88,15,0)),0,VLOOKUP($U$442,'TAR FIN'!$A$1:$O$88,15,0))</f>
        <v>221.96</v>
      </c>
      <c r="Y442" s="6"/>
      <c r="Z442" s="6">
        <f ca="1">('TUSD BE'!$AM$33+'TUSD BF'!$AM$33+'TUSD CVA'!$AM$33)*(1-CUSTOS!$M$38)</f>
        <v>458.58557094695544</v>
      </c>
      <c r="AA442" s="6">
        <f>('TE BE'!$AB$23+'TE BF'!$AB$23+'TE CVA'!$AB$23)*(1-CUSTOS!$M$38)</f>
        <v>236.80902583286482</v>
      </c>
      <c r="AB442" s="6">
        <f>$K$442*$V$442</f>
        <v>0</v>
      </c>
      <c r="AC442" s="6">
        <f>$M$442*$W$442</f>
        <v>14.986400000000001</v>
      </c>
      <c r="AD442" s="6">
        <f>$O$442*$X$442</f>
        <v>8.878400000000001</v>
      </c>
      <c r="AE442" s="6">
        <f>$K$442*$Y$442</f>
        <v>0</v>
      </c>
      <c r="AF442" s="6">
        <f ca="1">$M$442*$Z$442</f>
        <v>18.343422837878219</v>
      </c>
      <c r="AG442" s="6">
        <f>$O$442*$AA$442</f>
        <v>9.4723610333145931</v>
      </c>
    </row>
    <row r="443" spans="1:33" ht="11.25" customHeight="1" x14ac:dyDescent="0.25">
      <c r="A443" s="4" t="s">
        <v>21</v>
      </c>
      <c r="B443" s="4" t="s">
        <v>40</v>
      </c>
      <c r="C443" s="4" t="s">
        <v>23</v>
      </c>
      <c r="D443" s="4" t="s">
        <v>41</v>
      </c>
      <c r="E443" s="4" t="s">
        <v>49</v>
      </c>
      <c r="F443" s="4" t="s">
        <v>51</v>
      </c>
      <c r="G443" s="4" t="s">
        <v>25</v>
      </c>
      <c r="H443" s="4" t="s">
        <v>25</v>
      </c>
      <c r="I443" s="5">
        <v>44713</v>
      </c>
      <c r="J443" s="6">
        <v>0</v>
      </c>
      <c r="K443" s="6">
        <v>0</v>
      </c>
      <c r="L443" s="6">
        <v>0.42</v>
      </c>
      <c r="M443" s="6">
        <v>0.16800000000000001</v>
      </c>
      <c r="N443" s="6">
        <v>0.42</v>
      </c>
      <c r="O443" s="6">
        <v>0.16800000000000001</v>
      </c>
      <c r="P443" s="6">
        <v>0</v>
      </c>
      <c r="Q443" s="4" t="s">
        <v>26</v>
      </c>
      <c r="R443" s="4">
        <v>0</v>
      </c>
      <c r="S443" s="6">
        <v>0</v>
      </c>
      <c r="T443" s="6">
        <v>33</v>
      </c>
      <c r="U443" s="6">
        <v>72</v>
      </c>
      <c r="V443" s="6">
        <f>IF(ISERROR(VLOOKUP($S$443,'TAR FIN'!$A$1:$O$88,15,0)),0,VLOOKUP($S$443,'TAR FIN'!$A$1:$O$88,15,0))</f>
        <v>0</v>
      </c>
      <c r="W443" s="6">
        <f>IF(ISERROR(VLOOKUP($T$443,'TAR FIN'!$A$1:$O$88,15,0)),0,VLOOKUP($T$443,'TAR FIN'!$A$1:$O$88,15,0))</f>
        <v>374.66</v>
      </c>
      <c r="X443" s="6">
        <f>IF(ISERROR(VLOOKUP($U$443,'TAR FIN'!$A$1:$O$88,15,0)),0,VLOOKUP($U$443,'TAR FIN'!$A$1:$O$88,15,0))</f>
        <v>221.96</v>
      </c>
      <c r="Y443" s="6"/>
      <c r="Z443" s="6">
        <f ca="1">('TUSD BE'!$AM$33+'TUSD BF'!$AM$33+'TUSD CVA'!$AM$33)*(1-CUSTOS!$M$38)</f>
        <v>458.58557094695544</v>
      </c>
      <c r="AA443" s="6">
        <f>('TE BE'!$AB$23+'TE BF'!$AB$23+'TE CVA'!$AB$23)*(1-CUSTOS!$M$38)</f>
        <v>236.80902583286482</v>
      </c>
      <c r="AB443" s="6">
        <f>$K$443*$V$443</f>
        <v>0</v>
      </c>
      <c r="AC443" s="6">
        <f>$M$443*$W$443</f>
        <v>62.942880000000009</v>
      </c>
      <c r="AD443" s="6">
        <f>$O$443*$X$443</f>
        <v>37.289280000000005</v>
      </c>
      <c r="AE443" s="6">
        <f>$K$443*$Y$443</f>
        <v>0</v>
      </c>
      <c r="AF443" s="6">
        <f ca="1">$M$443*$Z$443</f>
        <v>77.042375919088514</v>
      </c>
      <c r="AG443" s="6">
        <f>$O$443*$AA$443</f>
        <v>39.783916339921291</v>
      </c>
    </row>
    <row r="444" spans="1:33" ht="11.25" customHeight="1" x14ac:dyDescent="0.25">
      <c r="A444" s="4" t="s">
        <v>28</v>
      </c>
      <c r="B444" s="4" t="s">
        <v>40</v>
      </c>
      <c r="C444" s="4" t="s">
        <v>23</v>
      </c>
      <c r="D444" s="4" t="s">
        <v>41</v>
      </c>
      <c r="E444" s="4" t="s">
        <v>49</v>
      </c>
      <c r="F444" s="4" t="s">
        <v>51</v>
      </c>
      <c r="G444" s="4" t="s">
        <v>25</v>
      </c>
      <c r="H444" s="4" t="s">
        <v>25</v>
      </c>
      <c r="I444" s="5">
        <v>44713</v>
      </c>
      <c r="J444" s="6">
        <v>0</v>
      </c>
      <c r="K444" s="6">
        <v>0</v>
      </c>
      <c r="L444" s="6">
        <v>0.04</v>
      </c>
      <c r="M444" s="6">
        <v>1.6E-2</v>
      </c>
      <c r="N444" s="6">
        <v>0.04</v>
      </c>
      <c r="O444" s="6">
        <v>1.6E-2</v>
      </c>
      <c r="P444" s="6">
        <v>0</v>
      </c>
      <c r="Q444" s="4" t="s">
        <v>26</v>
      </c>
      <c r="R444" s="4">
        <v>0</v>
      </c>
      <c r="S444" s="6">
        <v>0</v>
      </c>
      <c r="T444" s="6">
        <v>33</v>
      </c>
      <c r="U444" s="6">
        <v>72</v>
      </c>
      <c r="V444" s="6">
        <f>IF(ISERROR(VLOOKUP($S$444,'TAR FIN'!$A$1:$O$88,15,0)),0,VLOOKUP($S$444,'TAR FIN'!$A$1:$O$88,15,0))</f>
        <v>0</v>
      </c>
      <c r="W444" s="6">
        <f>IF(ISERROR(VLOOKUP($T$444,'TAR FIN'!$A$1:$O$88,15,0)),0,VLOOKUP($T$444,'TAR FIN'!$A$1:$O$88,15,0))</f>
        <v>374.66</v>
      </c>
      <c r="X444" s="6">
        <f>IF(ISERROR(VLOOKUP($U$444,'TAR FIN'!$A$1:$O$88,15,0)),0,VLOOKUP($U$444,'TAR FIN'!$A$1:$O$88,15,0))</f>
        <v>221.96</v>
      </c>
      <c r="Y444" s="6"/>
      <c r="Z444" s="6">
        <f ca="1">('TUSD BE'!$AM$33+'TUSD BF'!$AM$33+'TUSD CVA'!$AM$33)*(1-CUSTOS!$M$38)</f>
        <v>458.58557094695544</v>
      </c>
      <c r="AA444" s="6">
        <f>('TE BE'!$AB$23+'TE BF'!$AB$23+'TE CVA'!$AB$23)*(1-CUSTOS!$M$38)</f>
        <v>236.80902583286482</v>
      </c>
      <c r="AB444" s="6">
        <f>$K$444*$V$444</f>
        <v>0</v>
      </c>
      <c r="AC444" s="6">
        <f>$M$444*$W$444</f>
        <v>5.9945600000000008</v>
      </c>
      <c r="AD444" s="6">
        <f>$O$444*$X$444</f>
        <v>3.5513600000000003</v>
      </c>
      <c r="AE444" s="6">
        <f>$K$444*$Y$444</f>
        <v>0</v>
      </c>
      <c r="AF444" s="6">
        <f ca="1">$M$444*$Z$444</f>
        <v>7.3373691351512873</v>
      </c>
      <c r="AG444" s="6">
        <f>$O$444*$AA$444</f>
        <v>3.788944413325837</v>
      </c>
    </row>
    <row r="445" spans="1:33" ht="11.25" customHeight="1" x14ac:dyDescent="0.25">
      <c r="A445" s="4" t="s">
        <v>21</v>
      </c>
      <c r="B445" s="4" t="s">
        <v>40</v>
      </c>
      <c r="C445" s="4" t="s">
        <v>23</v>
      </c>
      <c r="D445" s="4" t="s">
        <v>41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44378</v>
      </c>
      <c r="J445" s="6">
        <v>0</v>
      </c>
      <c r="K445" s="6">
        <v>0</v>
      </c>
      <c r="L445" s="6">
        <v>2436.2240000000002</v>
      </c>
      <c r="M445" s="6">
        <v>2436.2240000000002</v>
      </c>
      <c r="N445" s="6">
        <v>2436.2240000000002</v>
      </c>
      <c r="O445" s="6">
        <v>2436.2240000000002</v>
      </c>
      <c r="P445" s="6">
        <v>12117</v>
      </c>
      <c r="Q445" s="4" t="s">
        <v>26</v>
      </c>
      <c r="R445" s="4">
        <v>0</v>
      </c>
      <c r="S445" s="6">
        <v>0</v>
      </c>
      <c r="T445" s="6">
        <v>61</v>
      </c>
      <c r="U445" s="6">
        <v>72</v>
      </c>
      <c r="V445" s="6">
        <f>IF(ISERROR(VLOOKUP($S$445,'TAR FIN'!$A$1:$O$88,15,0)),0,VLOOKUP($S$445,'TAR FIN'!$A$1:$O$88,15,0))</f>
        <v>0</v>
      </c>
      <c r="W445" s="6">
        <f>IF(ISERROR(VLOOKUP($T$445,'TAR FIN'!$A$1:$O$88,15,0)),0,VLOOKUP($T$445,'TAR FIN'!$A$1:$O$88,15,0))</f>
        <v>374.66</v>
      </c>
      <c r="X445" s="6">
        <f>IF(ISERROR(VLOOKUP($U$445,'TAR FIN'!$A$1:$O$88,15,0)),0,VLOOKUP($U$445,'TAR FIN'!$A$1:$O$88,15,0))</f>
        <v>221.96</v>
      </c>
      <c r="Y445" s="6"/>
      <c r="Z445" s="6">
        <f ca="1">('TUSD BE'!$AM$33+'TUSD BF'!$AM$33+'TUSD CVA'!$AM$33)*(1-CUSTOS!$M$38)</f>
        <v>458.58557094695544</v>
      </c>
      <c r="AA445" s="6">
        <f>('TE BE'!$AB$23+'TE BF'!$AB$23+'TE CVA'!$AB$23)*(1-CUSTOS!$M$38)</f>
        <v>236.80902583286482</v>
      </c>
      <c r="AB445" s="6">
        <f>$K$445*$V$445</f>
        <v>0</v>
      </c>
      <c r="AC445" s="6">
        <f>$M$445*$W$445</f>
        <v>912755.68384000007</v>
      </c>
      <c r="AD445" s="6">
        <f>$O$445*$X$445</f>
        <v>540744.27904000005</v>
      </c>
      <c r="AE445" s="6">
        <f>$K$445*$Y$445</f>
        <v>0</v>
      </c>
      <c r="AF445" s="6">
        <f ca="1">$M$445*$Z$445</f>
        <v>1117217.1739946757</v>
      </c>
      <c r="AG445" s="6">
        <f>$O$445*$AA$445</f>
        <v>576919.83215064532</v>
      </c>
    </row>
    <row r="446" spans="1:33" ht="11.25" customHeight="1" x14ac:dyDescent="0.25">
      <c r="A446" s="4" t="s">
        <v>27</v>
      </c>
      <c r="B446" s="4" t="s">
        <v>40</v>
      </c>
      <c r="C446" s="4" t="s">
        <v>23</v>
      </c>
      <c r="D446" s="4" t="s">
        <v>41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44378</v>
      </c>
      <c r="J446" s="6">
        <v>0</v>
      </c>
      <c r="K446" s="6">
        <v>0</v>
      </c>
      <c r="L446" s="6">
        <v>-8.2919999999999998</v>
      </c>
      <c r="M446" s="6">
        <v>-8.2919999999999998</v>
      </c>
      <c r="N446" s="6">
        <v>-8.2919999999999998</v>
      </c>
      <c r="O446" s="6">
        <v>-8.2919999999999998</v>
      </c>
      <c r="P446" s="6">
        <v>0</v>
      </c>
      <c r="Q446" s="4" t="s">
        <v>26</v>
      </c>
      <c r="R446" s="4">
        <v>0</v>
      </c>
      <c r="S446" s="6">
        <v>0</v>
      </c>
      <c r="T446" s="6">
        <v>61</v>
      </c>
      <c r="U446" s="6">
        <v>72</v>
      </c>
      <c r="V446" s="6">
        <f>IF(ISERROR(VLOOKUP($S$446,'TAR FIN'!$A$1:$O$88,15,0)),0,VLOOKUP($S$446,'TAR FIN'!$A$1:$O$88,15,0))</f>
        <v>0</v>
      </c>
      <c r="W446" s="6">
        <f>IF(ISERROR(VLOOKUP($T$446,'TAR FIN'!$A$1:$O$88,15,0)),0,VLOOKUP($T$446,'TAR FIN'!$A$1:$O$88,15,0))</f>
        <v>374.66</v>
      </c>
      <c r="X446" s="6">
        <f>IF(ISERROR(VLOOKUP($U$446,'TAR FIN'!$A$1:$O$88,15,0)),0,VLOOKUP($U$446,'TAR FIN'!$A$1:$O$88,15,0))</f>
        <v>221.96</v>
      </c>
      <c r="Y446" s="6"/>
      <c r="Z446" s="6">
        <f ca="1">('TUSD BE'!$AM$33+'TUSD BF'!$AM$33+'TUSD CVA'!$AM$33)*(1-CUSTOS!$M$38)</f>
        <v>458.58557094695544</v>
      </c>
      <c r="AA446" s="6">
        <f>('TE BE'!$AB$23+'TE BF'!$AB$23+'TE CVA'!$AB$23)*(1-CUSTOS!$M$38)</f>
        <v>236.80902583286482</v>
      </c>
      <c r="AB446" s="6">
        <f>$K$446*$V$446</f>
        <v>0</v>
      </c>
      <c r="AC446" s="6">
        <f>$M$446*$W$446</f>
        <v>-3106.6807200000003</v>
      </c>
      <c r="AD446" s="6">
        <f>$O$446*$X$446</f>
        <v>-1840.4923200000001</v>
      </c>
      <c r="AE446" s="6">
        <f>$K$446*$Y$446</f>
        <v>0</v>
      </c>
      <c r="AF446" s="6">
        <f ca="1">$M$446*$Z$446</f>
        <v>-3802.5915542921543</v>
      </c>
      <c r="AG446" s="6">
        <f>$O$446*$AA$446</f>
        <v>-1963.6204422061151</v>
      </c>
    </row>
    <row r="447" spans="1:33" ht="11.25" customHeight="1" x14ac:dyDescent="0.25">
      <c r="A447" s="4" t="s">
        <v>28</v>
      </c>
      <c r="B447" s="4" t="s">
        <v>40</v>
      </c>
      <c r="C447" s="4" t="s">
        <v>23</v>
      </c>
      <c r="D447" s="4" t="s">
        <v>41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44378</v>
      </c>
      <c r="J447" s="6">
        <v>0</v>
      </c>
      <c r="K447" s="6">
        <v>0</v>
      </c>
      <c r="L447" s="6">
        <v>119.592</v>
      </c>
      <c r="M447" s="6">
        <v>119.592</v>
      </c>
      <c r="N447" s="6">
        <v>119.592</v>
      </c>
      <c r="O447" s="6">
        <v>119.592</v>
      </c>
      <c r="P447" s="6">
        <v>747</v>
      </c>
      <c r="Q447" s="4" t="s">
        <v>26</v>
      </c>
      <c r="R447" s="4">
        <v>0</v>
      </c>
      <c r="S447" s="6">
        <v>0</v>
      </c>
      <c r="T447" s="6">
        <v>61</v>
      </c>
      <c r="U447" s="6">
        <v>72</v>
      </c>
      <c r="V447" s="6">
        <f>IF(ISERROR(VLOOKUP($S$447,'TAR FIN'!$A$1:$O$88,15,0)),0,VLOOKUP($S$447,'TAR FIN'!$A$1:$O$88,15,0))</f>
        <v>0</v>
      </c>
      <c r="W447" s="6">
        <f>IF(ISERROR(VLOOKUP($T$447,'TAR FIN'!$A$1:$O$88,15,0)),0,VLOOKUP($T$447,'TAR FIN'!$A$1:$O$88,15,0))</f>
        <v>374.66</v>
      </c>
      <c r="X447" s="6">
        <f>IF(ISERROR(VLOOKUP($U$447,'TAR FIN'!$A$1:$O$88,15,0)),0,VLOOKUP($U$447,'TAR FIN'!$A$1:$O$88,15,0))</f>
        <v>221.96</v>
      </c>
      <c r="Y447" s="6"/>
      <c r="Z447" s="6">
        <f ca="1">('TUSD BE'!$AM$33+'TUSD BF'!$AM$33+'TUSD CVA'!$AM$33)*(1-CUSTOS!$M$38)</f>
        <v>458.58557094695544</v>
      </c>
      <c r="AA447" s="6">
        <f>('TE BE'!$AB$23+'TE BF'!$AB$23+'TE CVA'!$AB$23)*(1-CUSTOS!$M$38)</f>
        <v>236.80902583286482</v>
      </c>
      <c r="AB447" s="6">
        <f>$K$447*$V$447</f>
        <v>0</v>
      </c>
      <c r="AC447" s="6">
        <f>$M$447*$W$447</f>
        <v>44806.33872</v>
      </c>
      <c r="AD447" s="6">
        <f>$O$447*$X$447</f>
        <v>26544.640320000002</v>
      </c>
      <c r="AE447" s="6">
        <f>$K$447*$Y$447</f>
        <v>0</v>
      </c>
      <c r="AF447" s="6">
        <f ca="1">$M$447*$Z$447</f>
        <v>54843.165600688291</v>
      </c>
      <c r="AG447" s="6">
        <f>$O$447*$AA$447</f>
        <v>28320.465017403971</v>
      </c>
    </row>
    <row r="448" spans="1:33" ht="11.25" customHeight="1" x14ac:dyDescent="0.25">
      <c r="A448" s="4" t="s">
        <v>21</v>
      </c>
      <c r="B448" s="4" t="s">
        <v>40</v>
      </c>
      <c r="C448" s="4" t="s">
        <v>23</v>
      </c>
      <c r="D448" s="4" t="s">
        <v>41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44409</v>
      </c>
      <c r="J448" s="6">
        <v>0</v>
      </c>
      <c r="K448" s="6">
        <v>0</v>
      </c>
      <c r="L448" s="6">
        <v>2560.5230000000001</v>
      </c>
      <c r="M448" s="6">
        <v>2560.5230000000001</v>
      </c>
      <c r="N448" s="6">
        <v>2560.5230000000001</v>
      </c>
      <c r="O448" s="6">
        <v>2560.5230000000001</v>
      </c>
      <c r="P448" s="6">
        <v>12097</v>
      </c>
      <c r="Q448" s="4" t="s">
        <v>26</v>
      </c>
      <c r="R448" s="4">
        <v>0</v>
      </c>
      <c r="S448" s="6">
        <v>0</v>
      </c>
      <c r="T448" s="6">
        <v>61</v>
      </c>
      <c r="U448" s="6">
        <v>72</v>
      </c>
      <c r="V448" s="6">
        <f>IF(ISERROR(VLOOKUP($S$448,'TAR FIN'!$A$1:$O$88,15,0)),0,VLOOKUP($S$448,'TAR FIN'!$A$1:$O$88,15,0))</f>
        <v>0</v>
      </c>
      <c r="W448" s="6">
        <f>IF(ISERROR(VLOOKUP($T$448,'TAR FIN'!$A$1:$O$88,15,0)),0,VLOOKUP($T$448,'TAR FIN'!$A$1:$O$88,15,0))</f>
        <v>374.66</v>
      </c>
      <c r="X448" s="6">
        <f>IF(ISERROR(VLOOKUP($U$448,'TAR FIN'!$A$1:$O$88,15,0)),0,VLOOKUP($U$448,'TAR FIN'!$A$1:$O$88,15,0))</f>
        <v>221.96</v>
      </c>
      <c r="Y448" s="6"/>
      <c r="Z448" s="6">
        <f ca="1">('TUSD BE'!$AM$33+'TUSD BF'!$AM$33+'TUSD CVA'!$AM$33)*(1-CUSTOS!$M$38)</f>
        <v>458.58557094695544</v>
      </c>
      <c r="AA448" s="6">
        <f>('TE BE'!$AB$23+'TE BF'!$AB$23+'TE CVA'!$AB$23)*(1-CUSTOS!$M$38)</f>
        <v>236.80902583286482</v>
      </c>
      <c r="AB448" s="6">
        <f>$K$448*$V$448</f>
        <v>0</v>
      </c>
      <c r="AC448" s="6">
        <f>$M$448*$W$448</f>
        <v>959325.54718000011</v>
      </c>
      <c r="AD448" s="6">
        <f>$O$448*$X$448</f>
        <v>568333.68508000008</v>
      </c>
      <c r="AE448" s="6">
        <f>$K$448*$Y$448</f>
        <v>0</v>
      </c>
      <c r="AF448" s="6">
        <f ca="1">$M$448*$Z$448</f>
        <v>1174218.9018778112</v>
      </c>
      <c r="AG448" s="6">
        <f>$O$448*$AA$448</f>
        <v>606354.95725264458</v>
      </c>
    </row>
    <row r="449" spans="1:33" ht="11.25" customHeight="1" x14ac:dyDescent="0.25">
      <c r="A449" s="4" t="s">
        <v>27</v>
      </c>
      <c r="B449" s="4" t="s">
        <v>40</v>
      </c>
      <c r="C449" s="4" t="s">
        <v>23</v>
      </c>
      <c r="D449" s="4" t="s">
        <v>41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44409</v>
      </c>
      <c r="J449" s="6">
        <v>0</v>
      </c>
      <c r="K449" s="6">
        <v>0</v>
      </c>
      <c r="L449" s="6">
        <v>-2.149</v>
      </c>
      <c r="M449" s="6">
        <v>-2.149</v>
      </c>
      <c r="N449" s="6">
        <v>-2.149</v>
      </c>
      <c r="O449" s="6">
        <v>-2.149</v>
      </c>
      <c r="P449" s="6">
        <v>0</v>
      </c>
      <c r="Q449" s="4" t="s">
        <v>26</v>
      </c>
      <c r="R449" s="4">
        <v>0</v>
      </c>
      <c r="S449" s="6">
        <v>0</v>
      </c>
      <c r="T449" s="6">
        <v>61</v>
      </c>
      <c r="U449" s="6">
        <v>72</v>
      </c>
      <c r="V449" s="6">
        <f>IF(ISERROR(VLOOKUP($S$449,'TAR FIN'!$A$1:$O$88,15,0)),0,VLOOKUP($S$449,'TAR FIN'!$A$1:$O$88,15,0))</f>
        <v>0</v>
      </c>
      <c r="W449" s="6">
        <f>IF(ISERROR(VLOOKUP($T$449,'TAR FIN'!$A$1:$O$88,15,0)),0,VLOOKUP($T$449,'TAR FIN'!$A$1:$O$88,15,0))</f>
        <v>374.66</v>
      </c>
      <c r="X449" s="6">
        <f>IF(ISERROR(VLOOKUP($U$449,'TAR FIN'!$A$1:$O$88,15,0)),0,VLOOKUP($U$449,'TAR FIN'!$A$1:$O$88,15,0))</f>
        <v>221.96</v>
      </c>
      <c r="Y449" s="6"/>
      <c r="Z449" s="6">
        <f ca="1">('TUSD BE'!$AM$33+'TUSD BF'!$AM$33+'TUSD CVA'!$AM$33)*(1-CUSTOS!$M$38)</f>
        <v>458.58557094695544</v>
      </c>
      <c r="AA449" s="6">
        <f>('TE BE'!$AB$23+'TE BF'!$AB$23+'TE CVA'!$AB$23)*(1-CUSTOS!$M$38)</f>
        <v>236.80902583286482</v>
      </c>
      <c r="AB449" s="6">
        <f>$K$449*$V$449</f>
        <v>0</v>
      </c>
      <c r="AC449" s="6">
        <f>$M$449*$W$449</f>
        <v>-805.14434000000006</v>
      </c>
      <c r="AD449" s="6">
        <f>$O$449*$X$449</f>
        <v>-476.99204000000003</v>
      </c>
      <c r="AE449" s="6">
        <f>$K$449*$Y$449</f>
        <v>0</v>
      </c>
      <c r="AF449" s="6">
        <f ca="1">$M$449*$Z$449</f>
        <v>-985.50039196500722</v>
      </c>
      <c r="AG449" s="6">
        <f>$O$449*$AA$449</f>
        <v>-508.90259651482648</v>
      </c>
    </row>
    <row r="450" spans="1:33" ht="11.25" customHeight="1" x14ac:dyDescent="0.25">
      <c r="A450" s="4" t="s">
        <v>28</v>
      </c>
      <c r="B450" s="4" t="s">
        <v>40</v>
      </c>
      <c r="C450" s="4" t="s">
        <v>23</v>
      </c>
      <c r="D450" s="4" t="s">
        <v>41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44409</v>
      </c>
      <c r="J450" s="6">
        <v>0</v>
      </c>
      <c r="K450" s="6">
        <v>0</v>
      </c>
      <c r="L450" s="6">
        <v>102.249</v>
      </c>
      <c r="M450" s="6">
        <v>102.249</v>
      </c>
      <c r="N450" s="6">
        <v>102.249</v>
      </c>
      <c r="O450" s="6">
        <v>102.249</v>
      </c>
      <c r="P450" s="6">
        <v>775</v>
      </c>
      <c r="Q450" s="4" t="s">
        <v>26</v>
      </c>
      <c r="R450" s="4">
        <v>0</v>
      </c>
      <c r="S450" s="6">
        <v>0</v>
      </c>
      <c r="T450" s="6">
        <v>61</v>
      </c>
      <c r="U450" s="6">
        <v>72</v>
      </c>
      <c r="V450" s="6">
        <f>IF(ISERROR(VLOOKUP($S$450,'TAR FIN'!$A$1:$O$88,15,0)),0,VLOOKUP($S$450,'TAR FIN'!$A$1:$O$88,15,0))</f>
        <v>0</v>
      </c>
      <c r="W450" s="6">
        <f>IF(ISERROR(VLOOKUP($T$450,'TAR FIN'!$A$1:$O$88,15,0)),0,VLOOKUP($T$450,'TAR FIN'!$A$1:$O$88,15,0))</f>
        <v>374.66</v>
      </c>
      <c r="X450" s="6">
        <f>IF(ISERROR(VLOOKUP($U$450,'TAR FIN'!$A$1:$O$88,15,0)),0,VLOOKUP($U$450,'TAR FIN'!$A$1:$O$88,15,0))</f>
        <v>221.96</v>
      </c>
      <c r="Y450" s="6"/>
      <c r="Z450" s="6">
        <f ca="1">('TUSD BE'!$AM$33+'TUSD BF'!$AM$33+'TUSD CVA'!$AM$33)*(1-CUSTOS!$M$38)</f>
        <v>458.58557094695544</v>
      </c>
      <c r="AA450" s="6">
        <f>('TE BE'!$AB$23+'TE BF'!$AB$23+'TE CVA'!$AB$23)*(1-CUSTOS!$M$38)</f>
        <v>236.80902583286482</v>
      </c>
      <c r="AB450" s="6">
        <f>$K$450*$V$450</f>
        <v>0</v>
      </c>
      <c r="AC450" s="6">
        <f>$M$450*$W$450</f>
        <v>38308.610339999999</v>
      </c>
      <c r="AD450" s="6">
        <f>$O$450*$X$450</f>
        <v>22695.188040000001</v>
      </c>
      <c r="AE450" s="6">
        <f>$K$450*$Y$450</f>
        <v>0</v>
      </c>
      <c r="AF450" s="6">
        <f ca="1">$M$450*$Z$450</f>
        <v>46889.916043755242</v>
      </c>
      <c r="AG450" s="6">
        <f>$O$450*$AA$450</f>
        <v>24213.486082384592</v>
      </c>
    </row>
    <row r="451" spans="1:33" ht="11.25" customHeight="1" x14ac:dyDescent="0.25">
      <c r="A451" s="4" t="s">
        <v>28</v>
      </c>
      <c r="B451" s="4" t="s">
        <v>40</v>
      </c>
      <c r="C451" s="4" t="s">
        <v>23</v>
      </c>
      <c r="D451" s="4" t="s">
        <v>41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44409</v>
      </c>
      <c r="J451" s="6">
        <v>0</v>
      </c>
      <c r="K451" s="6">
        <v>0</v>
      </c>
      <c r="L451" s="6">
        <v>-0.85499999999999998</v>
      </c>
      <c r="M451" s="6">
        <v>-0.85499999999999998</v>
      </c>
      <c r="N451" s="6">
        <v>-0.85499999999999998</v>
      </c>
      <c r="O451" s="6">
        <v>-0.85499999999999998</v>
      </c>
      <c r="P451" s="6">
        <v>2</v>
      </c>
      <c r="Q451" s="4" t="s">
        <v>26</v>
      </c>
      <c r="R451" s="4">
        <v>0</v>
      </c>
      <c r="S451" s="6">
        <v>0</v>
      </c>
      <c r="T451" s="6">
        <v>61</v>
      </c>
      <c r="U451" s="6">
        <v>72</v>
      </c>
      <c r="V451" s="6">
        <f>IF(ISERROR(VLOOKUP($S$451,'TAR FIN'!$A$1:$O$88,15,0)),0,VLOOKUP($S$451,'TAR FIN'!$A$1:$O$88,15,0))</f>
        <v>0</v>
      </c>
      <c r="W451" s="6">
        <f>IF(ISERROR(VLOOKUP($T$451,'TAR FIN'!$A$1:$O$88,15,0)),0,VLOOKUP($T$451,'TAR FIN'!$A$1:$O$88,15,0))</f>
        <v>374.66</v>
      </c>
      <c r="X451" s="6">
        <f>IF(ISERROR(VLOOKUP($U$451,'TAR FIN'!$A$1:$O$88,15,0)),0,VLOOKUP($U$451,'TAR FIN'!$A$1:$O$88,15,0))</f>
        <v>221.96</v>
      </c>
      <c r="Y451" s="6"/>
      <c r="Z451" s="6">
        <f ca="1">('TUSD BE'!$AM$33+'TUSD BF'!$AM$33+'TUSD CVA'!$AM$33)*(1-CUSTOS!$M$38)</f>
        <v>458.58557094695544</v>
      </c>
      <c r="AA451" s="6">
        <f>('TE BE'!$AB$23+'TE BF'!$AB$23+'TE CVA'!$AB$23)*(1-CUSTOS!$M$38)</f>
        <v>236.80902583286482</v>
      </c>
      <c r="AB451" s="6">
        <f>$K$451*$V$451</f>
        <v>0</v>
      </c>
      <c r="AC451" s="6">
        <f>$M$451*$W$451</f>
        <v>-320.33430000000004</v>
      </c>
      <c r="AD451" s="6">
        <f>$O$451*$X$451</f>
        <v>-189.7758</v>
      </c>
      <c r="AE451" s="6">
        <f>$K$451*$Y$451</f>
        <v>0</v>
      </c>
      <c r="AF451" s="6">
        <f ca="1">$M$451*$Z$451</f>
        <v>-392.09066315964691</v>
      </c>
      <c r="AG451" s="6">
        <f>$O$451*$AA$451</f>
        <v>-202.47171708709942</v>
      </c>
    </row>
    <row r="452" spans="1:33" ht="11.25" customHeight="1" x14ac:dyDescent="0.25">
      <c r="A452" s="4" t="s">
        <v>21</v>
      </c>
      <c r="B452" s="4" t="s">
        <v>40</v>
      </c>
      <c r="C452" s="4" t="s">
        <v>23</v>
      </c>
      <c r="D452" s="4" t="s">
        <v>41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44440</v>
      </c>
      <c r="J452" s="6">
        <v>0</v>
      </c>
      <c r="K452" s="6">
        <v>0</v>
      </c>
      <c r="L452" s="6">
        <v>2550.3969999999999</v>
      </c>
      <c r="M452" s="6">
        <v>2550.3969999999999</v>
      </c>
      <c r="N452" s="6">
        <v>2550.3969999999999</v>
      </c>
      <c r="O452" s="6">
        <v>2550.3969999999999</v>
      </c>
      <c r="P452" s="6">
        <v>12093</v>
      </c>
      <c r="Q452" s="4" t="s">
        <v>26</v>
      </c>
      <c r="R452" s="4">
        <v>0</v>
      </c>
      <c r="S452" s="6">
        <v>0</v>
      </c>
      <c r="T452" s="6">
        <v>61</v>
      </c>
      <c r="U452" s="6">
        <v>72</v>
      </c>
      <c r="V452" s="6">
        <f>IF(ISERROR(VLOOKUP($S$452,'TAR FIN'!$A$1:$O$88,15,0)),0,VLOOKUP($S$452,'TAR FIN'!$A$1:$O$88,15,0))</f>
        <v>0</v>
      </c>
      <c r="W452" s="6">
        <f>IF(ISERROR(VLOOKUP($T$452,'TAR FIN'!$A$1:$O$88,15,0)),0,VLOOKUP($T$452,'TAR FIN'!$A$1:$O$88,15,0))</f>
        <v>374.66</v>
      </c>
      <c r="X452" s="6">
        <f>IF(ISERROR(VLOOKUP($U$452,'TAR FIN'!$A$1:$O$88,15,0)),0,VLOOKUP($U$452,'TAR FIN'!$A$1:$O$88,15,0))</f>
        <v>221.96</v>
      </c>
      <c r="Y452" s="6"/>
      <c r="Z452" s="6">
        <f ca="1">('TUSD BE'!$AM$33+'TUSD BF'!$AM$33+'TUSD CVA'!$AM$33)*(1-CUSTOS!$M$38)</f>
        <v>458.58557094695544</v>
      </c>
      <c r="AA452" s="6">
        <f>('TE BE'!$AB$23+'TE BF'!$AB$23+'TE CVA'!$AB$23)*(1-CUSTOS!$M$38)</f>
        <v>236.80902583286482</v>
      </c>
      <c r="AB452" s="6">
        <f>$K$452*$V$452</f>
        <v>0</v>
      </c>
      <c r="AC452" s="6">
        <f>$M$452*$W$452</f>
        <v>955531.74002000003</v>
      </c>
      <c r="AD452" s="6">
        <f>$O$452*$X$452</f>
        <v>566086.11812</v>
      </c>
      <c r="AE452" s="6">
        <f>$K$452*$Y$452</f>
        <v>0</v>
      </c>
      <c r="AF452" s="6">
        <f ca="1">$M$452*$Z$452</f>
        <v>1169575.2643864022</v>
      </c>
      <c r="AG452" s="6">
        <f>$O$452*$AA$452</f>
        <v>603957.02905706095</v>
      </c>
    </row>
    <row r="453" spans="1:33" ht="11.25" customHeight="1" x14ac:dyDescent="0.25">
      <c r="A453" s="4" t="s">
        <v>27</v>
      </c>
      <c r="B453" s="4" t="s">
        <v>40</v>
      </c>
      <c r="C453" s="4" t="s">
        <v>23</v>
      </c>
      <c r="D453" s="4" t="s">
        <v>41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44440</v>
      </c>
      <c r="J453" s="6">
        <v>0</v>
      </c>
      <c r="K453" s="6">
        <v>0</v>
      </c>
      <c r="L453" s="6">
        <v>-0.878</v>
      </c>
      <c r="M453" s="6">
        <v>-0.878</v>
      </c>
      <c r="N453" s="6">
        <v>-0.878</v>
      </c>
      <c r="O453" s="6">
        <v>-0.878</v>
      </c>
      <c r="P453" s="6">
        <v>0</v>
      </c>
      <c r="Q453" s="4" t="s">
        <v>26</v>
      </c>
      <c r="R453" s="4">
        <v>0</v>
      </c>
      <c r="S453" s="6">
        <v>0</v>
      </c>
      <c r="T453" s="6">
        <v>61</v>
      </c>
      <c r="U453" s="6">
        <v>72</v>
      </c>
      <c r="V453" s="6">
        <f>IF(ISERROR(VLOOKUP($S$453,'TAR FIN'!$A$1:$O$88,15,0)),0,VLOOKUP($S$453,'TAR FIN'!$A$1:$O$88,15,0))</f>
        <v>0</v>
      </c>
      <c r="W453" s="6">
        <f>IF(ISERROR(VLOOKUP($T$453,'TAR FIN'!$A$1:$O$88,15,0)),0,VLOOKUP($T$453,'TAR FIN'!$A$1:$O$88,15,0))</f>
        <v>374.66</v>
      </c>
      <c r="X453" s="6">
        <f>IF(ISERROR(VLOOKUP($U$453,'TAR FIN'!$A$1:$O$88,15,0)),0,VLOOKUP($U$453,'TAR FIN'!$A$1:$O$88,15,0))</f>
        <v>221.96</v>
      </c>
      <c r="Y453" s="6"/>
      <c r="Z453" s="6">
        <f ca="1">('TUSD BE'!$AM$33+'TUSD BF'!$AM$33+'TUSD CVA'!$AM$33)*(1-CUSTOS!$M$38)</f>
        <v>458.58557094695544</v>
      </c>
      <c r="AA453" s="6">
        <f>('TE BE'!$AB$23+'TE BF'!$AB$23+'TE CVA'!$AB$23)*(1-CUSTOS!$M$38)</f>
        <v>236.80902583286482</v>
      </c>
      <c r="AB453" s="6">
        <f>$K$453*$V$453</f>
        <v>0</v>
      </c>
      <c r="AC453" s="6">
        <f>$M$453*$W$453</f>
        <v>-328.95148</v>
      </c>
      <c r="AD453" s="6">
        <f>$O$453*$X$453</f>
        <v>-194.88088000000002</v>
      </c>
      <c r="AE453" s="6">
        <f>$K$453*$Y$453</f>
        <v>0</v>
      </c>
      <c r="AF453" s="6">
        <f ca="1">$M$453*$Z$453</f>
        <v>-402.63813129142687</v>
      </c>
      <c r="AG453" s="6">
        <f>$O$453*$AA$453</f>
        <v>-207.91832468125531</v>
      </c>
    </row>
    <row r="454" spans="1:33" ht="11.25" customHeight="1" x14ac:dyDescent="0.25">
      <c r="A454" s="4" t="s">
        <v>28</v>
      </c>
      <c r="B454" s="4" t="s">
        <v>40</v>
      </c>
      <c r="C454" s="4" t="s">
        <v>23</v>
      </c>
      <c r="D454" s="4" t="s">
        <v>41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44440</v>
      </c>
      <c r="J454" s="6">
        <v>0</v>
      </c>
      <c r="K454" s="6">
        <v>0</v>
      </c>
      <c r="L454" s="6">
        <v>96.396000000000001</v>
      </c>
      <c r="M454" s="6">
        <v>96.396000000000001</v>
      </c>
      <c r="N454" s="6">
        <v>96.396000000000001</v>
      </c>
      <c r="O454" s="6">
        <v>96.396000000000001</v>
      </c>
      <c r="P454" s="6">
        <v>816</v>
      </c>
      <c r="Q454" s="4" t="s">
        <v>26</v>
      </c>
      <c r="R454" s="4">
        <v>0</v>
      </c>
      <c r="S454" s="6">
        <v>0</v>
      </c>
      <c r="T454" s="6">
        <v>61</v>
      </c>
      <c r="U454" s="6">
        <v>72</v>
      </c>
      <c r="V454" s="6">
        <f>IF(ISERROR(VLOOKUP($S$454,'TAR FIN'!$A$1:$O$88,15,0)),0,VLOOKUP($S$454,'TAR FIN'!$A$1:$O$88,15,0))</f>
        <v>0</v>
      </c>
      <c r="W454" s="6">
        <f>IF(ISERROR(VLOOKUP($T$454,'TAR FIN'!$A$1:$O$88,15,0)),0,VLOOKUP($T$454,'TAR FIN'!$A$1:$O$88,15,0))</f>
        <v>374.66</v>
      </c>
      <c r="X454" s="6">
        <f>IF(ISERROR(VLOOKUP($U$454,'TAR FIN'!$A$1:$O$88,15,0)),0,VLOOKUP($U$454,'TAR FIN'!$A$1:$O$88,15,0))</f>
        <v>221.96</v>
      </c>
      <c r="Y454" s="6"/>
      <c r="Z454" s="6">
        <f ca="1">('TUSD BE'!$AM$33+'TUSD BF'!$AM$33+'TUSD CVA'!$AM$33)*(1-CUSTOS!$M$38)</f>
        <v>458.58557094695544</v>
      </c>
      <c r="AA454" s="6">
        <f>('TE BE'!$AB$23+'TE BF'!$AB$23+'TE CVA'!$AB$23)*(1-CUSTOS!$M$38)</f>
        <v>236.80902583286482</v>
      </c>
      <c r="AB454" s="6">
        <f>$K$454*$V$454</f>
        <v>0</v>
      </c>
      <c r="AC454" s="6">
        <f>$M$454*$W$454</f>
        <v>36115.725360000004</v>
      </c>
      <c r="AD454" s="6">
        <f>$O$454*$X$454</f>
        <v>21396.05616</v>
      </c>
      <c r="AE454" s="6">
        <f>$K$454*$Y$454</f>
        <v>0</v>
      </c>
      <c r="AF454" s="6">
        <f ca="1">$M$454*$Z$454</f>
        <v>44205.814697002716</v>
      </c>
      <c r="AG454" s="6">
        <f>$O$454*$AA$454</f>
        <v>22827.442854184836</v>
      </c>
    </row>
    <row r="455" spans="1:33" ht="11.25" customHeight="1" x14ac:dyDescent="0.25">
      <c r="A455" s="4" t="s">
        <v>28</v>
      </c>
      <c r="B455" s="4" t="s">
        <v>40</v>
      </c>
      <c r="C455" s="4" t="s">
        <v>23</v>
      </c>
      <c r="D455" s="4" t="s">
        <v>41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44440</v>
      </c>
      <c r="J455" s="6">
        <v>0</v>
      </c>
      <c r="K455" s="6">
        <v>0</v>
      </c>
      <c r="L455" s="6">
        <v>-0.71099999999999997</v>
      </c>
      <c r="M455" s="6">
        <v>-0.71099999999999997</v>
      </c>
      <c r="N455" s="6">
        <v>-0.71099999999999997</v>
      </c>
      <c r="O455" s="6">
        <v>-0.71099999999999997</v>
      </c>
      <c r="P455" s="6">
        <v>4</v>
      </c>
      <c r="Q455" s="4" t="s">
        <v>26</v>
      </c>
      <c r="R455" s="4">
        <v>0</v>
      </c>
      <c r="S455" s="6">
        <v>0</v>
      </c>
      <c r="T455" s="6">
        <v>61</v>
      </c>
      <c r="U455" s="6">
        <v>72</v>
      </c>
      <c r="V455" s="6">
        <f>IF(ISERROR(VLOOKUP($S$455,'TAR FIN'!$A$1:$O$88,15,0)),0,VLOOKUP($S$455,'TAR FIN'!$A$1:$O$88,15,0))</f>
        <v>0</v>
      </c>
      <c r="W455" s="6">
        <f>IF(ISERROR(VLOOKUP($T$455,'TAR FIN'!$A$1:$O$88,15,0)),0,VLOOKUP($T$455,'TAR FIN'!$A$1:$O$88,15,0))</f>
        <v>374.66</v>
      </c>
      <c r="X455" s="6">
        <f>IF(ISERROR(VLOOKUP($U$455,'TAR FIN'!$A$1:$O$88,15,0)),0,VLOOKUP($U$455,'TAR FIN'!$A$1:$O$88,15,0))</f>
        <v>221.96</v>
      </c>
      <c r="Y455" s="6"/>
      <c r="Z455" s="6">
        <f ca="1">('TUSD BE'!$AM$33+'TUSD BF'!$AM$33+'TUSD CVA'!$AM$33)*(1-CUSTOS!$M$38)</f>
        <v>458.58557094695544</v>
      </c>
      <c r="AA455" s="6">
        <f>('TE BE'!$AB$23+'TE BF'!$AB$23+'TE CVA'!$AB$23)*(1-CUSTOS!$M$38)</f>
        <v>236.80902583286482</v>
      </c>
      <c r="AB455" s="6">
        <f>$K$455*$V$455</f>
        <v>0</v>
      </c>
      <c r="AC455" s="6">
        <f>$M$455*$W$455</f>
        <v>-266.38326000000001</v>
      </c>
      <c r="AD455" s="6">
        <f>$O$455*$X$455</f>
        <v>-157.81356</v>
      </c>
      <c r="AE455" s="6">
        <f>$K$455*$Y$455</f>
        <v>0</v>
      </c>
      <c r="AF455" s="6">
        <f ca="1">$M$455*$Z$455</f>
        <v>-326.0543409432853</v>
      </c>
      <c r="AG455" s="6">
        <f>$O$455*$AA$455</f>
        <v>-168.37121736716688</v>
      </c>
    </row>
    <row r="456" spans="1:33" ht="11.25" customHeight="1" x14ac:dyDescent="0.25">
      <c r="A456" s="4" t="s">
        <v>21</v>
      </c>
      <c r="B456" s="4" t="s">
        <v>40</v>
      </c>
      <c r="C456" s="4" t="s">
        <v>23</v>
      </c>
      <c r="D456" s="4" t="s">
        <v>41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44470</v>
      </c>
      <c r="J456" s="6">
        <v>0</v>
      </c>
      <c r="K456" s="6">
        <v>0</v>
      </c>
      <c r="L456" s="6">
        <v>2682.5039999999999</v>
      </c>
      <c r="M456" s="6">
        <v>2682.5039999999999</v>
      </c>
      <c r="N456" s="6">
        <v>2682.5039999999999</v>
      </c>
      <c r="O456" s="6">
        <v>2682.5039999999999</v>
      </c>
      <c r="P456" s="6">
        <v>12094</v>
      </c>
      <c r="Q456" s="4" t="s">
        <v>26</v>
      </c>
      <c r="R456" s="4">
        <v>0</v>
      </c>
      <c r="S456" s="6">
        <v>0</v>
      </c>
      <c r="T456" s="6">
        <v>61</v>
      </c>
      <c r="U456" s="6">
        <v>72</v>
      </c>
      <c r="V456" s="6">
        <f>IF(ISERROR(VLOOKUP($S$456,'TAR FIN'!$A$1:$O$88,15,0)),0,VLOOKUP($S$456,'TAR FIN'!$A$1:$O$88,15,0))</f>
        <v>0</v>
      </c>
      <c r="W456" s="6">
        <f>IF(ISERROR(VLOOKUP($T$456,'TAR FIN'!$A$1:$O$88,15,0)),0,VLOOKUP($T$456,'TAR FIN'!$A$1:$O$88,15,0))</f>
        <v>374.66</v>
      </c>
      <c r="X456" s="6">
        <f>IF(ISERROR(VLOOKUP($U$456,'TAR FIN'!$A$1:$O$88,15,0)),0,VLOOKUP($U$456,'TAR FIN'!$A$1:$O$88,15,0))</f>
        <v>221.96</v>
      </c>
      <c r="Y456" s="6"/>
      <c r="Z456" s="6">
        <f ca="1">('TUSD BE'!$AM$33+'TUSD BF'!$AM$33+'TUSD CVA'!$AM$33)*(1-CUSTOS!$M$38)</f>
        <v>458.58557094695544</v>
      </c>
      <c r="AA456" s="6">
        <f>('TE BE'!$AB$23+'TE BF'!$AB$23+'TE CVA'!$AB$23)*(1-CUSTOS!$M$38)</f>
        <v>236.80902583286482</v>
      </c>
      <c r="AB456" s="6">
        <f>$K$456*$V$456</f>
        <v>0</v>
      </c>
      <c r="AC456" s="6">
        <f>$M$456*$W$456</f>
        <v>1005026.9486400001</v>
      </c>
      <c r="AD456" s="6">
        <f>$O$456*$X$456</f>
        <v>595408.58784000005</v>
      </c>
      <c r="AE456" s="6">
        <f>$K$456*$Y$456</f>
        <v>0</v>
      </c>
      <c r="AF456" s="6">
        <f ca="1">$M$456*$Z$456</f>
        <v>1230157.6284074916</v>
      </c>
      <c r="AG456" s="6">
        <f>$O$456*$AA$456</f>
        <v>635241.15903276321</v>
      </c>
    </row>
    <row r="457" spans="1:33" ht="11.25" customHeight="1" x14ac:dyDescent="0.25">
      <c r="A457" s="4" t="s">
        <v>27</v>
      </c>
      <c r="B457" s="4" t="s">
        <v>40</v>
      </c>
      <c r="C457" s="4" t="s">
        <v>23</v>
      </c>
      <c r="D457" s="4" t="s">
        <v>41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44470</v>
      </c>
      <c r="J457" s="6">
        <v>0</v>
      </c>
      <c r="K457" s="6">
        <v>0</v>
      </c>
      <c r="L457" s="6">
        <v>-3.08</v>
      </c>
      <c r="M457" s="6">
        <v>-3.08</v>
      </c>
      <c r="N457" s="6">
        <v>-3.08</v>
      </c>
      <c r="O457" s="6">
        <v>-3.08</v>
      </c>
      <c r="P457" s="6">
        <v>0</v>
      </c>
      <c r="Q457" s="4" t="s">
        <v>26</v>
      </c>
      <c r="R457" s="4">
        <v>0</v>
      </c>
      <c r="S457" s="6">
        <v>0</v>
      </c>
      <c r="T457" s="6">
        <v>61</v>
      </c>
      <c r="U457" s="6">
        <v>72</v>
      </c>
      <c r="V457" s="6">
        <f>IF(ISERROR(VLOOKUP($S$457,'TAR FIN'!$A$1:$O$88,15,0)),0,VLOOKUP($S$457,'TAR FIN'!$A$1:$O$88,15,0))</f>
        <v>0</v>
      </c>
      <c r="W457" s="6">
        <f>IF(ISERROR(VLOOKUP($T$457,'TAR FIN'!$A$1:$O$88,15,0)),0,VLOOKUP($T$457,'TAR FIN'!$A$1:$O$88,15,0))</f>
        <v>374.66</v>
      </c>
      <c r="X457" s="6">
        <f>IF(ISERROR(VLOOKUP($U$457,'TAR FIN'!$A$1:$O$88,15,0)),0,VLOOKUP($U$457,'TAR FIN'!$A$1:$O$88,15,0))</f>
        <v>221.96</v>
      </c>
      <c r="Y457" s="6"/>
      <c r="Z457" s="6">
        <f ca="1">('TUSD BE'!$AM$33+'TUSD BF'!$AM$33+'TUSD CVA'!$AM$33)*(1-CUSTOS!$M$38)</f>
        <v>458.58557094695544</v>
      </c>
      <c r="AA457" s="6">
        <f>('TE BE'!$AB$23+'TE BF'!$AB$23+'TE CVA'!$AB$23)*(1-CUSTOS!$M$38)</f>
        <v>236.80902583286482</v>
      </c>
      <c r="AB457" s="6">
        <f>$K$457*$V$457</f>
        <v>0</v>
      </c>
      <c r="AC457" s="6">
        <f>$M$457*$W$457</f>
        <v>-1153.9528</v>
      </c>
      <c r="AD457" s="6">
        <f>$O$457*$X$457</f>
        <v>-683.63679999999999</v>
      </c>
      <c r="AE457" s="6">
        <f>$K$457*$Y$457</f>
        <v>0</v>
      </c>
      <c r="AF457" s="6">
        <f ca="1">$M$457*$Z$457</f>
        <v>-1412.4435585166227</v>
      </c>
      <c r="AG457" s="6">
        <f>$O$457*$AA$457</f>
        <v>-729.37179956522368</v>
      </c>
    </row>
    <row r="458" spans="1:33" ht="11.25" customHeight="1" x14ac:dyDescent="0.25">
      <c r="A458" s="4" t="s">
        <v>28</v>
      </c>
      <c r="B458" s="4" t="s">
        <v>40</v>
      </c>
      <c r="C458" s="4" t="s">
        <v>23</v>
      </c>
      <c r="D458" s="4" t="s">
        <v>41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44470</v>
      </c>
      <c r="J458" s="6">
        <v>0</v>
      </c>
      <c r="K458" s="6">
        <v>0</v>
      </c>
      <c r="L458" s="6">
        <v>83.722999999999999</v>
      </c>
      <c r="M458" s="6">
        <v>83.722999999999999</v>
      </c>
      <c r="N458" s="6">
        <v>83.722999999999999</v>
      </c>
      <c r="O458" s="6">
        <v>83.722999999999999</v>
      </c>
      <c r="P458" s="6">
        <v>843</v>
      </c>
      <c r="Q458" s="4" t="s">
        <v>26</v>
      </c>
      <c r="R458" s="4">
        <v>0</v>
      </c>
      <c r="S458" s="6">
        <v>0</v>
      </c>
      <c r="T458" s="6">
        <v>61</v>
      </c>
      <c r="U458" s="6">
        <v>72</v>
      </c>
      <c r="V458" s="6">
        <f>IF(ISERROR(VLOOKUP($S$458,'TAR FIN'!$A$1:$O$88,15,0)),0,VLOOKUP($S$458,'TAR FIN'!$A$1:$O$88,15,0))</f>
        <v>0</v>
      </c>
      <c r="W458" s="6">
        <f>IF(ISERROR(VLOOKUP($T$458,'TAR FIN'!$A$1:$O$88,15,0)),0,VLOOKUP($T$458,'TAR FIN'!$A$1:$O$88,15,0))</f>
        <v>374.66</v>
      </c>
      <c r="X458" s="6">
        <f>IF(ISERROR(VLOOKUP($U$458,'TAR FIN'!$A$1:$O$88,15,0)),0,VLOOKUP($U$458,'TAR FIN'!$A$1:$O$88,15,0))</f>
        <v>221.96</v>
      </c>
      <c r="Y458" s="6"/>
      <c r="Z458" s="6">
        <f ca="1">('TUSD BE'!$AM$33+'TUSD BF'!$AM$33+'TUSD CVA'!$AM$33)*(1-CUSTOS!$M$38)</f>
        <v>458.58557094695544</v>
      </c>
      <c r="AA458" s="6">
        <f>('TE BE'!$AB$23+'TE BF'!$AB$23+'TE CVA'!$AB$23)*(1-CUSTOS!$M$38)</f>
        <v>236.80902583286482</v>
      </c>
      <c r="AB458" s="6">
        <f>$K$458*$V$458</f>
        <v>0</v>
      </c>
      <c r="AC458" s="6">
        <f>$M$458*$W$458</f>
        <v>31367.659180000002</v>
      </c>
      <c r="AD458" s="6">
        <f>$O$458*$X$458</f>
        <v>18583.157080000001</v>
      </c>
      <c r="AE458" s="6">
        <f>$K$458*$Y$458</f>
        <v>0</v>
      </c>
      <c r="AF458" s="6">
        <f ca="1">$M$458*$Z$458</f>
        <v>38394.159756391949</v>
      </c>
      <c r="AG458" s="6">
        <f>$O$458*$AA$458</f>
        <v>19826.362069804942</v>
      </c>
    </row>
    <row r="459" spans="1:33" ht="11.25" customHeight="1" x14ac:dyDescent="0.25">
      <c r="A459" s="4" t="s">
        <v>21</v>
      </c>
      <c r="B459" s="4" t="s">
        <v>40</v>
      </c>
      <c r="C459" s="4" t="s">
        <v>23</v>
      </c>
      <c r="D459" s="4" t="s">
        <v>41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44501</v>
      </c>
      <c r="J459" s="6">
        <v>0</v>
      </c>
      <c r="K459" s="6">
        <v>0</v>
      </c>
      <c r="L459" s="6">
        <v>3795.2049999999999</v>
      </c>
      <c r="M459" s="6">
        <v>3795.2049999999999</v>
      </c>
      <c r="N459" s="6">
        <v>3795.2049999999999</v>
      </c>
      <c r="O459" s="6">
        <v>3795.2049999999999</v>
      </c>
      <c r="P459" s="6">
        <v>12103</v>
      </c>
      <c r="Q459" s="4" t="s">
        <v>26</v>
      </c>
      <c r="R459" s="4">
        <v>0</v>
      </c>
      <c r="S459" s="6">
        <v>0</v>
      </c>
      <c r="T459" s="6">
        <v>61</v>
      </c>
      <c r="U459" s="6">
        <v>72</v>
      </c>
      <c r="V459" s="6">
        <f>IF(ISERROR(VLOOKUP($S$459,'TAR FIN'!$A$1:$O$88,15,0)),0,VLOOKUP($S$459,'TAR FIN'!$A$1:$O$88,15,0))</f>
        <v>0</v>
      </c>
      <c r="W459" s="6">
        <f>IF(ISERROR(VLOOKUP($T$459,'TAR FIN'!$A$1:$O$88,15,0)),0,VLOOKUP($T$459,'TAR FIN'!$A$1:$O$88,15,0))</f>
        <v>374.66</v>
      </c>
      <c r="X459" s="6">
        <f>IF(ISERROR(VLOOKUP($U$459,'TAR FIN'!$A$1:$O$88,15,0)),0,VLOOKUP($U$459,'TAR FIN'!$A$1:$O$88,15,0))</f>
        <v>221.96</v>
      </c>
      <c r="Y459" s="6"/>
      <c r="Z459" s="6">
        <f ca="1">('TUSD BE'!$AM$33+'TUSD BF'!$AM$33+'TUSD CVA'!$AM$33)*(1-CUSTOS!$M$38)</f>
        <v>458.58557094695544</v>
      </c>
      <c r="AA459" s="6">
        <f>('TE BE'!$AB$23+'TE BF'!$AB$23+'TE CVA'!$AB$23)*(1-CUSTOS!$M$38)</f>
        <v>236.80902583286482</v>
      </c>
      <c r="AB459" s="6">
        <f>$K$459*$V$459</f>
        <v>0</v>
      </c>
      <c r="AC459" s="6">
        <f>$M$459*$W$459</f>
        <v>1421911.5053000001</v>
      </c>
      <c r="AD459" s="6">
        <f>$O$459*$X$459</f>
        <v>842383.70180000004</v>
      </c>
      <c r="AE459" s="6">
        <f>$K$459*$Y$459</f>
        <v>0</v>
      </c>
      <c r="AF459" s="6">
        <f ca="1">$M$459*$Z$459</f>
        <v>1740426.25178574</v>
      </c>
      <c r="AG459" s="6">
        <f>$O$459*$AA$459</f>
        <v>898738.79888601776</v>
      </c>
    </row>
    <row r="460" spans="1:33" ht="11.25" customHeight="1" x14ac:dyDescent="0.25">
      <c r="A460" s="4" t="s">
        <v>27</v>
      </c>
      <c r="B460" s="4" t="s">
        <v>40</v>
      </c>
      <c r="C460" s="4" t="s">
        <v>23</v>
      </c>
      <c r="D460" s="4" t="s">
        <v>41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44501</v>
      </c>
      <c r="J460" s="6">
        <v>0</v>
      </c>
      <c r="K460" s="6">
        <v>0</v>
      </c>
      <c r="L460" s="6">
        <v>-8.1120000000000001</v>
      </c>
      <c r="M460" s="6">
        <v>-8.1120000000000001</v>
      </c>
      <c r="N460" s="6">
        <v>-8.1120000000000001</v>
      </c>
      <c r="O460" s="6">
        <v>-8.1120000000000001</v>
      </c>
      <c r="P460" s="6">
        <v>0</v>
      </c>
      <c r="Q460" s="4" t="s">
        <v>26</v>
      </c>
      <c r="R460" s="4">
        <v>0</v>
      </c>
      <c r="S460" s="6">
        <v>0</v>
      </c>
      <c r="T460" s="6">
        <v>61</v>
      </c>
      <c r="U460" s="6">
        <v>72</v>
      </c>
      <c r="V460" s="6">
        <f>IF(ISERROR(VLOOKUP($S$460,'TAR FIN'!$A$1:$O$88,15,0)),0,VLOOKUP($S$460,'TAR FIN'!$A$1:$O$88,15,0))</f>
        <v>0</v>
      </c>
      <c r="W460" s="6">
        <f>IF(ISERROR(VLOOKUP($T$460,'TAR FIN'!$A$1:$O$88,15,0)),0,VLOOKUP($T$460,'TAR FIN'!$A$1:$O$88,15,0))</f>
        <v>374.66</v>
      </c>
      <c r="X460" s="6">
        <f>IF(ISERROR(VLOOKUP($U$460,'TAR FIN'!$A$1:$O$88,15,0)),0,VLOOKUP($U$460,'TAR FIN'!$A$1:$O$88,15,0))</f>
        <v>221.96</v>
      </c>
      <c r="Y460" s="6"/>
      <c r="Z460" s="6">
        <f ca="1">('TUSD BE'!$AM$33+'TUSD BF'!$AM$33+'TUSD CVA'!$AM$33)*(1-CUSTOS!$M$38)</f>
        <v>458.58557094695544</v>
      </c>
      <c r="AA460" s="6">
        <f>('TE BE'!$AB$23+'TE BF'!$AB$23+'TE CVA'!$AB$23)*(1-CUSTOS!$M$38)</f>
        <v>236.80902583286482</v>
      </c>
      <c r="AB460" s="6">
        <f>$K$460*$V$460</f>
        <v>0</v>
      </c>
      <c r="AC460" s="6">
        <f>$M$460*$W$460</f>
        <v>-3039.2419200000004</v>
      </c>
      <c r="AD460" s="6">
        <f>$O$460*$X$460</f>
        <v>-1800.53952</v>
      </c>
      <c r="AE460" s="6">
        <f>$K$460*$Y$460</f>
        <v>0</v>
      </c>
      <c r="AF460" s="6">
        <f ca="1">$M$460*$Z$460</f>
        <v>-3720.0461515217025</v>
      </c>
      <c r="AG460" s="6">
        <f>$O$460*$AA$460</f>
        <v>-1920.9948175561995</v>
      </c>
    </row>
    <row r="461" spans="1:33" ht="11.25" customHeight="1" x14ac:dyDescent="0.25">
      <c r="A461" s="4" t="s">
        <v>28</v>
      </c>
      <c r="B461" s="4" t="s">
        <v>40</v>
      </c>
      <c r="C461" s="4" t="s">
        <v>23</v>
      </c>
      <c r="D461" s="4" t="s">
        <v>41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44501</v>
      </c>
      <c r="J461" s="6">
        <v>0</v>
      </c>
      <c r="K461" s="6">
        <v>0</v>
      </c>
      <c r="L461" s="6">
        <v>108.008</v>
      </c>
      <c r="M461" s="6">
        <v>108.008</v>
      </c>
      <c r="N461" s="6">
        <v>108.008</v>
      </c>
      <c r="O461" s="6">
        <v>108.008</v>
      </c>
      <c r="P461" s="6">
        <v>878</v>
      </c>
      <c r="Q461" s="4" t="s">
        <v>26</v>
      </c>
      <c r="R461" s="4">
        <v>0</v>
      </c>
      <c r="S461" s="6">
        <v>0</v>
      </c>
      <c r="T461" s="6">
        <v>61</v>
      </c>
      <c r="U461" s="6">
        <v>72</v>
      </c>
      <c r="V461" s="6">
        <f>IF(ISERROR(VLOOKUP($S$461,'TAR FIN'!$A$1:$O$88,15,0)),0,VLOOKUP($S$461,'TAR FIN'!$A$1:$O$88,15,0))</f>
        <v>0</v>
      </c>
      <c r="W461" s="6">
        <f>IF(ISERROR(VLOOKUP($T$461,'TAR FIN'!$A$1:$O$88,15,0)),0,VLOOKUP($T$461,'TAR FIN'!$A$1:$O$88,15,0))</f>
        <v>374.66</v>
      </c>
      <c r="X461" s="6">
        <f>IF(ISERROR(VLOOKUP($U$461,'TAR FIN'!$A$1:$O$88,15,0)),0,VLOOKUP($U$461,'TAR FIN'!$A$1:$O$88,15,0))</f>
        <v>221.96</v>
      </c>
      <c r="Y461" s="6"/>
      <c r="Z461" s="6">
        <f ca="1">('TUSD BE'!$AM$33+'TUSD BF'!$AM$33+'TUSD CVA'!$AM$33)*(1-CUSTOS!$M$38)</f>
        <v>458.58557094695544</v>
      </c>
      <c r="AA461" s="6">
        <f>('TE BE'!$AB$23+'TE BF'!$AB$23+'TE CVA'!$AB$23)*(1-CUSTOS!$M$38)</f>
        <v>236.80902583286482</v>
      </c>
      <c r="AB461" s="6">
        <f>$K$461*$V$461</f>
        <v>0</v>
      </c>
      <c r="AC461" s="6">
        <f>$M$461*$W$461</f>
        <v>40466.277280000002</v>
      </c>
      <c r="AD461" s="6">
        <f>$O$461*$X$461</f>
        <v>23973.455679999999</v>
      </c>
      <c r="AE461" s="6">
        <f>$K$461*$Y$461</f>
        <v>0</v>
      </c>
      <c r="AF461" s="6">
        <f ca="1">$M$461*$Z$461</f>
        <v>49530.910346838762</v>
      </c>
      <c r="AG461" s="6">
        <f>$O$461*$AA$461</f>
        <v>25577.269262156064</v>
      </c>
    </row>
    <row r="462" spans="1:33" ht="11.25" customHeight="1" x14ac:dyDescent="0.25">
      <c r="A462" s="4" t="s">
        <v>21</v>
      </c>
      <c r="B462" s="4" t="s">
        <v>40</v>
      </c>
      <c r="C462" s="4" t="s">
        <v>23</v>
      </c>
      <c r="D462" s="4" t="s">
        <v>41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44531</v>
      </c>
      <c r="J462" s="6">
        <v>0</v>
      </c>
      <c r="K462" s="6">
        <v>0</v>
      </c>
      <c r="L462" s="6">
        <v>4691.0370000000003</v>
      </c>
      <c r="M462" s="6">
        <v>4691.0370000000003</v>
      </c>
      <c r="N462" s="6">
        <v>4691.0370000000003</v>
      </c>
      <c r="O462" s="6">
        <v>4691.0370000000003</v>
      </c>
      <c r="P462" s="6">
        <v>12147</v>
      </c>
      <c r="Q462" s="4" t="s">
        <v>26</v>
      </c>
      <c r="R462" s="4">
        <v>0</v>
      </c>
      <c r="S462" s="6">
        <v>0</v>
      </c>
      <c r="T462" s="6">
        <v>61</v>
      </c>
      <c r="U462" s="6">
        <v>72</v>
      </c>
      <c r="V462" s="6">
        <f>IF(ISERROR(VLOOKUP($S$462,'TAR FIN'!$A$1:$O$88,15,0)),0,VLOOKUP($S$462,'TAR FIN'!$A$1:$O$88,15,0))</f>
        <v>0</v>
      </c>
      <c r="W462" s="6">
        <f>IF(ISERROR(VLOOKUP($T$462,'TAR FIN'!$A$1:$O$88,15,0)),0,VLOOKUP($T$462,'TAR FIN'!$A$1:$O$88,15,0))</f>
        <v>374.66</v>
      </c>
      <c r="X462" s="6">
        <f>IF(ISERROR(VLOOKUP($U$462,'TAR FIN'!$A$1:$O$88,15,0)),0,VLOOKUP($U$462,'TAR FIN'!$A$1:$O$88,15,0))</f>
        <v>221.96</v>
      </c>
      <c r="Y462" s="6"/>
      <c r="Z462" s="6">
        <f ca="1">('TUSD BE'!$AM$33+'TUSD BF'!$AM$33+'TUSD CVA'!$AM$33)*(1-CUSTOS!$M$38)</f>
        <v>458.58557094695544</v>
      </c>
      <c r="AA462" s="6">
        <f>('TE BE'!$AB$23+'TE BF'!$AB$23+'TE CVA'!$AB$23)*(1-CUSTOS!$M$38)</f>
        <v>236.80902583286482</v>
      </c>
      <c r="AB462" s="6">
        <f>$K$462*$V$462</f>
        <v>0</v>
      </c>
      <c r="AC462" s="6">
        <f>$M$462*$W$462</f>
        <v>1757543.9224200002</v>
      </c>
      <c r="AD462" s="6">
        <f>$O$462*$X$462</f>
        <v>1041222.57252</v>
      </c>
      <c r="AE462" s="6">
        <f>$K$462*$Y$462</f>
        <v>0</v>
      </c>
      <c r="AF462" s="6">
        <f ca="1">$M$462*$Z$462</f>
        <v>2151241.8809782933</v>
      </c>
      <c r="AG462" s="6">
        <f>$O$462*$AA$462</f>
        <v>1110879.9021159247</v>
      </c>
    </row>
    <row r="463" spans="1:33" ht="11.25" customHeight="1" x14ac:dyDescent="0.25">
      <c r="A463" s="4" t="s">
        <v>27</v>
      </c>
      <c r="B463" s="4" t="s">
        <v>40</v>
      </c>
      <c r="C463" s="4" t="s">
        <v>23</v>
      </c>
      <c r="D463" s="4" t="s">
        <v>41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44531</v>
      </c>
      <c r="J463" s="6">
        <v>0</v>
      </c>
      <c r="K463" s="6">
        <v>0</v>
      </c>
      <c r="L463" s="6">
        <v>-2.028</v>
      </c>
      <c r="M463" s="6">
        <v>-2.028</v>
      </c>
      <c r="N463" s="6">
        <v>-2.028</v>
      </c>
      <c r="O463" s="6">
        <v>-2.028</v>
      </c>
      <c r="P463" s="6">
        <v>0</v>
      </c>
      <c r="Q463" s="4" t="s">
        <v>26</v>
      </c>
      <c r="R463" s="4">
        <v>0</v>
      </c>
      <c r="S463" s="6">
        <v>0</v>
      </c>
      <c r="T463" s="6">
        <v>61</v>
      </c>
      <c r="U463" s="6">
        <v>72</v>
      </c>
      <c r="V463" s="6">
        <f>IF(ISERROR(VLOOKUP($S$463,'TAR FIN'!$A$1:$O$88,15,0)),0,VLOOKUP($S$463,'TAR FIN'!$A$1:$O$88,15,0))</f>
        <v>0</v>
      </c>
      <c r="W463" s="6">
        <f>IF(ISERROR(VLOOKUP($T$463,'TAR FIN'!$A$1:$O$88,15,0)),0,VLOOKUP($T$463,'TAR FIN'!$A$1:$O$88,15,0))</f>
        <v>374.66</v>
      </c>
      <c r="X463" s="6">
        <f>IF(ISERROR(VLOOKUP($U$463,'TAR FIN'!$A$1:$O$88,15,0)),0,VLOOKUP($U$463,'TAR FIN'!$A$1:$O$88,15,0))</f>
        <v>221.96</v>
      </c>
      <c r="Y463" s="6"/>
      <c r="Z463" s="6">
        <f ca="1">('TUSD BE'!$AM$33+'TUSD BF'!$AM$33+'TUSD CVA'!$AM$33)*(1-CUSTOS!$M$38)</f>
        <v>458.58557094695544</v>
      </c>
      <c r="AA463" s="6">
        <f>('TE BE'!$AB$23+'TE BF'!$AB$23+'TE CVA'!$AB$23)*(1-CUSTOS!$M$38)</f>
        <v>236.80902583286482</v>
      </c>
      <c r="AB463" s="6">
        <f>$K$463*$V$463</f>
        <v>0</v>
      </c>
      <c r="AC463" s="6">
        <f>$M$463*$W$463</f>
        <v>-759.8104800000001</v>
      </c>
      <c r="AD463" s="6">
        <f>$O$463*$X$463</f>
        <v>-450.13488000000001</v>
      </c>
      <c r="AE463" s="6">
        <f>$K$463*$Y$463</f>
        <v>0</v>
      </c>
      <c r="AF463" s="6">
        <f ca="1">$M$463*$Z$463</f>
        <v>-930.01153788042564</v>
      </c>
      <c r="AG463" s="6">
        <f>$O$463*$AA$463</f>
        <v>-480.24870438904986</v>
      </c>
    </row>
    <row r="464" spans="1:33" ht="11.25" customHeight="1" x14ac:dyDescent="0.25">
      <c r="A464" s="4" t="s">
        <v>28</v>
      </c>
      <c r="B464" s="4" t="s">
        <v>40</v>
      </c>
      <c r="C464" s="4" t="s">
        <v>23</v>
      </c>
      <c r="D464" s="4" t="s">
        <v>41</v>
      </c>
      <c r="E464" s="4" t="s">
        <v>25</v>
      </c>
      <c r="F464" s="4" t="s">
        <v>25</v>
      </c>
      <c r="G464" s="4" t="s">
        <v>25</v>
      </c>
      <c r="H464" s="4" t="s">
        <v>25</v>
      </c>
      <c r="I464" s="5">
        <v>44531</v>
      </c>
      <c r="J464" s="6">
        <v>0</v>
      </c>
      <c r="K464" s="6">
        <v>0</v>
      </c>
      <c r="L464" s="6">
        <v>162.435</v>
      </c>
      <c r="M464" s="6">
        <v>162.435</v>
      </c>
      <c r="N464" s="6">
        <v>162.435</v>
      </c>
      <c r="O464" s="6">
        <v>162.435</v>
      </c>
      <c r="P464" s="6">
        <v>895</v>
      </c>
      <c r="Q464" s="4" t="s">
        <v>26</v>
      </c>
      <c r="R464" s="4">
        <v>0</v>
      </c>
      <c r="S464" s="6">
        <v>0</v>
      </c>
      <c r="T464" s="6">
        <v>61</v>
      </c>
      <c r="U464" s="6">
        <v>72</v>
      </c>
      <c r="V464" s="6">
        <f>IF(ISERROR(VLOOKUP($S$464,'TAR FIN'!$A$1:$O$88,15,0)),0,VLOOKUP($S$464,'TAR FIN'!$A$1:$O$88,15,0))</f>
        <v>0</v>
      </c>
      <c r="W464" s="6">
        <f>IF(ISERROR(VLOOKUP($T$464,'TAR FIN'!$A$1:$O$88,15,0)),0,VLOOKUP($T$464,'TAR FIN'!$A$1:$O$88,15,0))</f>
        <v>374.66</v>
      </c>
      <c r="X464" s="6">
        <f>IF(ISERROR(VLOOKUP($U$464,'TAR FIN'!$A$1:$O$88,15,0)),0,VLOOKUP($U$464,'TAR FIN'!$A$1:$O$88,15,0))</f>
        <v>221.96</v>
      </c>
      <c r="Y464" s="6"/>
      <c r="Z464" s="6">
        <f ca="1">('TUSD BE'!$AM$33+'TUSD BF'!$AM$33+'TUSD CVA'!$AM$33)*(1-CUSTOS!$M$38)</f>
        <v>458.58557094695544</v>
      </c>
      <c r="AA464" s="6">
        <f>('TE BE'!$AB$23+'TE BF'!$AB$23+'TE CVA'!$AB$23)*(1-CUSTOS!$M$38)</f>
        <v>236.80902583286482</v>
      </c>
      <c r="AB464" s="6">
        <f>$K$464*$V$464</f>
        <v>0</v>
      </c>
      <c r="AC464" s="6">
        <f>$M$464*$W$464</f>
        <v>60857.897100000002</v>
      </c>
      <c r="AD464" s="6">
        <f>$O$464*$X$464</f>
        <v>36054.0726</v>
      </c>
      <c r="AE464" s="6">
        <f>$K$464*$Y$464</f>
        <v>0</v>
      </c>
      <c r="AF464" s="6">
        <f ca="1">$M$464*$Z$464</f>
        <v>74490.347216768714</v>
      </c>
      <c r="AG464" s="6">
        <f>$O$464*$AA$464</f>
        <v>38466.074111161397</v>
      </c>
    </row>
    <row r="465" spans="1:33" ht="11.25" customHeight="1" x14ac:dyDescent="0.25">
      <c r="A465" s="4" t="s">
        <v>21</v>
      </c>
      <c r="B465" s="4" t="s">
        <v>40</v>
      </c>
      <c r="C465" s="4" t="s">
        <v>23</v>
      </c>
      <c r="D465" s="4" t="s">
        <v>41</v>
      </c>
      <c r="E465" s="4" t="s">
        <v>25</v>
      </c>
      <c r="F465" s="4" t="s">
        <v>25</v>
      </c>
      <c r="G465" s="4" t="s">
        <v>25</v>
      </c>
      <c r="H465" s="4" t="s">
        <v>25</v>
      </c>
      <c r="I465" s="5">
        <v>44562</v>
      </c>
      <c r="J465" s="6">
        <v>0</v>
      </c>
      <c r="K465" s="6">
        <v>0</v>
      </c>
      <c r="L465" s="6">
        <v>6116.61</v>
      </c>
      <c r="M465" s="6">
        <v>6116.61</v>
      </c>
      <c r="N465" s="6">
        <v>6116.61</v>
      </c>
      <c r="O465" s="6">
        <v>6116.61</v>
      </c>
      <c r="P465" s="6">
        <v>12138</v>
      </c>
      <c r="Q465" s="4" t="s">
        <v>26</v>
      </c>
      <c r="R465" s="4">
        <v>0</v>
      </c>
      <c r="S465" s="6">
        <v>0</v>
      </c>
      <c r="T465" s="6">
        <v>61</v>
      </c>
      <c r="U465" s="6">
        <v>72</v>
      </c>
      <c r="V465" s="6">
        <f>IF(ISERROR(VLOOKUP($S$465,'TAR FIN'!$A$1:$O$88,15,0)),0,VLOOKUP($S$465,'TAR FIN'!$A$1:$O$88,15,0))</f>
        <v>0</v>
      </c>
      <c r="W465" s="6">
        <f>IF(ISERROR(VLOOKUP($T$465,'TAR FIN'!$A$1:$O$88,15,0)),0,VLOOKUP($T$465,'TAR FIN'!$A$1:$O$88,15,0))</f>
        <v>374.66</v>
      </c>
      <c r="X465" s="6">
        <f>IF(ISERROR(VLOOKUP($U$465,'TAR FIN'!$A$1:$O$88,15,0)),0,VLOOKUP($U$465,'TAR FIN'!$A$1:$O$88,15,0))</f>
        <v>221.96</v>
      </c>
      <c r="Y465" s="6"/>
      <c r="Z465" s="6">
        <f ca="1">('TUSD BE'!$AM$33+'TUSD BF'!$AM$33+'TUSD CVA'!$AM$33)*(1-CUSTOS!$M$38)</f>
        <v>458.58557094695544</v>
      </c>
      <c r="AA465" s="6">
        <f>('TE BE'!$AB$23+'TE BF'!$AB$23+'TE CVA'!$AB$23)*(1-CUSTOS!$M$38)</f>
        <v>236.80902583286482</v>
      </c>
      <c r="AB465" s="6">
        <f>$K$465*$V$465</f>
        <v>0</v>
      </c>
      <c r="AC465" s="6">
        <f>$M$465*$W$465</f>
        <v>2291649.1025999999</v>
      </c>
      <c r="AD465" s="6">
        <f>$O$465*$X$465</f>
        <v>1357642.7556</v>
      </c>
      <c r="AE465" s="6">
        <f>$K$465*$Y$465</f>
        <v>0</v>
      </c>
      <c r="AF465" s="6">
        <f ca="1">$M$465*$Z$465</f>
        <v>2804989.0891098571</v>
      </c>
      <c r="AG465" s="6">
        <f>$O$465*$AA$465</f>
        <v>1448468.4554995592</v>
      </c>
    </row>
    <row r="466" spans="1:33" ht="11.25" customHeight="1" x14ac:dyDescent="0.25">
      <c r="A466" s="4" t="s">
        <v>27</v>
      </c>
      <c r="B466" s="4" t="s">
        <v>40</v>
      </c>
      <c r="C466" s="4" t="s">
        <v>23</v>
      </c>
      <c r="D466" s="4" t="s">
        <v>41</v>
      </c>
      <c r="E466" s="4" t="s">
        <v>25</v>
      </c>
      <c r="F466" s="4" t="s">
        <v>25</v>
      </c>
      <c r="G466" s="4" t="s">
        <v>25</v>
      </c>
      <c r="H466" s="4" t="s">
        <v>25</v>
      </c>
      <c r="I466" s="5">
        <v>44562</v>
      </c>
      <c r="J466" s="6">
        <v>0</v>
      </c>
      <c r="K466" s="6">
        <v>0</v>
      </c>
      <c r="L466" s="6">
        <v>-0.21199999999999999</v>
      </c>
      <c r="M466" s="6">
        <v>-0.21199999999999999</v>
      </c>
      <c r="N466" s="6">
        <v>-0.21199999999999999</v>
      </c>
      <c r="O466" s="6">
        <v>-0.21199999999999999</v>
      </c>
      <c r="P466" s="6">
        <v>0</v>
      </c>
      <c r="Q466" s="4" t="s">
        <v>26</v>
      </c>
      <c r="R466" s="4">
        <v>0</v>
      </c>
      <c r="S466" s="6">
        <v>0</v>
      </c>
      <c r="T466" s="6">
        <v>61</v>
      </c>
      <c r="U466" s="6">
        <v>72</v>
      </c>
      <c r="V466" s="6">
        <f>IF(ISERROR(VLOOKUP($S$466,'TAR FIN'!$A$1:$O$88,15,0)),0,VLOOKUP($S$466,'TAR FIN'!$A$1:$O$88,15,0))</f>
        <v>0</v>
      </c>
      <c r="W466" s="6">
        <f>IF(ISERROR(VLOOKUP($T$466,'TAR FIN'!$A$1:$O$88,15,0)),0,VLOOKUP($T$466,'TAR FIN'!$A$1:$O$88,15,0))</f>
        <v>374.66</v>
      </c>
      <c r="X466" s="6">
        <f>IF(ISERROR(VLOOKUP($U$466,'TAR FIN'!$A$1:$O$88,15,0)),0,VLOOKUP($U$466,'TAR FIN'!$A$1:$O$88,15,0))</f>
        <v>221.96</v>
      </c>
      <c r="Y466" s="6"/>
      <c r="Z466" s="6">
        <f ca="1">('TUSD BE'!$AM$33+'TUSD BF'!$AM$33+'TUSD CVA'!$AM$33)*(1-CUSTOS!$M$38)</f>
        <v>458.58557094695544</v>
      </c>
      <c r="AA466" s="6">
        <f>('TE BE'!$AB$23+'TE BF'!$AB$23+'TE CVA'!$AB$23)*(1-CUSTOS!$M$38)</f>
        <v>236.80902583286482</v>
      </c>
      <c r="AB466" s="6">
        <f>$K$466*$V$466</f>
        <v>0</v>
      </c>
      <c r="AC466" s="6">
        <f>$M$466*$W$466</f>
        <v>-79.42792</v>
      </c>
      <c r="AD466" s="6">
        <f>$O$466*$X$466</f>
        <v>-47.055520000000001</v>
      </c>
      <c r="AE466" s="6">
        <f>$K$466*$Y$466</f>
        <v>0</v>
      </c>
      <c r="AF466" s="6">
        <f ca="1">$M$466*$Z$466</f>
        <v>-97.220141040754555</v>
      </c>
      <c r="AG466" s="6">
        <f>$O$466*$AA$466</f>
        <v>-50.203513476567338</v>
      </c>
    </row>
    <row r="467" spans="1:33" ht="11.25" customHeight="1" x14ac:dyDescent="0.25">
      <c r="A467" s="4" t="s">
        <v>28</v>
      </c>
      <c r="B467" s="4" t="s">
        <v>40</v>
      </c>
      <c r="C467" s="4" t="s">
        <v>23</v>
      </c>
      <c r="D467" s="4" t="s">
        <v>41</v>
      </c>
      <c r="E467" s="4" t="s">
        <v>25</v>
      </c>
      <c r="F467" s="4" t="s">
        <v>25</v>
      </c>
      <c r="G467" s="4" t="s">
        <v>25</v>
      </c>
      <c r="H467" s="4" t="s">
        <v>25</v>
      </c>
      <c r="I467" s="5">
        <v>44562</v>
      </c>
      <c r="J467" s="6">
        <v>0</v>
      </c>
      <c r="K467" s="6">
        <v>0</v>
      </c>
      <c r="L467" s="6">
        <v>227.94</v>
      </c>
      <c r="M467" s="6">
        <v>227.94</v>
      </c>
      <c r="N467" s="6">
        <v>227.94</v>
      </c>
      <c r="O467" s="6">
        <v>227.94</v>
      </c>
      <c r="P467" s="6">
        <v>925</v>
      </c>
      <c r="Q467" s="4" t="s">
        <v>26</v>
      </c>
      <c r="R467" s="4">
        <v>0</v>
      </c>
      <c r="S467" s="6">
        <v>0</v>
      </c>
      <c r="T467" s="6">
        <v>61</v>
      </c>
      <c r="U467" s="6">
        <v>72</v>
      </c>
      <c r="V467" s="6">
        <f>IF(ISERROR(VLOOKUP($S$467,'TAR FIN'!$A$1:$O$88,15,0)),0,VLOOKUP($S$467,'TAR FIN'!$A$1:$O$88,15,0))</f>
        <v>0</v>
      </c>
      <c r="W467" s="6">
        <f>IF(ISERROR(VLOOKUP($T$467,'TAR FIN'!$A$1:$O$88,15,0)),0,VLOOKUP($T$467,'TAR FIN'!$A$1:$O$88,15,0))</f>
        <v>374.66</v>
      </c>
      <c r="X467" s="6">
        <f>IF(ISERROR(VLOOKUP($U$467,'TAR FIN'!$A$1:$O$88,15,0)),0,VLOOKUP($U$467,'TAR FIN'!$A$1:$O$88,15,0))</f>
        <v>221.96</v>
      </c>
      <c r="Y467" s="6"/>
      <c r="Z467" s="6">
        <f ca="1">('TUSD BE'!$AM$33+'TUSD BF'!$AM$33+'TUSD CVA'!$AM$33)*(1-CUSTOS!$M$38)</f>
        <v>458.58557094695544</v>
      </c>
      <c r="AA467" s="6">
        <f>('TE BE'!$AB$23+'TE BF'!$AB$23+'TE CVA'!$AB$23)*(1-CUSTOS!$M$38)</f>
        <v>236.80902583286482</v>
      </c>
      <c r="AB467" s="6">
        <f>$K$467*$V$467</f>
        <v>0</v>
      </c>
      <c r="AC467" s="6">
        <f>$M$467*$W$467</f>
        <v>85400.000400000004</v>
      </c>
      <c r="AD467" s="6">
        <f>$O$467*$X$467</f>
        <v>50593.562400000003</v>
      </c>
      <c r="AE467" s="6">
        <f>$K$467*$Y$467</f>
        <v>0</v>
      </c>
      <c r="AF467" s="6">
        <f ca="1">$M$467*$Z$467</f>
        <v>104529.99504164902</v>
      </c>
      <c r="AG467" s="6">
        <f>$O$467*$AA$467</f>
        <v>53978.249348343204</v>
      </c>
    </row>
    <row r="468" spans="1:33" ht="11.25" customHeight="1" x14ac:dyDescent="0.25">
      <c r="A468" s="4" t="s">
        <v>21</v>
      </c>
      <c r="B468" s="4" t="s">
        <v>40</v>
      </c>
      <c r="C468" s="4" t="s">
        <v>23</v>
      </c>
      <c r="D468" s="4" t="s">
        <v>41</v>
      </c>
      <c r="E468" s="4" t="s">
        <v>25</v>
      </c>
      <c r="F468" s="4" t="s">
        <v>25</v>
      </c>
      <c r="G468" s="4" t="s">
        <v>25</v>
      </c>
      <c r="H468" s="4" t="s">
        <v>25</v>
      </c>
      <c r="I468" s="5">
        <v>44593</v>
      </c>
      <c r="J468" s="6">
        <v>0</v>
      </c>
      <c r="K468" s="6">
        <v>0</v>
      </c>
      <c r="L468" s="6">
        <v>5582.9470000000001</v>
      </c>
      <c r="M468" s="6">
        <v>5582.9470000000001</v>
      </c>
      <c r="N468" s="6">
        <v>5582.9470000000001</v>
      </c>
      <c r="O468" s="6">
        <v>5582.9470000000001</v>
      </c>
      <c r="P468" s="6">
        <v>12170</v>
      </c>
      <c r="Q468" s="4" t="s">
        <v>26</v>
      </c>
      <c r="R468" s="4">
        <v>0</v>
      </c>
      <c r="S468" s="6">
        <v>0</v>
      </c>
      <c r="T468" s="6">
        <v>61</v>
      </c>
      <c r="U468" s="6">
        <v>72</v>
      </c>
      <c r="V468" s="6">
        <f>IF(ISERROR(VLOOKUP($S$468,'TAR FIN'!$A$1:$O$88,15,0)),0,VLOOKUP($S$468,'TAR FIN'!$A$1:$O$88,15,0))</f>
        <v>0</v>
      </c>
      <c r="W468" s="6">
        <f>IF(ISERROR(VLOOKUP($T$468,'TAR FIN'!$A$1:$O$88,15,0)),0,VLOOKUP($T$468,'TAR FIN'!$A$1:$O$88,15,0))</f>
        <v>374.66</v>
      </c>
      <c r="X468" s="6">
        <f>IF(ISERROR(VLOOKUP($U$468,'TAR FIN'!$A$1:$O$88,15,0)),0,VLOOKUP($U$468,'TAR FIN'!$A$1:$O$88,15,0))</f>
        <v>221.96</v>
      </c>
      <c r="Y468" s="6"/>
      <c r="Z468" s="6">
        <f ca="1">('TUSD BE'!$AM$33+'TUSD BF'!$AM$33+'TUSD CVA'!$AM$33)*(1-CUSTOS!$M$38)</f>
        <v>458.58557094695544</v>
      </c>
      <c r="AA468" s="6">
        <f>('TE BE'!$AB$23+'TE BF'!$AB$23+'TE CVA'!$AB$23)*(1-CUSTOS!$M$38)</f>
        <v>236.80902583286482</v>
      </c>
      <c r="AB468" s="6">
        <f>$K$468*$V$468</f>
        <v>0</v>
      </c>
      <c r="AC468" s="6">
        <f>$M$468*$W$468</f>
        <v>2091706.9230200001</v>
      </c>
      <c r="AD468" s="6">
        <f>$O$468*$X$468</f>
        <v>1239190.9161200002</v>
      </c>
      <c r="AE468" s="6">
        <f>$K$468*$Y$468</f>
        <v>0</v>
      </c>
      <c r="AF468" s="6">
        <f ca="1">$M$468*$Z$468</f>
        <v>2560258.9375615921</v>
      </c>
      <c r="AG468" s="6">
        <f>$O$468*$AA$468</f>
        <v>1322092.2403465151</v>
      </c>
    </row>
    <row r="469" spans="1:33" ht="11.25" customHeight="1" x14ac:dyDescent="0.25">
      <c r="A469" s="4" t="s">
        <v>28</v>
      </c>
      <c r="B469" s="4" t="s">
        <v>40</v>
      </c>
      <c r="C469" s="4" t="s">
        <v>23</v>
      </c>
      <c r="D469" s="4" t="s">
        <v>41</v>
      </c>
      <c r="E469" s="4" t="s">
        <v>25</v>
      </c>
      <c r="F469" s="4" t="s">
        <v>25</v>
      </c>
      <c r="G469" s="4" t="s">
        <v>25</v>
      </c>
      <c r="H469" s="4" t="s">
        <v>25</v>
      </c>
      <c r="I469" s="5">
        <v>44593</v>
      </c>
      <c r="J469" s="6">
        <v>0</v>
      </c>
      <c r="K469" s="6">
        <v>0</v>
      </c>
      <c r="L469" s="6">
        <v>167.898</v>
      </c>
      <c r="M469" s="6">
        <v>167.898</v>
      </c>
      <c r="N469" s="6">
        <v>167.898</v>
      </c>
      <c r="O469" s="6">
        <v>167.898</v>
      </c>
      <c r="P469" s="6">
        <v>889</v>
      </c>
      <c r="Q469" s="4" t="s">
        <v>26</v>
      </c>
      <c r="R469" s="4">
        <v>0</v>
      </c>
      <c r="S469" s="6">
        <v>0</v>
      </c>
      <c r="T469" s="6">
        <v>61</v>
      </c>
      <c r="U469" s="6">
        <v>72</v>
      </c>
      <c r="V469" s="6">
        <f>IF(ISERROR(VLOOKUP($S$469,'TAR FIN'!$A$1:$O$88,15,0)),0,VLOOKUP($S$469,'TAR FIN'!$A$1:$O$88,15,0))</f>
        <v>0</v>
      </c>
      <c r="W469" s="6">
        <f>IF(ISERROR(VLOOKUP($T$469,'TAR FIN'!$A$1:$O$88,15,0)),0,VLOOKUP($T$469,'TAR FIN'!$A$1:$O$88,15,0))</f>
        <v>374.66</v>
      </c>
      <c r="X469" s="6">
        <f>IF(ISERROR(VLOOKUP($U$469,'TAR FIN'!$A$1:$O$88,15,0)),0,VLOOKUP($U$469,'TAR FIN'!$A$1:$O$88,15,0))</f>
        <v>221.96</v>
      </c>
      <c r="Y469" s="6"/>
      <c r="Z469" s="6">
        <f ca="1">('TUSD BE'!$AM$33+'TUSD BF'!$AM$33+'TUSD CVA'!$AM$33)*(1-CUSTOS!$M$38)</f>
        <v>458.58557094695544</v>
      </c>
      <c r="AA469" s="6">
        <f>('TE BE'!$AB$23+'TE BF'!$AB$23+'TE CVA'!$AB$23)*(1-CUSTOS!$M$38)</f>
        <v>236.80902583286482</v>
      </c>
      <c r="AB469" s="6">
        <f>$K$469*$V$469</f>
        <v>0</v>
      </c>
      <c r="AC469" s="6">
        <f>$M$469*$W$469</f>
        <v>62904.664680000002</v>
      </c>
      <c r="AD469" s="6">
        <f>$O$469*$X$469</f>
        <v>37266.640079999997</v>
      </c>
      <c r="AE469" s="6">
        <f>$K$469*$Y$469</f>
        <v>0</v>
      </c>
      <c r="AF469" s="6">
        <f ca="1">$M$469*$Z$469</f>
        <v>76995.600190851925</v>
      </c>
      <c r="AG469" s="6">
        <f>$O$469*$AA$469</f>
        <v>39759.761819286337</v>
      </c>
    </row>
    <row r="470" spans="1:33" ht="11.25" customHeight="1" x14ac:dyDescent="0.25">
      <c r="A470" s="4" t="s">
        <v>21</v>
      </c>
      <c r="B470" s="4" t="s">
        <v>40</v>
      </c>
      <c r="C470" s="4" t="s">
        <v>23</v>
      </c>
      <c r="D470" s="4" t="s">
        <v>41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44621</v>
      </c>
      <c r="J470" s="6">
        <v>0</v>
      </c>
      <c r="K470" s="6">
        <v>0</v>
      </c>
      <c r="L470" s="6">
        <v>4474.9430000000002</v>
      </c>
      <c r="M470" s="6">
        <v>4474.9430000000002</v>
      </c>
      <c r="N470" s="6">
        <v>4474.9430000000002</v>
      </c>
      <c r="O470" s="6">
        <v>4474.9430000000002</v>
      </c>
      <c r="P470" s="6">
        <v>12092</v>
      </c>
      <c r="Q470" s="4" t="s">
        <v>26</v>
      </c>
      <c r="R470" s="4">
        <v>0</v>
      </c>
      <c r="S470" s="6">
        <v>0</v>
      </c>
      <c r="T470" s="6">
        <v>61</v>
      </c>
      <c r="U470" s="6">
        <v>72</v>
      </c>
      <c r="V470" s="6">
        <f>IF(ISERROR(VLOOKUP($S$470,'TAR FIN'!$A$1:$O$88,15,0)),0,VLOOKUP($S$470,'TAR FIN'!$A$1:$O$88,15,0))</f>
        <v>0</v>
      </c>
      <c r="W470" s="6">
        <f>IF(ISERROR(VLOOKUP($T$470,'TAR FIN'!$A$1:$O$88,15,0)),0,VLOOKUP($T$470,'TAR FIN'!$A$1:$O$88,15,0))</f>
        <v>374.66</v>
      </c>
      <c r="X470" s="6">
        <f>IF(ISERROR(VLOOKUP($U$470,'TAR FIN'!$A$1:$O$88,15,0)),0,VLOOKUP($U$470,'TAR FIN'!$A$1:$O$88,15,0))</f>
        <v>221.96</v>
      </c>
      <c r="Y470" s="6"/>
      <c r="Z470" s="6">
        <f ca="1">('TUSD BE'!$AM$33+'TUSD BF'!$AM$33+'TUSD CVA'!$AM$33)*(1-CUSTOS!$M$38)</f>
        <v>458.58557094695544</v>
      </c>
      <c r="AA470" s="6">
        <f>('TE BE'!$AB$23+'TE BF'!$AB$23+'TE CVA'!$AB$23)*(1-CUSTOS!$M$38)</f>
        <v>236.80902583286482</v>
      </c>
      <c r="AB470" s="6">
        <f>$K$470*$V$470</f>
        <v>0</v>
      </c>
      <c r="AC470" s="6">
        <f>$M$470*$W$470</f>
        <v>1676582.1443800002</v>
      </c>
      <c r="AD470" s="6">
        <f>$O$470*$X$470</f>
        <v>993258.34828000003</v>
      </c>
      <c r="AE470" s="6">
        <f>$K$470*$Y$470</f>
        <v>0</v>
      </c>
      <c r="AF470" s="6">
        <f ca="1">$M$470*$Z$470</f>
        <v>2052144.2906100817</v>
      </c>
      <c r="AG470" s="6">
        <f>$O$470*$AA$470</f>
        <v>1059706.8924875977</v>
      </c>
    </row>
    <row r="471" spans="1:33" ht="11.25" customHeight="1" x14ac:dyDescent="0.25">
      <c r="A471" s="4" t="s">
        <v>27</v>
      </c>
      <c r="B471" s="4" t="s">
        <v>40</v>
      </c>
      <c r="C471" s="4" t="s">
        <v>23</v>
      </c>
      <c r="D471" s="4" t="s">
        <v>41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44621</v>
      </c>
      <c r="J471" s="6">
        <v>0</v>
      </c>
      <c r="K471" s="6">
        <v>0</v>
      </c>
      <c r="L471" s="6">
        <v>15.605</v>
      </c>
      <c r="M471" s="6">
        <v>15.605</v>
      </c>
      <c r="N471" s="6">
        <v>15.605</v>
      </c>
      <c r="O471" s="6">
        <v>15.605</v>
      </c>
      <c r="P471" s="6">
        <v>0</v>
      </c>
      <c r="Q471" s="4" t="s">
        <v>26</v>
      </c>
      <c r="R471" s="4">
        <v>0</v>
      </c>
      <c r="S471" s="6">
        <v>0</v>
      </c>
      <c r="T471" s="6">
        <v>61</v>
      </c>
      <c r="U471" s="6">
        <v>72</v>
      </c>
      <c r="V471" s="6">
        <f>IF(ISERROR(VLOOKUP($S$471,'TAR FIN'!$A$1:$O$88,15,0)),0,VLOOKUP($S$471,'TAR FIN'!$A$1:$O$88,15,0))</f>
        <v>0</v>
      </c>
      <c r="W471" s="6">
        <f>IF(ISERROR(VLOOKUP($T$471,'TAR FIN'!$A$1:$O$88,15,0)),0,VLOOKUP($T$471,'TAR FIN'!$A$1:$O$88,15,0))</f>
        <v>374.66</v>
      </c>
      <c r="X471" s="6">
        <f>IF(ISERROR(VLOOKUP($U$471,'TAR FIN'!$A$1:$O$88,15,0)),0,VLOOKUP($U$471,'TAR FIN'!$A$1:$O$88,15,0))</f>
        <v>221.96</v>
      </c>
      <c r="Y471" s="6"/>
      <c r="Z471" s="6">
        <f ca="1">('TUSD BE'!$AM$33+'TUSD BF'!$AM$33+'TUSD CVA'!$AM$33)*(1-CUSTOS!$M$38)</f>
        <v>458.58557094695544</v>
      </c>
      <c r="AA471" s="6">
        <f>('TE BE'!$AB$23+'TE BF'!$AB$23+'TE CVA'!$AB$23)*(1-CUSTOS!$M$38)</f>
        <v>236.80902583286482</v>
      </c>
      <c r="AB471" s="6">
        <f>$K$471*$V$471</f>
        <v>0</v>
      </c>
      <c r="AC471" s="6">
        <f>$M$471*$W$471</f>
        <v>5846.5693000000001</v>
      </c>
      <c r="AD471" s="6">
        <f>$O$471*$X$471</f>
        <v>3463.6858000000002</v>
      </c>
      <c r="AE471" s="6">
        <f>$K$471*$Y$471</f>
        <v>0</v>
      </c>
      <c r="AF471" s="6">
        <f ca="1">$M$471*$Z$471</f>
        <v>7156.2278346272396</v>
      </c>
      <c r="AG471" s="6">
        <f>$O$471*$AA$471</f>
        <v>3695.4048481218556</v>
      </c>
    </row>
    <row r="472" spans="1:33" ht="11.25" customHeight="1" x14ac:dyDescent="0.25">
      <c r="A472" s="4" t="s">
        <v>28</v>
      </c>
      <c r="B472" s="4" t="s">
        <v>40</v>
      </c>
      <c r="C472" s="4" t="s">
        <v>23</v>
      </c>
      <c r="D472" s="4" t="s">
        <v>41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44621</v>
      </c>
      <c r="J472" s="6">
        <v>0</v>
      </c>
      <c r="K472" s="6">
        <v>0</v>
      </c>
      <c r="L472" s="6">
        <v>194.76499999999999</v>
      </c>
      <c r="M472" s="6">
        <v>194.76499999999999</v>
      </c>
      <c r="N472" s="6">
        <v>194.76499999999999</v>
      </c>
      <c r="O472" s="6">
        <v>194.76499999999999</v>
      </c>
      <c r="P472" s="6">
        <v>968</v>
      </c>
      <c r="Q472" s="4" t="s">
        <v>26</v>
      </c>
      <c r="R472" s="4">
        <v>0</v>
      </c>
      <c r="S472" s="6">
        <v>0</v>
      </c>
      <c r="T472" s="6">
        <v>61</v>
      </c>
      <c r="U472" s="6">
        <v>72</v>
      </c>
      <c r="V472" s="6">
        <f>IF(ISERROR(VLOOKUP($S$472,'TAR FIN'!$A$1:$O$88,15,0)),0,VLOOKUP($S$472,'TAR FIN'!$A$1:$O$88,15,0))</f>
        <v>0</v>
      </c>
      <c r="W472" s="6">
        <f>IF(ISERROR(VLOOKUP($T$472,'TAR FIN'!$A$1:$O$88,15,0)),0,VLOOKUP($T$472,'TAR FIN'!$A$1:$O$88,15,0))</f>
        <v>374.66</v>
      </c>
      <c r="X472" s="6">
        <f>IF(ISERROR(VLOOKUP($U$472,'TAR FIN'!$A$1:$O$88,15,0)),0,VLOOKUP($U$472,'TAR FIN'!$A$1:$O$88,15,0))</f>
        <v>221.96</v>
      </c>
      <c r="Y472" s="6"/>
      <c r="Z472" s="6">
        <f ca="1">('TUSD BE'!$AM$33+'TUSD BF'!$AM$33+'TUSD CVA'!$AM$33)*(1-CUSTOS!$M$38)</f>
        <v>458.58557094695544</v>
      </c>
      <c r="AA472" s="6">
        <f>('TE BE'!$AB$23+'TE BF'!$AB$23+'TE CVA'!$AB$23)*(1-CUSTOS!$M$38)</f>
        <v>236.80902583286482</v>
      </c>
      <c r="AB472" s="6">
        <f>$K$472*$V$472</f>
        <v>0</v>
      </c>
      <c r="AC472" s="6">
        <f>$M$472*$W$472</f>
        <v>72970.654899999994</v>
      </c>
      <c r="AD472" s="6">
        <f>$O$472*$X$472</f>
        <v>43230.039400000001</v>
      </c>
      <c r="AE472" s="6">
        <f>$K$472*$Y$472</f>
        <v>0</v>
      </c>
      <c r="AF472" s="6">
        <f ca="1">$M$472*$Z$472</f>
        <v>89316.418725483774</v>
      </c>
      <c r="AG472" s="6">
        <f>$O$472*$AA$472</f>
        <v>46122.109916337911</v>
      </c>
    </row>
    <row r="473" spans="1:33" ht="11.25" customHeight="1" x14ac:dyDescent="0.25">
      <c r="A473" s="4" t="s">
        <v>28</v>
      </c>
      <c r="B473" s="4" t="s">
        <v>40</v>
      </c>
      <c r="C473" s="4" t="s">
        <v>23</v>
      </c>
      <c r="D473" s="4" t="s">
        <v>41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44621</v>
      </c>
      <c r="J473" s="6">
        <v>0</v>
      </c>
      <c r="K473" s="6">
        <v>0</v>
      </c>
      <c r="L473" s="6">
        <v>86.06</v>
      </c>
      <c r="M473" s="6">
        <v>86.06</v>
      </c>
      <c r="N473" s="6">
        <v>86.06</v>
      </c>
      <c r="O473" s="6">
        <v>86.06</v>
      </c>
      <c r="P473" s="6">
        <v>2</v>
      </c>
      <c r="Q473" s="4" t="s">
        <v>26</v>
      </c>
      <c r="R473" s="4">
        <v>0</v>
      </c>
      <c r="S473" s="6">
        <v>0</v>
      </c>
      <c r="T473" s="6">
        <v>61</v>
      </c>
      <c r="U473" s="6">
        <v>72</v>
      </c>
      <c r="V473" s="6">
        <f>IF(ISERROR(VLOOKUP($S$473,'TAR FIN'!$A$1:$O$88,15,0)),0,VLOOKUP($S$473,'TAR FIN'!$A$1:$O$88,15,0))</f>
        <v>0</v>
      </c>
      <c r="W473" s="6">
        <f>IF(ISERROR(VLOOKUP($T$473,'TAR FIN'!$A$1:$O$88,15,0)),0,VLOOKUP($T$473,'TAR FIN'!$A$1:$O$88,15,0))</f>
        <v>374.66</v>
      </c>
      <c r="X473" s="6">
        <f>IF(ISERROR(VLOOKUP($U$473,'TAR FIN'!$A$1:$O$88,15,0)),0,VLOOKUP($U$473,'TAR FIN'!$A$1:$O$88,15,0))</f>
        <v>221.96</v>
      </c>
      <c r="Y473" s="6"/>
      <c r="Z473" s="6">
        <f ca="1">('TUSD BE'!$AM$33+'TUSD BF'!$AM$33+'TUSD CVA'!$AM$33)*(1-CUSTOS!$M$38)</f>
        <v>458.58557094695544</v>
      </c>
      <c r="AA473" s="6">
        <f>('TE BE'!$AB$23+'TE BF'!$AB$23+'TE CVA'!$AB$23)*(1-CUSTOS!$M$38)</f>
        <v>236.80902583286482</v>
      </c>
      <c r="AB473" s="6">
        <f>$K$473*$V$473</f>
        <v>0</v>
      </c>
      <c r="AC473" s="6">
        <f>$M$473*$W$473</f>
        <v>32243.239600000004</v>
      </c>
      <c r="AD473" s="6">
        <f>$O$473*$X$473</f>
        <v>19101.8776</v>
      </c>
      <c r="AE473" s="6">
        <f>$K$473*$Y$473</f>
        <v>0</v>
      </c>
      <c r="AF473" s="6">
        <f ca="1">$M$473*$Z$473</f>
        <v>39465.874235694988</v>
      </c>
      <c r="AG473" s="6">
        <f>$O$473*$AA$473</f>
        <v>20379.784763176347</v>
      </c>
    </row>
    <row r="474" spans="1:33" ht="11.25" customHeight="1" x14ac:dyDescent="0.25">
      <c r="A474" s="4" t="s">
        <v>21</v>
      </c>
      <c r="B474" s="4" t="s">
        <v>40</v>
      </c>
      <c r="C474" s="4" t="s">
        <v>23</v>
      </c>
      <c r="D474" s="4" t="s">
        <v>41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44652</v>
      </c>
      <c r="J474" s="6">
        <v>0</v>
      </c>
      <c r="K474" s="6">
        <v>0</v>
      </c>
      <c r="L474" s="6">
        <v>3507.4749999999999</v>
      </c>
      <c r="M474" s="6">
        <v>3507.4749999999999</v>
      </c>
      <c r="N474" s="6">
        <v>3507.4749999999999</v>
      </c>
      <c r="O474" s="6">
        <v>3507.4749999999999</v>
      </c>
      <c r="P474" s="6">
        <v>12048</v>
      </c>
      <c r="Q474" s="4" t="s">
        <v>26</v>
      </c>
      <c r="R474" s="4">
        <v>0</v>
      </c>
      <c r="S474" s="6">
        <v>0</v>
      </c>
      <c r="T474" s="6">
        <v>61</v>
      </c>
      <c r="U474" s="6">
        <v>72</v>
      </c>
      <c r="V474" s="6">
        <f>IF(ISERROR(VLOOKUP($S$474,'TAR FIN'!$A$1:$O$88,15,0)),0,VLOOKUP($S$474,'TAR FIN'!$A$1:$O$88,15,0))</f>
        <v>0</v>
      </c>
      <c r="W474" s="6">
        <f>IF(ISERROR(VLOOKUP($T$474,'TAR FIN'!$A$1:$O$88,15,0)),0,VLOOKUP($T$474,'TAR FIN'!$A$1:$O$88,15,0))</f>
        <v>374.66</v>
      </c>
      <c r="X474" s="6">
        <f>IF(ISERROR(VLOOKUP($U$474,'TAR FIN'!$A$1:$O$88,15,0)),0,VLOOKUP($U$474,'TAR FIN'!$A$1:$O$88,15,0))</f>
        <v>221.96</v>
      </c>
      <c r="Y474" s="6"/>
      <c r="Z474" s="6">
        <f ca="1">('TUSD BE'!$AM$33+'TUSD BF'!$AM$33+'TUSD CVA'!$AM$33)*(1-CUSTOS!$M$38)</f>
        <v>458.58557094695544</v>
      </c>
      <c r="AA474" s="6">
        <f>('TE BE'!$AB$23+'TE BF'!$AB$23+'TE CVA'!$AB$23)*(1-CUSTOS!$M$38)</f>
        <v>236.80902583286482</v>
      </c>
      <c r="AB474" s="6">
        <f>$K$474*$V$474</f>
        <v>0</v>
      </c>
      <c r="AC474" s="6">
        <f>$M$474*$W$474</f>
        <v>1314110.5834999999</v>
      </c>
      <c r="AD474" s="6">
        <f>$O$474*$X$474</f>
        <v>778519.15099999995</v>
      </c>
      <c r="AE474" s="6">
        <f>$K$474*$Y$474</f>
        <v>0</v>
      </c>
      <c r="AF474" s="6">
        <f ca="1">$M$474*$Z$474</f>
        <v>1608477.4254571726</v>
      </c>
      <c r="AG474" s="6">
        <f>$O$474*$AA$474</f>
        <v>830601.73788312753</v>
      </c>
    </row>
    <row r="475" spans="1:33" ht="11.25" customHeight="1" x14ac:dyDescent="0.25">
      <c r="A475" s="4" t="s">
        <v>27</v>
      </c>
      <c r="B475" s="4" t="s">
        <v>40</v>
      </c>
      <c r="C475" s="4" t="s">
        <v>23</v>
      </c>
      <c r="D475" s="4" t="s">
        <v>41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44652</v>
      </c>
      <c r="J475" s="6">
        <v>0</v>
      </c>
      <c r="K475" s="6">
        <v>0</v>
      </c>
      <c r="L475" s="6">
        <v>-5.1719999999999997</v>
      </c>
      <c r="M475" s="6">
        <v>-5.1719999999999997</v>
      </c>
      <c r="N475" s="6">
        <v>-5.1719999999999997</v>
      </c>
      <c r="O475" s="6">
        <v>-5.1719999999999997</v>
      </c>
      <c r="P475" s="6">
        <v>0</v>
      </c>
      <c r="Q475" s="4" t="s">
        <v>26</v>
      </c>
      <c r="R475" s="4">
        <v>0</v>
      </c>
      <c r="S475" s="6">
        <v>0</v>
      </c>
      <c r="T475" s="6">
        <v>61</v>
      </c>
      <c r="U475" s="6">
        <v>72</v>
      </c>
      <c r="V475" s="6">
        <f>IF(ISERROR(VLOOKUP($S$475,'TAR FIN'!$A$1:$O$88,15,0)),0,VLOOKUP($S$475,'TAR FIN'!$A$1:$O$88,15,0))</f>
        <v>0</v>
      </c>
      <c r="W475" s="6">
        <f>IF(ISERROR(VLOOKUP($T$475,'TAR FIN'!$A$1:$O$88,15,0)),0,VLOOKUP($T$475,'TAR FIN'!$A$1:$O$88,15,0))</f>
        <v>374.66</v>
      </c>
      <c r="X475" s="6">
        <f>IF(ISERROR(VLOOKUP($U$475,'TAR FIN'!$A$1:$O$88,15,0)),0,VLOOKUP($U$475,'TAR FIN'!$A$1:$O$88,15,0))</f>
        <v>221.96</v>
      </c>
      <c r="Y475" s="6"/>
      <c r="Z475" s="6">
        <f ca="1">('TUSD BE'!$AM$33+'TUSD BF'!$AM$33+'TUSD CVA'!$AM$33)*(1-CUSTOS!$M$38)</f>
        <v>458.58557094695544</v>
      </c>
      <c r="AA475" s="6">
        <f>('TE BE'!$AB$23+'TE BF'!$AB$23+'TE CVA'!$AB$23)*(1-CUSTOS!$M$38)</f>
        <v>236.80902583286482</v>
      </c>
      <c r="AB475" s="6">
        <f>$K$475*$V$475</f>
        <v>0</v>
      </c>
      <c r="AC475" s="6">
        <f>$M$475*$W$475</f>
        <v>-1937.74152</v>
      </c>
      <c r="AD475" s="6">
        <f>$O$475*$X$475</f>
        <v>-1147.97712</v>
      </c>
      <c r="AE475" s="6">
        <f>$K$475*$Y$475</f>
        <v>0</v>
      </c>
      <c r="AF475" s="6">
        <f ca="1">$M$475*$Z$475</f>
        <v>-2371.8045729376536</v>
      </c>
      <c r="AG475" s="6">
        <f>$O$475*$AA$475</f>
        <v>-1224.7762816075767</v>
      </c>
    </row>
    <row r="476" spans="1:33" ht="11.25" customHeight="1" x14ac:dyDescent="0.25">
      <c r="A476" s="4" t="s">
        <v>28</v>
      </c>
      <c r="B476" s="4" t="s">
        <v>40</v>
      </c>
      <c r="C476" s="4" t="s">
        <v>23</v>
      </c>
      <c r="D476" s="4" t="s">
        <v>41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44652</v>
      </c>
      <c r="J476" s="6">
        <v>0</v>
      </c>
      <c r="K476" s="6">
        <v>0</v>
      </c>
      <c r="L476" s="6">
        <v>178.11600000000001</v>
      </c>
      <c r="M476" s="6">
        <v>178.11600000000001</v>
      </c>
      <c r="N476" s="6">
        <v>178.11600000000001</v>
      </c>
      <c r="O476" s="6">
        <v>178.11600000000001</v>
      </c>
      <c r="P476" s="6">
        <v>957</v>
      </c>
      <c r="Q476" s="4" t="s">
        <v>26</v>
      </c>
      <c r="R476" s="4">
        <v>0</v>
      </c>
      <c r="S476" s="6">
        <v>0</v>
      </c>
      <c r="T476" s="6">
        <v>61</v>
      </c>
      <c r="U476" s="6">
        <v>72</v>
      </c>
      <c r="V476" s="6">
        <f>IF(ISERROR(VLOOKUP($S$476,'TAR FIN'!$A$1:$O$88,15,0)),0,VLOOKUP($S$476,'TAR FIN'!$A$1:$O$88,15,0))</f>
        <v>0</v>
      </c>
      <c r="W476" s="6">
        <f>IF(ISERROR(VLOOKUP($T$476,'TAR FIN'!$A$1:$O$88,15,0)),0,VLOOKUP($T$476,'TAR FIN'!$A$1:$O$88,15,0))</f>
        <v>374.66</v>
      </c>
      <c r="X476" s="6">
        <f>IF(ISERROR(VLOOKUP($U$476,'TAR FIN'!$A$1:$O$88,15,0)),0,VLOOKUP($U$476,'TAR FIN'!$A$1:$O$88,15,0))</f>
        <v>221.96</v>
      </c>
      <c r="Y476" s="6"/>
      <c r="Z476" s="6">
        <f ca="1">('TUSD BE'!$AM$33+'TUSD BF'!$AM$33+'TUSD CVA'!$AM$33)*(1-CUSTOS!$M$38)</f>
        <v>458.58557094695544</v>
      </c>
      <c r="AA476" s="6">
        <f>('TE BE'!$AB$23+'TE BF'!$AB$23+'TE CVA'!$AB$23)*(1-CUSTOS!$M$38)</f>
        <v>236.80902583286482</v>
      </c>
      <c r="AB476" s="6">
        <f>$K$476*$V$476</f>
        <v>0</v>
      </c>
      <c r="AC476" s="6">
        <f>$M$476*$W$476</f>
        <v>66732.940560000003</v>
      </c>
      <c r="AD476" s="6">
        <f>$O$476*$X$476</f>
        <v>39534.627360000006</v>
      </c>
      <c r="AE476" s="6">
        <f>$K$476*$Y$476</f>
        <v>0</v>
      </c>
      <c r="AF476" s="6">
        <f ca="1">$M$476*$Z$476</f>
        <v>81681.427554787922</v>
      </c>
      <c r="AG476" s="6">
        <f>$O$476*$AA$476</f>
        <v>42179.476445246553</v>
      </c>
    </row>
    <row r="477" spans="1:33" ht="11.25" customHeight="1" x14ac:dyDescent="0.25">
      <c r="A477" s="4" t="s">
        <v>28</v>
      </c>
      <c r="B477" s="4" t="s">
        <v>40</v>
      </c>
      <c r="C477" s="4" t="s">
        <v>23</v>
      </c>
      <c r="D477" s="4" t="s">
        <v>41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44652</v>
      </c>
      <c r="J477" s="6">
        <v>0</v>
      </c>
      <c r="K477" s="6">
        <v>0</v>
      </c>
      <c r="L477" s="6">
        <v>-0.439</v>
      </c>
      <c r="M477" s="6">
        <v>-0.439</v>
      </c>
      <c r="N477" s="6">
        <v>-0.439</v>
      </c>
      <c r="O477" s="6">
        <v>-0.439</v>
      </c>
      <c r="P477" s="6">
        <v>2</v>
      </c>
      <c r="Q477" s="4" t="s">
        <v>26</v>
      </c>
      <c r="R477" s="4">
        <v>0</v>
      </c>
      <c r="S477" s="6">
        <v>0</v>
      </c>
      <c r="T477" s="6">
        <v>61</v>
      </c>
      <c r="U477" s="6">
        <v>72</v>
      </c>
      <c r="V477" s="6">
        <f>IF(ISERROR(VLOOKUP($S$477,'TAR FIN'!$A$1:$O$88,15,0)),0,VLOOKUP($S$477,'TAR FIN'!$A$1:$O$88,15,0))</f>
        <v>0</v>
      </c>
      <c r="W477" s="6">
        <f>IF(ISERROR(VLOOKUP($T$477,'TAR FIN'!$A$1:$O$88,15,0)),0,VLOOKUP($T$477,'TAR FIN'!$A$1:$O$88,15,0))</f>
        <v>374.66</v>
      </c>
      <c r="X477" s="6">
        <f>IF(ISERROR(VLOOKUP($U$477,'TAR FIN'!$A$1:$O$88,15,0)),0,VLOOKUP($U$477,'TAR FIN'!$A$1:$O$88,15,0))</f>
        <v>221.96</v>
      </c>
      <c r="Y477" s="6"/>
      <c r="Z477" s="6">
        <f ca="1">('TUSD BE'!$AM$33+'TUSD BF'!$AM$33+'TUSD CVA'!$AM$33)*(1-CUSTOS!$M$38)</f>
        <v>458.58557094695544</v>
      </c>
      <c r="AA477" s="6">
        <f>('TE BE'!$AB$23+'TE BF'!$AB$23+'TE CVA'!$AB$23)*(1-CUSTOS!$M$38)</f>
        <v>236.80902583286482</v>
      </c>
      <c r="AB477" s="6">
        <f>$K$477*$V$477</f>
        <v>0</v>
      </c>
      <c r="AC477" s="6">
        <f>$M$477*$W$477</f>
        <v>-164.47574</v>
      </c>
      <c r="AD477" s="6">
        <f>$O$477*$X$477</f>
        <v>-97.440440000000009</v>
      </c>
      <c r="AE477" s="6">
        <f>$K$477*$Y$477</f>
        <v>0</v>
      </c>
      <c r="AF477" s="6">
        <f ca="1">$M$477*$Z$477</f>
        <v>-201.31906564571344</v>
      </c>
      <c r="AG477" s="6">
        <f>$O$477*$AA$477</f>
        <v>-103.95916234062766</v>
      </c>
    </row>
    <row r="478" spans="1:33" ht="11.25" customHeight="1" x14ac:dyDescent="0.25">
      <c r="A478" s="4" t="s">
        <v>21</v>
      </c>
      <c r="B478" s="4" t="s">
        <v>40</v>
      </c>
      <c r="C478" s="4" t="s">
        <v>23</v>
      </c>
      <c r="D478" s="4" t="s">
        <v>41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44682</v>
      </c>
      <c r="J478" s="6">
        <v>0</v>
      </c>
      <c r="K478" s="6">
        <v>0</v>
      </c>
      <c r="L478" s="6">
        <v>2998.78</v>
      </c>
      <c r="M478" s="6">
        <v>2998.78</v>
      </c>
      <c r="N478" s="6">
        <v>2998.78</v>
      </c>
      <c r="O478" s="6">
        <v>2998.78</v>
      </c>
      <c r="P478" s="6">
        <v>12028</v>
      </c>
      <c r="Q478" s="4" t="s">
        <v>26</v>
      </c>
      <c r="R478" s="4">
        <v>0</v>
      </c>
      <c r="S478" s="6">
        <v>0</v>
      </c>
      <c r="T478" s="6">
        <v>61</v>
      </c>
      <c r="U478" s="6">
        <v>72</v>
      </c>
      <c r="V478" s="6">
        <f>IF(ISERROR(VLOOKUP($S$478,'TAR FIN'!$A$1:$O$88,15,0)),0,VLOOKUP($S$478,'TAR FIN'!$A$1:$O$88,15,0))</f>
        <v>0</v>
      </c>
      <c r="W478" s="6">
        <f>IF(ISERROR(VLOOKUP($T$478,'TAR FIN'!$A$1:$O$88,15,0)),0,VLOOKUP($T$478,'TAR FIN'!$A$1:$O$88,15,0))</f>
        <v>374.66</v>
      </c>
      <c r="X478" s="6">
        <f>IF(ISERROR(VLOOKUP($U$478,'TAR FIN'!$A$1:$O$88,15,0)),0,VLOOKUP($U$478,'TAR FIN'!$A$1:$O$88,15,0))</f>
        <v>221.96</v>
      </c>
      <c r="Y478" s="6"/>
      <c r="Z478" s="6">
        <f ca="1">('TUSD BE'!$AM$33+'TUSD BF'!$AM$33+'TUSD CVA'!$AM$33)*(1-CUSTOS!$M$38)</f>
        <v>458.58557094695544</v>
      </c>
      <c r="AA478" s="6">
        <f>('TE BE'!$AB$23+'TE BF'!$AB$23+'TE CVA'!$AB$23)*(1-CUSTOS!$M$38)</f>
        <v>236.80902583286482</v>
      </c>
      <c r="AB478" s="6">
        <f>$K$478*$V$478</f>
        <v>0</v>
      </c>
      <c r="AC478" s="6">
        <f>$M$478*$W$478</f>
        <v>1123522.9148000001</v>
      </c>
      <c r="AD478" s="6">
        <f>$O$478*$X$478</f>
        <v>665609.20880000002</v>
      </c>
      <c r="AE478" s="6">
        <f>$K$478*$Y$478</f>
        <v>0</v>
      </c>
      <c r="AF478" s="6">
        <f ca="1">$M$478*$Z$478</f>
        <v>1375197.2384443111</v>
      </c>
      <c r="AG478" s="6">
        <f>$O$478*$AA$478</f>
        <v>710138.17048707837</v>
      </c>
    </row>
    <row r="479" spans="1:33" ht="11.25" customHeight="1" x14ac:dyDescent="0.25">
      <c r="A479" s="4" t="s">
        <v>27</v>
      </c>
      <c r="B479" s="4" t="s">
        <v>40</v>
      </c>
      <c r="C479" s="4" t="s">
        <v>23</v>
      </c>
      <c r="D479" s="4" t="s">
        <v>41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44682</v>
      </c>
      <c r="J479" s="6">
        <v>0</v>
      </c>
      <c r="K479" s="6">
        <v>0</v>
      </c>
      <c r="L479" s="6">
        <v>-3.1880000000000002</v>
      </c>
      <c r="M479" s="6">
        <v>-3.1880000000000002</v>
      </c>
      <c r="N479" s="6">
        <v>-3.1880000000000002</v>
      </c>
      <c r="O479" s="6">
        <v>-3.1880000000000002</v>
      </c>
      <c r="P479" s="6">
        <v>0</v>
      </c>
      <c r="Q479" s="4" t="s">
        <v>26</v>
      </c>
      <c r="R479" s="4">
        <v>0</v>
      </c>
      <c r="S479" s="6">
        <v>0</v>
      </c>
      <c r="T479" s="6">
        <v>61</v>
      </c>
      <c r="U479" s="6">
        <v>72</v>
      </c>
      <c r="V479" s="6">
        <f>IF(ISERROR(VLOOKUP($S$479,'TAR FIN'!$A$1:$O$88,15,0)),0,VLOOKUP($S$479,'TAR FIN'!$A$1:$O$88,15,0))</f>
        <v>0</v>
      </c>
      <c r="W479" s="6">
        <f>IF(ISERROR(VLOOKUP($T$479,'TAR FIN'!$A$1:$O$88,15,0)),0,VLOOKUP($T$479,'TAR FIN'!$A$1:$O$88,15,0))</f>
        <v>374.66</v>
      </c>
      <c r="X479" s="6">
        <f>IF(ISERROR(VLOOKUP($U$479,'TAR FIN'!$A$1:$O$88,15,0)),0,VLOOKUP($U$479,'TAR FIN'!$A$1:$O$88,15,0))</f>
        <v>221.96</v>
      </c>
      <c r="Y479" s="6"/>
      <c r="Z479" s="6">
        <f ca="1">('TUSD BE'!$AM$33+'TUSD BF'!$AM$33+'TUSD CVA'!$AM$33)*(1-CUSTOS!$M$38)</f>
        <v>458.58557094695544</v>
      </c>
      <c r="AA479" s="6">
        <f>('TE BE'!$AB$23+'TE BF'!$AB$23+'TE CVA'!$AB$23)*(1-CUSTOS!$M$38)</f>
        <v>236.80902583286482</v>
      </c>
      <c r="AB479" s="6">
        <f>$K$479*$V$479</f>
        <v>0</v>
      </c>
      <c r="AC479" s="6">
        <f>$M$479*$W$479</f>
        <v>-1194.4160800000002</v>
      </c>
      <c r="AD479" s="6">
        <f>$O$479*$X$479</f>
        <v>-707.6084800000001</v>
      </c>
      <c r="AE479" s="6">
        <f>$K$479*$Y$479</f>
        <v>0</v>
      </c>
      <c r="AF479" s="6">
        <f ca="1">$M$479*$Z$479</f>
        <v>-1461.970800178894</v>
      </c>
      <c r="AG479" s="6">
        <f>$O$479*$AA$479</f>
        <v>-754.94717435517305</v>
      </c>
    </row>
    <row r="480" spans="1:33" ht="11.25" customHeight="1" x14ac:dyDescent="0.25">
      <c r="A480" s="4" t="s">
        <v>28</v>
      </c>
      <c r="B480" s="4" t="s">
        <v>40</v>
      </c>
      <c r="C480" s="4" t="s">
        <v>23</v>
      </c>
      <c r="D480" s="4" t="s">
        <v>41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44682</v>
      </c>
      <c r="J480" s="6">
        <v>0</v>
      </c>
      <c r="K480" s="6">
        <v>0</v>
      </c>
      <c r="L480" s="6">
        <v>168.28399999999999</v>
      </c>
      <c r="M480" s="6">
        <v>168.28399999999999</v>
      </c>
      <c r="N480" s="6">
        <v>168.28399999999999</v>
      </c>
      <c r="O480" s="6">
        <v>168.28399999999999</v>
      </c>
      <c r="P480" s="6">
        <v>954</v>
      </c>
      <c r="Q480" s="4" t="s">
        <v>26</v>
      </c>
      <c r="R480" s="4">
        <v>0</v>
      </c>
      <c r="S480" s="6">
        <v>0</v>
      </c>
      <c r="T480" s="6">
        <v>61</v>
      </c>
      <c r="U480" s="6">
        <v>72</v>
      </c>
      <c r="V480" s="6">
        <f>IF(ISERROR(VLOOKUP($S$480,'TAR FIN'!$A$1:$O$88,15,0)),0,VLOOKUP($S$480,'TAR FIN'!$A$1:$O$88,15,0))</f>
        <v>0</v>
      </c>
      <c r="W480" s="6">
        <f>IF(ISERROR(VLOOKUP($T$480,'TAR FIN'!$A$1:$O$88,15,0)),0,VLOOKUP($T$480,'TAR FIN'!$A$1:$O$88,15,0))</f>
        <v>374.66</v>
      </c>
      <c r="X480" s="6">
        <f>IF(ISERROR(VLOOKUP($U$480,'TAR FIN'!$A$1:$O$88,15,0)),0,VLOOKUP($U$480,'TAR FIN'!$A$1:$O$88,15,0))</f>
        <v>221.96</v>
      </c>
      <c r="Y480" s="6"/>
      <c r="Z480" s="6">
        <f ca="1">('TUSD BE'!$AM$33+'TUSD BF'!$AM$33+'TUSD CVA'!$AM$33)*(1-CUSTOS!$M$38)</f>
        <v>458.58557094695544</v>
      </c>
      <c r="AA480" s="6">
        <f>('TE BE'!$AB$23+'TE BF'!$AB$23+'TE CVA'!$AB$23)*(1-CUSTOS!$M$38)</f>
        <v>236.80902583286482</v>
      </c>
      <c r="AB480" s="6">
        <f>$K$480*$V$480</f>
        <v>0</v>
      </c>
      <c r="AC480" s="6">
        <f>$M$480*$W$480</f>
        <v>63049.283439999999</v>
      </c>
      <c r="AD480" s="6">
        <f>$O$480*$X$480</f>
        <v>37352.316639999997</v>
      </c>
      <c r="AE480" s="6">
        <f>$K$480*$Y$480</f>
        <v>0</v>
      </c>
      <c r="AF480" s="6">
        <f ca="1">$M$480*$Z$480</f>
        <v>77172.61422123744</v>
      </c>
      <c r="AG480" s="6">
        <f>$O$480*$AA$480</f>
        <v>39851.17010325782</v>
      </c>
    </row>
    <row r="481" spans="1:33" ht="11.25" customHeight="1" x14ac:dyDescent="0.25">
      <c r="A481" s="4" t="s">
        <v>28</v>
      </c>
      <c r="B481" s="4" t="s">
        <v>40</v>
      </c>
      <c r="C481" s="4" t="s">
        <v>23</v>
      </c>
      <c r="D481" s="4" t="s">
        <v>41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44682</v>
      </c>
      <c r="J481" s="6">
        <v>0</v>
      </c>
      <c r="K481" s="6">
        <v>0</v>
      </c>
      <c r="L481" s="6">
        <v>-0.61499999999999999</v>
      </c>
      <c r="M481" s="6">
        <v>-0.61499999999999999</v>
      </c>
      <c r="N481" s="6">
        <v>-0.61499999999999999</v>
      </c>
      <c r="O481" s="6">
        <v>-0.61499999999999999</v>
      </c>
      <c r="P481" s="6">
        <v>6</v>
      </c>
      <c r="Q481" s="4" t="s">
        <v>26</v>
      </c>
      <c r="R481" s="4">
        <v>0</v>
      </c>
      <c r="S481" s="6">
        <v>0</v>
      </c>
      <c r="T481" s="6">
        <v>61</v>
      </c>
      <c r="U481" s="6">
        <v>72</v>
      </c>
      <c r="V481" s="6">
        <f>IF(ISERROR(VLOOKUP($S$481,'TAR FIN'!$A$1:$O$88,15,0)),0,VLOOKUP($S$481,'TAR FIN'!$A$1:$O$88,15,0))</f>
        <v>0</v>
      </c>
      <c r="W481" s="6">
        <f>IF(ISERROR(VLOOKUP($T$481,'TAR FIN'!$A$1:$O$88,15,0)),0,VLOOKUP($T$481,'TAR FIN'!$A$1:$O$88,15,0))</f>
        <v>374.66</v>
      </c>
      <c r="X481" s="6">
        <f>IF(ISERROR(VLOOKUP($U$481,'TAR FIN'!$A$1:$O$88,15,0)),0,VLOOKUP($U$481,'TAR FIN'!$A$1:$O$88,15,0))</f>
        <v>221.96</v>
      </c>
      <c r="Y481" s="6"/>
      <c r="Z481" s="6">
        <f ca="1">('TUSD BE'!$AM$33+'TUSD BF'!$AM$33+'TUSD CVA'!$AM$33)*(1-CUSTOS!$M$38)</f>
        <v>458.58557094695544</v>
      </c>
      <c r="AA481" s="6">
        <f>('TE BE'!$AB$23+'TE BF'!$AB$23+'TE CVA'!$AB$23)*(1-CUSTOS!$M$38)</f>
        <v>236.80902583286482</v>
      </c>
      <c r="AB481" s="6">
        <f>$K$481*$V$481</f>
        <v>0</v>
      </c>
      <c r="AC481" s="6">
        <f>$M$481*$W$481</f>
        <v>-230.41590000000002</v>
      </c>
      <c r="AD481" s="6">
        <f>$O$481*$X$481</f>
        <v>-136.50540000000001</v>
      </c>
      <c r="AE481" s="6">
        <f>$K$481*$Y$481</f>
        <v>0</v>
      </c>
      <c r="AF481" s="6">
        <f ca="1">$M$481*$Z$481</f>
        <v>-282.03012613237757</v>
      </c>
      <c r="AG481" s="6">
        <f>$O$481*$AA$481</f>
        <v>-145.63755088721186</v>
      </c>
    </row>
    <row r="482" spans="1:33" ht="11.25" customHeight="1" x14ac:dyDescent="0.25">
      <c r="A482" s="4" t="s">
        <v>21</v>
      </c>
      <c r="B482" s="4" t="s">
        <v>40</v>
      </c>
      <c r="C482" s="4" t="s">
        <v>23</v>
      </c>
      <c r="D482" s="4" t="s">
        <v>41</v>
      </c>
      <c r="E482" s="4" t="s">
        <v>25</v>
      </c>
      <c r="F482" s="4" t="s">
        <v>25</v>
      </c>
      <c r="G482" s="4" t="s">
        <v>25</v>
      </c>
      <c r="H482" s="4" t="s">
        <v>25</v>
      </c>
      <c r="I482" s="5">
        <v>44713</v>
      </c>
      <c r="J482" s="6">
        <v>0</v>
      </c>
      <c r="K482" s="6">
        <v>0</v>
      </c>
      <c r="L482" s="6">
        <v>2641.9630000000002</v>
      </c>
      <c r="M482" s="6">
        <v>2641.9630000000002</v>
      </c>
      <c r="N482" s="6">
        <v>2641.9630000000002</v>
      </c>
      <c r="O482" s="6">
        <v>2641.9630000000002</v>
      </c>
      <c r="P482" s="6">
        <v>11940</v>
      </c>
      <c r="Q482" s="4" t="s">
        <v>26</v>
      </c>
      <c r="R482" s="4">
        <v>0</v>
      </c>
      <c r="S482" s="6">
        <v>0</v>
      </c>
      <c r="T482" s="6">
        <v>61</v>
      </c>
      <c r="U482" s="6">
        <v>72</v>
      </c>
      <c r="V482" s="6">
        <f>IF(ISERROR(VLOOKUP($S$482,'TAR FIN'!$A$1:$O$88,15,0)),0,VLOOKUP($S$482,'TAR FIN'!$A$1:$O$88,15,0))</f>
        <v>0</v>
      </c>
      <c r="W482" s="6">
        <f>IF(ISERROR(VLOOKUP($T$482,'TAR FIN'!$A$1:$O$88,15,0)),0,VLOOKUP($T$482,'TAR FIN'!$A$1:$O$88,15,0))</f>
        <v>374.66</v>
      </c>
      <c r="X482" s="6">
        <f>IF(ISERROR(VLOOKUP($U$482,'TAR FIN'!$A$1:$O$88,15,0)),0,VLOOKUP($U$482,'TAR FIN'!$A$1:$O$88,15,0))</f>
        <v>221.96</v>
      </c>
      <c r="Y482" s="6"/>
      <c r="Z482" s="6">
        <f ca="1">('TUSD BE'!$AM$33+'TUSD BF'!$AM$33+'TUSD CVA'!$AM$33)*(1-CUSTOS!$M$38)</f>
        <v>458.58557094695544</v>
      </c>
      <c r="AA482" s="6">
        <f>('TE BE'!$AB$23+'TE BF'!$AB$23+'TE CVA'!$AB$23)*(1-CUSTOS!$M$38)</f>
        <v>236.80902583286482</v>
      </c>
      <c r="AB482" s="6">
        <f>$K$482*$V$482</f>
        <v>0</v>
      </c>
      <c r="AC482" s="6">
        <f>$M$482*$W$482</f>
        <v>989837.85758000019</v>
      </c>
      <c r="AD482" s="6">
        <f>$O$482*$X$482</f>
        <v>586410.10748000001</v>
      </c>
      <c r="AE482" s="6">
        <f>$K$482*$Y$482</f>
        <v>0</v>
      </c>
      <c r="AF482" s="6">
        <f ca="1">$M$482*$Z$482</f>
        <v>1211566.1107757313</v>
      </c>
      <c r="AG482" s="6">
        <f>$O$482*$AA$482</f>
        <v>625640.68431647308</v>
      </c>
    </row>
    <row r="483" spans="1:33" ht="11.25" customHeight="1" x14ac:dyDescent="0.25">
      <c r="A483" s="4" t="s">
        <v>27</v>
      </c>
      <c r="B483" s="4" t="s">
        <v>40</v>
      </c>
      <c r="C483" s="4" t="s">
        <v>23</v>
      </c>
      <c r="D483" s="4" t="s">
        <v>41</v>
      </c>
      <c r="E483" s="4" t="s">
        <v>25</v>
      </c>
      <c r="F483" s="4" t="s">
        <v>25</v>
      </c>
      <c r="G483" s="4" t="s">
        <v>25</v>
      </c>
      <c r="H483" s="4" t="s">
        <v>25</v>
      </c>
      <c r="I483" s="5">
        <v>44713</v>
      </c>
      <c r="J483" s="6">
        <v>0</v>
      </c>
      <c r="K483" s="6">
        <v>0</v>
      </c>
      <c r="L483" s="6">
        <v>-0.71799999999999997</v>
      </c>
      <c r="M483" s="6">
        <v>-0.71799999999999997</v>
      </c>
      <c r="N483" s="6">
        <v>-0.71799999999999997</v>
      </c>
      <c r="O483" s="6">
        <v>-0.71799999999999997</v>
      </c>
      <c r="P483" s="6">
        <v>0</v>
      </c>
      <c r="Q483" s="4" t="s">
        <v>26</v>
      </c>
      <c r="R483" s="4">
        <v>0</v>
      </c>
      <c r="S483" s="6">
        <v>0</v>
      </c>
      <c r="T483" s="6">
        <v>61</v>
      </c>
      <c r="U483" s="6">
        <v>72</v>
      </c>
      <c r="V483" s="6">
        <f>IF(ISERROR(VLOOKUP($S$483,'TAR FIN'!$A$1:$O$88,15,0)),0,VLOOKUP($S$483,'TAR FIN'!$A$1:$O$88,15,0))</f>
        <v>0</v>
      </c>
      <c r="W483" s="6">
        <f>IF(ISERROR(VLOOKUP($T$483,'TAR FIN'!$A$1:$O$88,15,0)),0,VLOOKUP($T$483,'TAR FIN'!$A$1:$O$88,15,0))</f>
        <v>374.66</v>
      </c>
      <c r="X483" s="6">
        <f>IF(ISERROR(VLOOKUP($U$483,'TAR FIN'!$A$1:$O$88,15,0)),0,VLOOKUP($U$483,'TAR FIN'!$A$1:$O$88,15,0))</f>
        <v>221.96</v>
      </c>
      <c r="Y483" s="6"/>
      <c r="Z483" s="6">
        <f ca="1">('TUSD BE'!$AM$33+'TUSD BF'!$AM$33+'TUSD CVA'!$AM$33)*(1-CUSTOS!$M$38)</f>
        <v>458.58557094695544</v>
      </c>
      <c r="AA483" s="6">
        <f>('TE BE'!$AB$23+'TE BF'!$AB$23+'TE CVA'!$AB$23)*(1-CUSTOS!$M$38)</f>
        <v>236.80902583286482</v>
      </c>
      <c r="AB483" s="6">
        <f>$K$483*$V$483</f>
        <v>0</v>
      </c>
      <c r="AC483" s="6">
        <f>$M$483*$W$483</f>
        <v>-269.00587999999999</v>
      </c>
      <c r="AD483" s="6">
        <f>$O$483*$X$483</f>
        <v>-159.36727999999999</v>
      </c>
      <c r="AE483" s="6">
        <f>$K$483*$Y$483</f>
        <v>0</v>
      </c>
      <c r="AF483" s="6">
        <f ca="1">$M$483*$Z$483</f>
        <v>-329.26443993991398</v>
      </c>
      <c r="AG483" s="6">
        <f>$O$483*$AA$483</f>
        <v>-170.02888054799692</v>
      </c>
    </row>
    <row r="484" spans="1:33" ht="11.25" customHeight="1" x14ac:dyDescent="0.25">
      <c r="A484" s="4" t="s">
        <v>28</v>
      </c>
      <c r="B484" s="4" t="s">
        <v>40</v>
      </c>
      <c r="C484" s="4" t="s">
        <v>23</v>
      </c>
      <c r="D484" s="4" t="s">
        <v>41</v>
      </c>
      <c r="E484" s="4" t="s">
        <v>25</v>
      </c>
      <c r="F484" s="4" t="s">
        <v>25</v>
      </c>
      <c r="G484" s="4" t="s">
        <v>25</v>
      </c>
      <c r="H484" s="4" t="s">
        <v>25</v>
      </c>
      <c r="I484" s="5">
        <v>44713</v>
      </c>
      <c r="J484" s="6">
        <v>0</v>
      </c>
      <c r="K484" s="6">
        <v>0</v>
      </c>
      <c r="L484" s="6">
        <v>189.661</v>
      </c>
      <c r="M484" s="6">
        <v>189.661</v>
      </c>
      <c r="N484" s="6">
        <v>189.661</v>
      </c>
      <c r="O484" s="6">
        <v>189.661</v>
      </c>
      <c r="P484" s="6">
        <v>1027</v>
      </c>
      <c r="Q484" s="4" t="s">
        <v>26</v>
      </c>
      <c r="R484" s="4">
        <v>0</v>
      </c>
      <c r="S484" s="6">
        <v>0</v>
      </c>
      <c r="T484" s="6">
        <v>61</v>
      </c>
      <c r="U484" s="6">
        <v>72</v>
      </c>
      <c r="V484" s="6">
        <f>IF(ISERROR(VLOOKUP($S$484,'TAR FIN'!$A$1:$O$88,15,0)),0,VLOOKUP($S$484,'TAR FIN'!$A$1:$O$88,15,0))</f>
        <v>0</v>
      </c>
      <c r="W484" s="6">
        <f>IF(ISERROR(VLOOKUP($T$484,'TAR FIN'!$A$1:$O$88,15,0)),0,VLOOKUP($T$484,'TAR FIN'!$A$1:$O$88,15,0))</f>
        <v>374.66</v>
      </c>
      <c r="X484" s="6">
        <f>IF(ISERROR(VLOOKUP($U$484,'TAR FIN'!$A$1:$O$88,15,0)),0,VLOOKUP($U$484,'TAR FIN'!$A$1:$O$88,15,0))</f>
        <v>221.96</v>
      </c>
      <c r="Y484" s="6"/>
      <c r="Z484" s="6">
        <f ca="1">('TUSD BE'!$AM$33+'TUSD BF'!$AM$33+'TUSD CVA'!$AM$33)*(1-CUSTOS!$M$38)</f>
        <v>458.58557094695544</v>
      </c>
      <c r="AA484" s="6">
        <f>('TE BE'!$AB$23+'TE BF'!$AB$23+'TE CVA'!$AB$23)*(1-CUSTOS!$M$38)</f>
        <v>236.80902583286482</v>
      </c>
      <c r="AB484" s="6">
        <f>$K$484*$V$484</f>
        <v>0</v>
      </c>
      <c r="AC484" s="6">
        <f>$M$484*$W$484</f>
        <v>71058.39026</v>
      </c>
      <c r="AD484" s="6">
        <f>$O$484*$X$484</f>
        <v>42097.155559999999</v>
      </c>
      <c r="AE484" s="6">
        <f>$K$484*$Y$484</f>
        <v>0</v>
      </c>
      <c r="AF484" s="6">
        <f ca="1">$M$484*$Z$484</f>
        <v>86975.797971370514</v>
      </c>
      <c r="AG484" s="6">
        <f>$O$484*$AA$484</f>
        <v>44913.436648486975</v>
      </c>
    </row>
    <row r="485" spans="1:33" ht="11.25" customHeight="1" x14ac:dyDescent="0.25">
      <c r="A485" s="4" t="s">
        <v>28</v>
      </c>
      <c r="B485" s="4" t="s">
        <v>40</v>
      </c>
      <c r="C485" s="4" t="s">
        <v>23</v>
      </c>
      <c r="D485" s="4" t="s">
        <v>41</v>
      </c>
      <c r="E485" s="4" t="s">
        <v>25</v>
      </c>
      <c r="F485" s="4" t="s">
        <v>25</v>
      </c>
      <c r="G485" s="4" t="s">
        <v>25</v>
      </c>
      <c r="H485" s="4" t="s">
        <v>25</v>
      </c>
      <c r="I485" s="5">
        <v>44713</v>
      </c>
      <c r="J485" s="6">
        <v>0</v>
      </c>
      <c r="K485" s="6">
        <v>0</v>
      </c>
      <c r="L485" s="6">
        <v>-2.3580000000000001</v>
      </c>
      <c r="M485" s="6">
        <v>-2.3580000000000001</v>
      </c>
      <c r="N485" s="6">
        <v>-2.3580000000000001</v>
      </c>
      <c r="O485" s="6">
        <v>-2.3580000000000001</v>
      </c>
      <c r="P485" s="6">
        <v>7</v>
      </c>
      <c r="Q485" s="4" t="s">
        <v>26</v>
      </c>
      <c r="R485" s="4">
        <v>0</v>
      </c>
      <c r="S485" s="6">
        <v>0</v>
      </c>
      <c r="T485" s="6">
        <v>61</v>
      </c>
      <c r="U485" s="6">
        <v>72</v>
      </c>
      <c r="V485" s="6">
        <f>IF(ISERROR(VLOOKUP($S$485,'TAR FIN'!$A$1:$O$88,15,0)),0,VLOOKUP($S$485,'TAR FIN'!$A$1:$O$88,15,0))</f>
        <v>0</v>
      </c>
      <c r="W485" s="6">
        <f>IF(ISERROR(VLOOKUP($T$485,'TAR FIN'!$A$1:$O$88,15,0)),0,VLOOKUP($T$485,'TAR FIN'!$A$1:$O$88,15,0))</f>
        <v>374.66</v>
      </c>
      <c r="X485" s="6">
        <f>IF(ISERROR(VLOOKUP($U$485,'TAR FIN'!$A$1:$O$88,15,0)),0,VLOOKUP($U$485,'TAR FIN'!$A$1:$O$88,15,0))</f>
        <v>221.96</v>
      </c>
      <c r="Y485" s="6"/>
      <c r="Z485" s="6">
        <f ca="1">('TUSD BE'!$AM$33+'TUSD BF'!$AM$33+'TUSD CVA'!$AM$33)*(1-CUSTOS!$M$38)</f>
        <v>458.58557094695544</v>
      </c>
      <c r="AA485" s="6">
        <f>('TE BE'!$AB$23+'TE BF'!$AB$23+'TE CVA'!$AB$23)*(1-CUSTOS!$M$38)</f>
        <v>236.80902583286482</v>
      </c>
      <c r="AB485" s="6">
        <f>$K$485*$V$485</f>
        <v>0</v>
      </c>
      <c r="AC485" s="6">
        <f>$M$485*$W$485</f>
        <v>-883.44828000000007</v>
      </c>
      <c r="AD485" s="6">
        <f>$O$485*$X$485</f>
        <v>-523.38168000000007</v>
      </c>
      <c r="AE485" s="6">
        <f>$K$485*$Y$485</f>
        <v>0</v>
      </c>
      <c r="AF485" s="6">
        <f ca="1">$M$485*$Z$485</f>
        <v>-1081.3447762929209</v>
      </c>
      <c r="AG485" s="6">
        <f>$O$485*$AA$485</f>
        <v>-558.39568291389526</v>
      </c>
    </row>
    <row r="486" spans="1:33" ht="11.25" customHeight="1" x14ac:dyDescent="0.25">
      <c r="A486" s="4" t="s">
        <v>21</v>
      </c>
      <c r="B486" s="4" t="s">
        <v>33</v>
      </c>
      <c r="C486" s="4" t="s">
        <v>23</v>
      </c>
      <c r="D486" s="4" t="s">
        <v>39</v>
      </c>
      <c r="E486" s="4" t="s">
        <v>25</v>
      </c>
      <c r="F486" s="4" t="s">
        <v>25</v>
      </c>
      <c r="G486" s="4" t="s">
        <v>25</v>
      </c>
      <c r="H486" s="4" t="s">
        <v>25</v>
      </c>
      <c r="I486" s="5">
        <v>44378</v>
      </c>
      <c r="J486" s="6">
        <v>0</v>
      </c>
      <c r="K486" s="6">
        <v>0</v>
      </c>
      <c r="L486" s="6">
        <v>340.55</v>
      </c>
      <c r="M486" s="6">
        <v>340.55</v>
      </c>
      <c r="N486" s="6">
        <v>340.55</v>
      </c>
      <c r="O486" s="6">
        <v>340.55</v>
      </c>
      <c r="P486" s="6">
        <v>859</v>
      </c>
      <c r="Q486" s="4" t="s">
        <v>26</v>
      </c>
      <c r="R486" s="4">
        <v>0</v>
      </c>
      <c r="S486" s="6">
        <v>0</v>
      </c>
      <c r="T486" s="6">
        <v>30</v>
      </c>
      <c r="U486" s="6">
        <v>79</v>
      </c>
      <c r="V486" s="6">
        <f>IF(ISERROR(VLOOKUP($S$486,'TAR FIN'!$A$1:$O$88,15,0)),0,VLOOKUP($S$486,'TAR FIN'!$A$1:$O$88,15,0))</f>
        <v>0</v>
      </c>
      <c r="W486" s="6">
        <f>IF(ISERROR(VLOOKUP($T$486,'TAR FIN'!$A$1:$O$88,15,0)),0,VLOOKUP($T$486,'TAR FIN'!$A$1:$O$88,15,0))</f>
        <v>425.75</v>
      </c>
      <c r="X486" s="6">
        <f>IF(ISERROR(VLOOKUP($U$486,'TAR FIN'!$A$1:$O$88,15,0)),0,VLOOKUP($U$486,'TAR FIN'!$A$1:$O$88,15,0))</f>
        <v>252.22</v>
      </c>
      <c r="Y486" s="6"/>
      <c r="Z486" s="6">
        <f ca="1">('TUSD BE'!$AM$48+'TUSD BF'!$AM$48+'TUSD CVA'!$AM$48)*1</f>
        <v>487.85699036910154</v>
      </c>
      <c r="AA486" s="6">
        <f>('TE BE'!$AB$38+'TE BF'!$AB$38+'TE CVA'!$AB$38)*1</f>
        <v>251.92449556687748</v>
      </c>
      <c r="AB486" s="6">
        <f>$K$486*$V$486</f>
        <v>0</v>
      </c>
      <c r="AC486" s="6">
        <f>$M$486*$W$486</f>
        <v>144989.16250000001</v>
      </c>
      <c r="AD486" s="6">
        <f>$O$486*$X$486</f>
        <v>85893.521000000008</v>
      </c>
      <c r="AE486" s="6">
        <f>$K$486*$Y$486</f>
        <v>0</v>
      </c>
      <c r="AF486" s="6">
        <f ca="1">$M$486*$Z$486</f>
        <v>166139.69807019754</v>
      </c>
      <c r="AG486" s="6">
        <f>$O$486*$AA$486</f>
        <v>85792.886965300131</v>
      </c>
    </row>
    <row r="487" spans="1:33" ht="11.25" customHeight="1" x14ac:dyDescent="0.25">
      <c r="A487" s="4" t="s">
        <v>28</v>
      </c>
      <c r="B487" s="4" t="s">
        <v>33</v>
      </c>
      <c r="C487" s="4" t="s">
        <v>23</v>
      </c>
      <c r="D487" s="4" t="s">
        <v>39</v>
      </c>
      <c r="E487" s="4" t="s">
        <v>25</v>
      </c>
      <c r="F487" s="4" t="s">
        <v>25</v>
      </c>
      <c r="G487" s="4" t="s">
        <v>25</v>
      </c>
      <c r="H487" s="4" t="s">
        <v>25</v>
      </c>
      <c r="I487" s="5">
        <v>44378</v>
      </c>
      <c r="J487" s="6">
        <v>0</v>
      </c>
      <c r="K487" s="6">
        <v>0</v>
      </c>
      <c r="L487" s="6">
        <v>62.747</v>
      </c>
      <c r="M487" s="6">
        <v>62.747</v>
      </c>
      <c r="N487" s="6">
        <v>62.747</v>
      </c>
      <c r="O487" s="6">
        <v>62.747</v>
      </c>
      <c r="P487" s="6">
        <v>108</v>
      </c>
      <c r="Q487" s="4" t="s">
        <v>26</v>
      </c>
      <c r="R487" s="4">
        <v>0</v>
      </c>
      <c r="S487" s="6">
        <v>0</v>
      </c>
      <c r="T487" s="6">
        <v>30</v>
      </c>
      <c r="U487" s="6">
        <v>79</v>
      </c>
      <c r="V487" s="6">
        <f>IF(ISERROR(VLOOKUP($S$487,'TAR FIN'!$A$1:$O$88,15,0)),0,VLOOKUP($S$487,'TAR FIN'!$A$1:$O$88,15,0))</f>
        <v>0</v>
      </c>
      <c r="W487" s="6">
        <f>IF(ISERROR(VLOOKUP($T$487,'TAR FIN'!$A$1:$O$88,15,0)),0,VLOOKUP($T$487,'TAR FIN'!$A$1:$O$88,15,0))</f>
        <v>425.75</v>
      </c>
      <c r="X487" s="6">
        <f>IF(ISERROR(VLOOKUP($U$487,'TAR FIN'!$A$1:$O$88,15,0)),0,VLOOKUP($U$487,'TAR FIN'!$A$1:$O$88,15,0))</f>
        <v>252.22</v>
      </c>
      <c r="Y487" s="6"/>
      <c r="Z487" s="6">
        <f ca="1">('TUSD BE'!$AM$48+'TUSD BF'!$AM$48+'TUSD CVA'!$AM$48)*1</f>
        <v>487.85699036910154</v>
      </c>
      <c r="AA487" s="6">
        <f>('TE BE'!$AB$38+'TE BF'!$AB$38+'TE CVA'!$AB$38)*1</f>
        <v>251.92449556687748</v>
      </c>
      <c r="AB487" s="6">
        <f>$K$487*$V$487</f>
        <v>0</v>
      </c>
      <c r="AC487" s="6">
        <f>$M$487*$W$487</f>
        <v>26714.535250000001</v>
      </c>
      <c r="AD487" s="6">
        <f>$O$487*$X$487</f>
        <v>15826.048339999999</v>
      </c>
      <c r="AE487" s="6">
        <f>$K$487*$Y$487</f>
        <v>0</v>
      </c>
      <c r="AF487" s="6">
        <f ca="1">$M$487*$Z$487</f>
        <v>30611.562574690015</v>
      </c>
      <c r="AG487" s="6">
        <f>$O$487*$AA$487</f>
        <v>15807.506323334861</v>
      </c>
    </row>
    <row r="488" spans="1:33" ht="11.25" customHeight="1" x14ac:dyDescent="0.25">
      <c r="A488" s="4" t="s">
        <v>21</v>
      </c>
      <c r="B488" s="4" t="s">
        <v>33</v>
      </c>
      <c r="C488" s="4" t="s">
        <v>23</v>
      </c>
      <c r="D488" s="4" t="s">
        <v>39</v>
      </c>
      <c r="E488" s="4" t="s">
        <v>25</v>
      </c>
      <c r="F488" s="4" t="s">
        <v>25</v>
      </c>
      <c r="G488" s="4" t="s">
        <v>25</v>
      </c>
      <c r="H488" s="4" t="s">
        <v>25</v>
      </c>
      <c r="I488" s="5">
        <v>44409</v>
      </c>
      <c r="J488" s="6">
        <v>0</v>
      </c>
      <c r="K488" s="6">
        <v>0</v>
      </c>
      <c r="L488" s="6">
        <v>343.75799999999998</v>
      </c>
      <c r="M488" s="6">
        <v>343.75799999999998</v>
      </c>
      <c r="N488" s="6">
        <v>343.75799999999998</v>
      </c>
      <c r="O488" s="6">
        <v>343.75799999999998</v>
      </c>
      <c r="P488" s="6">
        <v>847</v>
      </c>
      <c r="Q488" s="4" t="s">
        <v>26</v>
      </c>
      <c r="R488" s="4">
        <v>0</v>
      </c>
      <c r="S488" s="6">
        <v>0</v>
      </c>
      <c r="T488" s="6">
        <v>30</v>
      </c>
      <c r="U488" s="6">
        <v>79</v>
      </c>
      <c r="V488" s="6">
        <f>IF(ISERROR(VLOOKUP($S$488,'TAR FIN'!$A$1:$O$88,15,0)),0,VLOOKUP($S$488,'TAR FIN'!$A$1:$O$88,15,0))</f>
        <v>0</v>
      </c>
      <c r="W488" s="6">
        <f>IF(ISERROR(VLOOKUP($T$488,'TAR FIN'!$A$1:$O$88,15,0)),0,VLOOKUP($T$488,'TAR FIN'!$A$1:$O$88,15,0))</f>
        <v>425.75</v>
      </c>
      <c r="X488" s="6">
        <f>IF(ISERROR(VLOOKUP($U$488,'TAR FIN'!$A$1:$O$88,15,0)),0,VLOOKUP($U$488,'TAR FIN'!$A$1:$O$88,15,0))</f>
        <v>252.22</v>
      </c>
      <c r="Y488" s="6"/>
      <c r="Z488" s="6">
        <f ca="1">('TUSD BE'!$AM$48+'TUSD BF'!$AM$48+'TUSD CVA'!$AM$48)*1</f>
        <v>487.85699036910154</v>
      </c>
      <c r="AA488" s="6">
        <f>('TE BE'!$AB$38+'TE BF'!$AB$38+'TE CVA'!$AB$38)*1</f>
        <v>251.92449556687748</v>
      </c>
      <c r="AB488" s="6">
        <f>$K$488*$V$488</f>
        <v>0</v>
      </c>
      <c r="AC488" s="6">
        <f>$M$488*$W$488</f>
        <v>146354.96849999999</v>
      </c>
      <c r="AD488" s="6">
        <f>$O$488*$X$488</f>
        <v>86702.642759999988</v>
      </c>
      <c r="AE488" s="6">
        <f>$K$488*$Y$488</f>
        <v>0</v>
      </c>
      <c r="AF488" s="6">
        <f ca="1">$M$488*$Z$488</f>
        <v>167704.7432953016</v>
      </c>
      <c r="AG488" s="6">
        <f>$O$488*$AA$488</f>
        <v>86601.060747078664</v>
      </c>
    </row>
    <row r="489" spans="1:33" ht="11.25" customHeight="1" x14ac:dyDescent="0.25">
      <c r="A489" s="4" t="s">
        <v>28</v>
      </c>
      <c r="B489" s="4" t="s">
        <v>33</v>
      </c>
      <c r="C489" s="4" t="s">
        <v>23</v>
      </c>
      <c r="D489" s="4" t="s">
        <v>39</v>
      </c>
      <c r="E489" s="4" t="s">
        <v>25</v>
      </c>
      <c r="F489" s="4" t="s">
        <v>25</v>
      </c>
      <c r="G489" s="4" t="s">
        <v>25</v>
      </c>
      <c r="H489" s="4" t="s">
        <v>25</v>
      </c>
      <c r="I489" s="5">
        <v>44409</v>
      </c>
      <c r="J489" s="6">
        <v>0</v>
      </c>
      <c r="K489" s="6">
        <v>0</v>
      </c>
      <c r="L489" s="6">
        <v>51.625</v>
      </c>
      <c r="M489" s="6">
        <v>51.625</v>
      </c>
      <c r="N489" s="6">
        <v>51.625</v>
      </c>
      <c r="O489" s="6">
        <v>51.625</v>
      </c>
      <c r="P489" s="6">
        <v>115</v>
      </c>
      <c r="Q489" s="4" t="s">
        <v>26</v>
      </c>
      <c r="R489" s="4">
        <v>0</v>
      </c>
      <c r="S489" s="6">
        <v>0</v>
      </c>
      <c r="T489" s="6">
        <v>30</v>
      </c>
      <c r="U489" s="6">
        <v>79</v>
      </c>
      <c r="V489" s="6">
        <f>IF(ISERROR(VLOOKUP($S$489,'TAR FIN'!$A$1:$O$88,15,0)),0,VLOOKUP($S$489,'TAR FIN'!$A$1:$O$88,15,0))</f>
        <v>0</v>
      </c>
      <c r="W489" s="6">
        <f>IF(ISERROR(VLOOKUP($T$489,'TAR FIN'!$A$1:$O$88,15,0)),0,VLOOKUP($T$489,'TAR FIN'!$A$1:$O$88,15,0))</f>
        <v>425.75</v>
      </c>
      <c r="X489" s="6">
        <f>IF(ISERROR(VLOOKUP($U$489,'TAR FIN'!$A$1:$O$88,15,0)),0,VLOOKUP($U$489,'TAR FIN'!$A$1:$O$88,15,0))</f>
        <v>252.22</v>
      </c>
      <c r="Y489" s="6"/>
      <c r="Z489" s="6">
        <f ca="1">('TUSD BE'!$AM$48+'TUSD BF'!$AM$48+'TUSD CVA'!$AM$48)*1</f>
        <v>487.85699036910154</v>
      </c>
      <c r="AA489" s="6">
        <f>('TE BE'!$AB$38+'TE BF'!$AB$38+'TE CVA'!$AB$38)*1</f>
        <v>251.92449556687748</v>
      </c>
      <c r="AB489" s="6">
        <f>$K$489*$V$489</f>
        <v>0</v>
      </c>
      <c r="AC489" s="6">
        <f>$M$489*$W$489</f>
        <v>21979.34375</v>
      </c>
      <c r="AD489" s="6">
        <f>$O$489*$X$489</f>
        <v>13020.8575</v>
      </c>
      <c r="AE489" s="6">
        <f>$K$489*$Y$489</f>
        <v>0</v>
      </c>
      <c r="AF489" s="6">
        <f ca="1">$M$489*$Z$489</f>
        <v>25185.617127804868</v>
      </c>
      <c r="AG489" s="6">
        <f>$O$489*$AA$489</f>
        <v>13005.602083640049</v>
      </c>
    </row>
    <row r="490" spans="1:33" ht="11.25" customHeight="1" x14ac:dyDescent="0.25">
      <c r="A490" s="4" t="s">
        <v>21</v>
      </c>
      <c r="B490" s="4" t="s">
        <v>33</v>
      </c>
      <c r="C490" s="4" t="s">
        <v>23</v>
      </c>
      <c r="D490" s="4" t="s">
        <v>39</v>
      </c>
      <c r="E490" s="4" t="s">
        <v>25</v>
      </c>
      <c r="F490" s="4" t="s">
        <v>25</v>
      </c>
      <c r="G490" s="4" t="s">
        <v>25</v>
      </c>
      <c r="H490" s="4" t="s">
        <v>25</v>
      </c>
      <c r="I490" s="5">
        <v>44440</v>
      </c>
      <c r="J490" s="6">
        <v>0</v>
      </c>
      <c r="K490" s="6">
        <v>0</v>
      </c>
      <c r="L490" s="6">
        <v>360.21</v>
      </c>
      <c r="M490" s="6">
        <v>360.21</v>
      </c>
      <c r="N490" s="6">
        <v>360.21</v>
      </c>
      <c r="O490" s="6">
        <v>360.21</v>
      </c>
      <c r="P490" s="6">
        <v>841</v>
      </c>
      <c r="Q490" s="4" t="s">
        <v>26</v>
      </c>
      <c r="R490" s="4">
        <v>0</v>
      </c>
      <c r="S490" s="6">
        <v>0</v>
      </c>
      <c r="T490" s="6">
        <v>30</v>
      </c>
      <c r="U490" s="6">
        <v>79</v>
      </c>
      <c r="V490" s="6">
        <f>IF(ISERROR(VLOOKUP($S$490,'TAR FIN'!$A$1:$O$88,15,0)),0,VLOOKUP($S$490,'TAR FIN'!$A$1:$O$88,15,0))</f>
        <v>0</v>
      </c>
      <c r="W490" s="6">
        <f>IF(ISERROR(VLOOKUP($T$490,'TAR FIN'!$A$1:$O$88,15,0)),0,VLOOKUP($T$490,'TAR FIN'!$A$1:$O$88,15,0))</f>
        <v>425.75</v>
      </c>
      <c r="X490" s="6">
        <f>IF(ISERROR(VLOOKUP($U$490,'TAR FIN'!$A$1:$O$88,15,0)),0,VLOOKUP($U$490,'TAR FIN'!$A$1:$O$88,15,0))</f>
        <v>252.22</v>
      </c>
      <c r="Y490" s="6"/>
      <c r="Z490" s="6">
        <f ca="1">('TUSD BE'!$AM$48+'TUSD BF'!$AM$48+'TUSD CVA'!$AM$48)*1</f>
        <v>487.85699036910154</v>
      </c>
      <c r="AA490" s="6">
        <f>('TE BE'!$AB$38+'TE BF'!$AB$38+'TE CVA'!$AB$38)*1</f>
        <v>251.92449556687748</v>
      </c>
      <c r="AB490" s="6">
        <f>$K$490*$V$490</f>
        <v>0</v>
      </c>
      <c r="AC490" s="6">
        <f>$M$490*$W$490</f>
        <v>153359.4075</v>
      </c>
      <c r="AD490" s="6">
        <f>$O$490*$X$490</f>
        <v>90852.166199999992</v>
      </c>
      <c r="AE490" s="6">
        <f>$K$490*$Y$490</f>
        <v>0</v>
      </c>
      <c r="AF490" s="6">
        <f ca="1">$M$490*$Z$490</f>
        <v>175730.96650085406</v>
      </c>
      <c r="AG490" s="6">
        <f>$O$490*$AA$490</f>
        <v>90745.722548144928</v>
      </c>
    </row>
    <row r="491" spans="1:33" ht="11.25" customHeight="1" x14ac:dyDescent="0.25">
      <c r="A491" s="4" t="s">
        <v>28</v>
      </c>
      <c r="B491" s="4" t="s">
        <v>33</v>
      </c>
      <c r="C491" s="4" t="s">
        <v>23</v>
      </c>
      <c r="D491" s="4" t="s">
        <v>39</v>
      </c>
      <c r="E491" s="4" t="s">
        <v>25</v>
      </c>
      <c r="F491" s="4" t="s">
        <v>25</v>
      </c>
      <c r="G491" s="4" t="s">
        <v>25</v>
      </c>
      <c r="H491" s="4" t="s">
        <v>25</v>
      </c>
      <c r="I491" s="5">
        <v>44440</v>
      </c>
      <c r="J491" s="6">
        <v>0</v>
      </c>
      <c r="K491" s="6">
        <v>0</v>
      </c>
      <c r="L491" s="6">
        <v>59.561</v>
      </c>
      <c r="M491" s="6">
        <v>59.561</v>
      </c>
      <c r="N491" s="6">
        <v>59.561</v>
      </c>
      <c r="O491" s="6">
        <v>59.561</v>
      </c>
      <c r="P491" s="6">
        <v>112</v>
      </c>
      <c r="Q491" s="4" t="s">
        <v>26</v>
      </c>
      <c r="R491" s="4">
        <v>0</v>
      </c>
      <c r="S491" s="6">
        <v>0</v>
      </c>
      <c r="T491" s="6">
        <v>30</v>
      </c>
      <c r="U491" s="6">
        <v>79</v>
      </c>
      <c r="V491" s="6">
        <f>IF(ISERROR(VLOOKUP($S$491,'TAR FIN'!$A$1:$O$88,15,0)),0,VLOOKUP($S$491,'TAR FIN'!$A$1:$O$88,15,0))</f>
        <v>0</v>
      </c>
      <c r="W491" s="6">
        <f>IF(ISERROR(VLOOKUP($T$491,'TAR FIN'!$A$1:$O$88,15,0)),0,VLOOKUP($T$491,'TAR FIN'!$A$1:$O$88,15,0))</f>
        <v>425.75</v>
      </c>
      <c r="X491" s="6">
        <f>IF(ISERROR(VLOOKUP($U$491,'TAR FIN'!$A$1:$O$88,15,0)),0,VLOOKUP($U$491,'TAR FIN'!$A$1:$O$88,15,0))</f>
        <v>252.22</v>
      </c>
      <c r="Y491" s="6"/>
      <c r="Z491" s="6">
        <f ca="1">('TUSD BE'!$AM$48+'TUSD BF'!$AM$48+'TUSD CVA'!$AM$48)*1</f>
        <v>487.85699036910154</v>
      </c>
      <c r="AA491" s="6">
        <f>('TE BE'!$AB$38+'TE BF'!$AB$38+'TE CVA'!$AB$38)*1</f>
        <v>251.92449556687748</v>
      </c>
      <c r="AB491" s="6">
        <f>$K$491*$V$491</f>
        <v>0</v>
      </c>
      <c r="AC491" s="6">
        <f>$M$491*$W$491</f>
        <v>25358.09575</v>
      </c>
      <c r="AD491" s="6">
        <f>$O$491*$X$491</f>
        <v>15022.475420000001</v>
      </c>
      <c r="AE491" s="6">
        <f>$K$491*$Y$491</f>
        <v>0</v>
      </c>
      <c r="AF491" s="6">
        <f ca="1">$M$491*$Z$491</f>
        <v>29057.250203374057</v>
      </c>
      <c r="AG491" s="6">
        <f>$O$491*$AA$491</f>
        <v>15004.87488045879</v>
      </c>
    </row>
    <row r="492" spans="1:33" ht="11.25" customHeight="1" x14ac:dyDescent="0.25">
      <c r="A492" s="4" t="s">
        <v>21</v>
      </c>
      <c r="B492" s="4" t="s">
        <v>33</v>
      </c>
      <c r="C492" s="4" t="s">
        <v>23</v>
      </c>
      <c r="D492" s="4" t="s">
        <v>39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44470</v>
      </c>
      <c r="J492" s="6">
        <v>0</v>
      </c>
      <c r="K492" s="6">
        <v>0</v>
      </c>
      <c r="L492" s="6">
        <v>355.59399999999999</v>
      </c>
      <c r="M492" s="6">
        <v>355.59399999999999</v>
      </c>
      <c r="N492" s="6">
        <v>355.59399999999999</v>
      </c>
      <c r="O492" s="6">
        <v>355.59399999999999</v>
      </c>
      <c r="P492" s="6">
        <v>835</v>
      </c>
      <c r="Q492" s="4" t="s">
        <v>26</v>
      </c>
      <c r="R492" s="4">
        <v>0</v>
      </c>
      <c r="S492" s="6">
        <v>0</v>
      </c>
      <c r="T492" s="6">
        <v>30</v>
      </c>
      <c r="U492" s="6">
        <v>79</v>
      </c>
      <c r="V492" s="6">
        <f>IF(ISERROR(VLOOKUP($S$492,'TAR FIN'!$A$1:$O$88,15,0)),0,VLOOKUP($S$492,'TAR FIN'!$A$1:$O$88,15,0))</f>
        <v>0</v>
      </c>
      <c r="W492" s="6">
        <f>IF(ISERROR(VLOOKUP($T$492,'TAR FIN'!$A$1:$O$88,15,0)),0,VLOOKUP($T$492,'TAR FIN'!$A$1:$O$88,15,0))</f>
        <v>425.75</v>
      </c>
      <c r="X492" s="6">
        <f>IF(ISERROR(VLOOKUP($U$492,'TAR FIN'!$A$1:$O$88,15,0)),0,VLOOKUP($U$492,'TAR FIN'!$A$1:$O$88,15,0))</f>
        <v>252.22</v>
      </c>
      <c r="Y492" s="6"/>
      <c r="Z492" s="6">
        <f ca="1">('TUSD BE'!$AM$48+'TUSD BF'!$AM$48+'TUSD CVA'!$AM$48)*1</f>
        <v>487.85699036910154</v>
      </c>
      <c r="AA492" s="6">
        <f>('TE BE'!$AB$38+'TE BF'!$AB$38+'TE CVA'!$AB$38)*1</f>
        <v>251.92449556687748</v>
      </c>
      <c r="AB492" s="6">
        <f>$K$492*$V$492</f>
        <v>0</v>
      </c>
      <c r="AC492" s="6">
        <f>$M$492*$W$492</f>
        <v>151394.14549999998</v>
      </c>
      <c r="AD492" s="6">
        <f>$O$492*$X$492</f>
        <v>89687.918680000002</v>
      </c>
      <c r="AE492" s="6">
        <f>$K$492*$Y$492</f>
        <v>0</v>
      </c>
      <c r="AF492" s="6">
        <f ca="1">$M$492*$Z$492</f>
        <v>173479.01863331028</v>
      </c>
      <c r="AG492" s="6">
        <f>$O$492*$AA$492</f>
        <v>89582.83907660823</v>
      </c>
    </row>
    <row r="493" spans="1:33" ht="11.25" customHeight="1" x14ac:dyDescent="0.25">
      <c r="A493" s="4" t="s">
        <v>28</v>
      </c>
      <c r="B493" s="4" t="s">
        <v>33</v>
      </c>
      <c r="C493" s="4" t="s">
        <v>23</v>
      </c>
      <c r="D493" s="4" t="s">
        <v>39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44470</v>
      </c>
      <c r="J493" s="6">
        <v>0</v>
      </c>
      <c r="K493" s="6">
        <v>0</v>
      </c>
      <c r="L493" s="6">
        <v>46.7</v>
      </c>
      <c r="M493" s="6">
        <v>46.7</v>
      </c>
      <c r="N493" s="6">
        <v>46.7</v>
      </c>
      <c r="O493" s="6">
        <v>46.7</v>
      </c>
      <c r="P493" s="6">
        <v>117</v>
      </c>
      <c r="Q493" s="4" t="s">
        <v>26</v>
      </c>
      <c r="R493" s="4">
        <v>0</v>
      </c>
      <c r="S493" s="6">
        <v>0</v>
      </c>
      <c r="T493" s="6">
        <v>30</v>
      </c>
      <c r="U493" s="6">
        <v>79</v>
      </c>
      <c r="V493" s="6">
        <f>IF(ISERROR(VLOOKUP($S$493,'TAR FIN'!$A$1:$O$88,15,0)),0,VLOOKUP($S$493,'TAR FIN'!$A$1:$O$88,15,0))</f>
        <v>0</v>
      </c>
      <c r="W493" s="6">
        <f>IF(ISERROR(VLOOKUP($T$493,'TAR FIN'!$A$1:$O$88,15,0)),0,VLOOKUP($T$493,'TAR FIN'!$A$1:$O$88,15,0))</f>
        <v>425.75</v>
      </c>
      <c r="X493" s="6">
        <f>IF(ISERROR(VLOOKUP($U$493,'TAR FIN'!$A$1:$O$88,15,0)),0,VLOOKUP($U$493,'TAR FIN'!$A$1:$O$88,15,0))</f>
        <v>252.22</v>
      </c>
      <c r="Y493" s="6"/>
      <c r="Z493" s="6">
        <f ca="1">('TUSD BE'!$AM$48+'TUSD BF'!$AM$48+'TUSD CVA'!$AM$48)*1</f>
        <v>487.85699036910154</v>
      </c>
      <c r="AA493" s="6">
        <f>('TE BE'!$AB$38+'TE BF'!$AB$38+'TE CVA'!$AB$38)*1</f>
        <v>251.92449556687748</v>
      </c>
      <c r="AB493" s="6">
        <f>$K$493*$V$493</f>
        <v>0</v>
      </c>
      <c r="AC493" s="6">
        <f>$M$493*$W$493</f>
        <v>19882.525000000001</v>
      </c>
      <c r="AD493" s="6">
        <f>$O$493*$X$493</f>
        <v>11778.674000000001</v>
      </c>
      <c r="AE493" s="6">
        <f>$K$493*$Y$493</f>
        <v>0</v>
      </c>
      <c r="AF493" s="6">
        <f ca="1">$M$493*$Z$493</f>
        <v>22782.921450237041</v>
      </c>
      <c r="AG493" s="6">
        <f>$O$493*$AA$493</f>
        <v>11764.87394297318</v>
      </c>
    </row>
    <row r="494" spans="1:33" ht="11.25" customHeight="1" x14ac:dyDescent="0.25">
      <c r="A494" s="4" t="s">
        <v>21</v>
      </c>
      <c r="B494" s="4" t="s">
        <v>33</v>
      </c>
      <c r="C494" s="4" t="s">
        <v>23</v>
      </c>
      <c r="D494" s="4" t="s">
        <v>39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44501</v>
      </c>
      <c r="J494" s="6">
        <v>0</v>
      </c>
      <c r="K494" s="6">
        <v>0</v>
      </c>
      <c r="L494" s="6">
        <v>398.88</v>
      </c>
      <c r="M494" s="6">
        <v>398.88</v>
      </c>
      <c r="N494" s="6">
        <v>398.88</v>
      </c>
      <c r="O494" s="6">
        <v>398.88</v>
      </c>
      <c r="P494" s="6">
        <v>836</v>
      </c>
      <c r="Q494" s="4" t="s">
        <v>26</v>
      </c>
      <c r="R494" s="4">
        <v>0</v>
      </c>
      <c r="S494" s="6">
        <v>0</v>
      </c>
      <c r="T494" s="6">
        <v>30</v>
      </c>
      <c r="U494" s="6">
        <v>79</v>
      </c>
      <c r="V494" s="6">
        <f>IF(ISERROR(VLOOKUP($S$494,'TAR FIN'!$A$1:$O$88,15,0)),0,VLOOKUP($S$494,'TAR FIN'!$A$1:$O$88,15,0))</f>
        <v>0</v>
      </c>
      <c r="W494" s="6">
        <f>IF(ISERROR(VLOOKUP($T$494,'TAR FIN'!$A$1:$O$88,15,0)),0,VLOOKUP($T$494,'TAR FIN'!$A$1:$O$88,15,0))</f>
        <v>425.75</v>
      </c>
      <c r="X494" s="6">
        <f>IF(ISERROR(VLOOKUP($U$494,'TAR FIN'!$A$1:$O$88,15,0)),0,VLOOKUP($U$494,'TAR FIN'!$A$1:$O$88,15,0))</f>
        <v>252.22</v>
      </c>
      <c r="Y494" s="6"/>
      <c r="Z494" s="6">
        <f ca="1">('TUSD BE'!$AM$48+'TUSD BF'!$AM$48+'TUSD CVA'!$AM$48)*1</f>
        <v>487.85699036910154</v>
      </c>
      <c r="AA494" s="6">
        <f>('TE BE'!$AB$38+'TE BF'!$AB$38+'TE CVA'!$AB$38)*1</f>
        <v>251.92449556687748</v>
      </c>
      <c r="AB494" s="6">
        <f>$K$494*$V$494</f>
        <v>0</v>
      </c>
      <c r="AC494" s="6">
        <f>$M$494*$W$494</f>
        <v>169823.16</v>
      </c>
      <c r="AD494" s="6">
        <f>$O$494*$X$494</f>
        <v>100605.51359999999</v>
      </c>
      <c r="AE494" s="6">
        <f>$K$494*$Y$494</f>
        <v>0</v>
      </c>
      <c r="AF494" s="6">
        <f ca="1">$M$494*$Z$494</f>
        <v>194596.39631842723</v>
      </c>
      <c r="AG494" s="6">
        <f>$O$494*$AA$494</f>
        <v>100487.64279171609</v>
      </c>
    </row>
    <row r="495" spans="1:33" ht="11.25" customHeight="1" x14ac:dyDescent="0.25">
      <c r="A495" s="4" t="s">
        <v>28</v>
      </c>
      <c r="B495" s="4" t="s">
        <v>33</v>
      </c>
      <c r="C495" s="4" t="s">
        <v>23</v>
      </c>
      <c r="D495" s="4" t="s">
        <v>39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44501</v>
      </c>
      <c r="J495" s="6">
        <v>0</v>
      </c>
      <c r="K495" s="6">
        <v>0</v>
      </c>
      <c r="L495" s="6">
        <v>43.261000000000003</v>
      </c>
      <c r="M495" s="6">
        <v>43.261000000000003</v>
      </c>
      <c r="N495" s="6">
        <v>43.261000000000003</v>
      </c>
      <c r="O495" s="6">
        <v>43.261000000000003</v>
      </c>
      <c r="P495" s="6">
        <v>118</v>
      </c>
      <c r="Q495" s="4" t="s">
        <v>26</v>
      </c>
      <c r="R495" s="4">
        <v>0</v>
      </c>
      <c r="S495" s="6">
        <v>0</v>
      </c>
      <c r="T495" s="6">
        <v>30</v>
      </c>
      <c r="U495" s="6">
        <v>79</v>
      </c>
      <c r="V495" s="6">
        <f>IF(ISERROR(VLOOKUP($S$495,'TAR FIN'!$A$1:$O$88,15,0)),0,VLOOKUP($S$495,'TAR FIN'!$A$1:$O$88,15,0))</f>
        <v>0</v>
      </c>
      <c r="W495" s="6">
        <f>IF(ISERROR(VLOOKUP($T$495,'TAR FIN'!$A$1:$O$88,15,0)),0,VLOOKUP($T$495,'TAR FIN'!$A$1:$O$88,15,0))</f>
        <v>425.75</v>
      </c>
      <c r="X495" s="6">
        <f>IF(ISERROR(VLOOKUP($U$495,'TAR FIN'!$A$1:$O$88,15,0)),0,VLOOKUP($U$495,'TAR FIN'!$A$1:$O$88,15,0))</f>
        <v>252.22</v>
      </c>
      <c r="Y495" s="6"/>
      <c r="Z495" s="6">
        <f ca="1">('TUSD BE'!$AM$48+'TUSD BF'!$AM$48+'TUSD CVA'!$AM$48)*1</f>
        <v>487.85699036910154</v>
      </c>
      <c r="AA495" s="6">
        <f>('TE BE'!$AB$38+'TE BF'!$AB$38+'TE CVA'!$AB$38)*1</f>
        <v>251.92449556687748</v>
      </c>
      <c r="AB495" s="6">
        <f>$K$495*$V$495</f>
        <v>0</v>
      </c>
      <c r="AC495" s="6">
        <f>$M$495*$W$495</f>
        <v>18418.370750000002</v>
      </c>
      <c r="AD495" s="6">
        <f>$O$495*$X$495</f>
        <v>10911.289420000001</v>
      </c>
      <c r="AE495" s="6">
        <f>$K$495*$Y$495</f>
        <v>0</v>
      </c>
      <c r="AF495" s="6">
        <f ca="1">$M$495*$Z$495</f>
        <v>21105.181260357702</v>
      </c>
      <c r="AG495" s="6">
        <f>$O$495*$AA$495</f>
        <v>10898.505602718687</v>
      </c>
    </row>
    <row r="496" spans="1:33" ht="11.25" customHeight="1" x14ac:dyDescent="0.25">
      <c r="A496" s="4" t="s">
        <v>21</v>
      </c>
      <c r="B496" s="4" t="s">
        <v>33</v>
      </c>
      <c r="C496" s="4" t="s">
        <v>23</v>
      </c>
      <c r="D496" s="4" t="s">
        <v>39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44531</v>
      </c>
      <c r="J496" s="6">
        <v>0</v>
      </c>
      <c r="K496" s="6">
        <v>0</v>
      </c>
      <c r="L496" s="6">
        <v>395.46699999999998</v>
      </c>
      <c r="M496" s="6">
        <v>395.46699999999998</v>
      </c>
      <c r="N496" s="6">
        <v>395.46699999999998</v>
      </c>
      <c r="O496" s="6">
        <v>395.46699999999998</v>
      </c>
      <c r="P496" s="6">
        <v>839</v>
      </c>
      <c r="Q496" s="4" t="s">
        <v>26</v>
      </c>
      <c r="R496" s="4">
        <v>0</v>
      </c>
      <c r="S496" s="6">
        <v>0</v>
      </c>
      <c r="T496" s="6">
        <v>30</v>
      </c>
      <c r="U496" s="6">
        <v>79</v>
      </c>
      <c r="V496" s="6">
        <f>IF(ISERROR(VLOOKUP($S$496,'TAR FIN'!$A$1:$O$88,15,0)),0,VLOOKUP($S$496,'TAR FIN'!$A$1:$O$88,15,0))</f>
        <v>0</v>
      </c>
      <c r="W496" s="6">
        <f>IF(ISERROR(VLOOKUP($T$496,'TAR FIN'!$A$1:$O$88,15,0)),0,VLOOKUP($T$496,'TAR FIN'!$A$1:$O$88,15,0))</f>
        <v>425.75</v>
      </c>
      <c r="X496" s="6">
        <f>IF(ISERROR(VLOOKUP($U$496,'TAR FIN'!$A$1:$O$88,15,0)),0,VLOOKUP($U$496,'TAR FIN'!$A$1:$O$88,15,0))</f>
        <v>252.22</v>
      </c>
      <c r="Y496" s="6"/>
      <c r="Z496" s="6">
        <f ca="1">('TUSD BE'!$AM$48+'TUSD BF'!$AM$48+'TUSD CVA'!$AM$48)*1</f>
        <v>487.85699036910154</v>
      </c>
      <c r="AA496" s="6">
        <f>('TE BE'!$AB$38+'TE BF'!$AB$38+'TE CVA'!$AB$38)*1</f>
        <v>251.92449556687748</v>
      </c>
      <c r="AB496" s="6">
        <f>$K$496*$V$496</f>
        <v>0</v>
      </c>
      <c r="AC496" s="6">
        <f>$M$496*$W$496</f>
        <v>168370.07524999999</v>
      </c>
      <c r="AD496" s="6">
        <f>$O$496*$X$496</f>
        <v>99744.68673999999</v>
      </c>
      <c r="AE496" s="6">
        <f>$K$496*$Y$496</f>
        <v>0</v>
      </c>
      <c r="AF496" s="6">
        <f ca="1">$M$496*$Z$496</f>
        <v>192931.34041029747</v>
      </c>
      <c r="AG496" s="6">
        <f>$O$496*$AA$496</f>
        <v>99627.824488346334</v>
      </c>
    </row>
    <row r="497" spans="1:33" ht="11.25" customHeight="1" x14ac:dyDescent="0.25">
      <c r="A497" s="4" t="s">
        <v>27</v>
      </c>
      <c r="B497" s="4" t="s">
        <v>33</v>
      </c>
      <c r="C497" s="4" t="s">
        <v>23</v>
      </c>
      <c r="D497" s="4" t="s">
        <v>39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44531</v>
      </c>
      <c r="J497" s="6">
        <v>0</v>
      </c>
      <c r="K497" s="6">
        <v>0</v>
      </c>
      <c r="L497" s="6">
        <v>-0.24299999999999999</v>
      </c>
      <c r="M497" s="6">
        <v>-0.24299999999999999</v>
      </c>
      <c r="N497" s="6">
        <v>-0.24299999999999999</v>
      </c>
      <c r="O497" s="6">
        <v>-0.24299999999999999</v>
      </c>
      <c r="P497" s="6">
        <v>0</v>
      </c>
      <c r="Q497" s="4" t="s">
        <v>26</v>
      </c>
      <c r="R497" s="4">
        <v>0</v>
      </c>
      <c r="S497" s="6">
        <v>0</v>
      </c>
      <c r="T497" s="6">
        <v>30</v>
      </c>
      <c r="U497" s="6">
        <v>79</v>
      </c>
      <c r="V497" s="6">
        <f>IF(ISERROR(VLOOKUP($S$497,'TAR FIN'!$A$1:$O$88,15,0)),0,VLOOKUP($S$497,'TAR FIN'!$A$1:$O$88,15,0))</f>
        <v>0</v>
      </c>
      <c r="W497" s="6">
        <f>IF(ISERROR(VLOOKUP($T$497,'TAR FIN'!$A$1:$O$88,15,0)),0,VLOOKUP($T$497,'TAR FIN'!$A$1:$O$88,15,0))</f>
        <v>425.75</v>
      </c>
      <c r="X497" s="6">
        <f>IF(ISERROR(VLOOKUP($U$497,'TAR FIN'!$A$1:$O$88,15,0)),0,VLOOKUP($U$497,'TAR FIN'!$A$1:$O$88,15,0))</f>
        <v>252.22</v>
      </c>
      <c r="Y497" s="6"/>
      <c r="Z497" s="6">
        <f ca="1">('TUSD BE'!$AM$48+'TUSD BF'!$AM$48+'TUSD CVA'!$AM$48)*1</f>
        <v>487.85699036910154</v>
      </c>
      <c r="AA497" s="6">
        <f>('TE BE'!$AB$38+'TE BF'!$AB$38+'TE CVA'!$AB$38)*1</f>
        <v>251.92449556687748</v>
      </c>
      <c r="AB497" s="6">
        <f>$K$497*$V$497</f>
        <v>0</v>
      </c>
      <c r="AC497" s="6">
        <f>$M$497*$W$497</f>
        <v>-103.45725</v>
      </c>
      <c r="AD497" s="6">
        <f>$O$497*$X$497</f>
        <v>-61.289459999999998</v>
      </c>
      <c r="AE497" s="6">
        <f>$K$497*$Y$497</f>
        <v>0</v>
      </c>
      <c r="AF497" s="6">
        <f ca="1">$M$497*$Z$497</f>
        <v>-118.54924865969167</v>
      </c>
      <c r="AG497" s="6">
        <f>$O$497*$AA$497</f>
        <v>-61.217652422751229</v>
      </c>
    </row>
    <row r="498" spans="1:33" ht="11.25" customHeight="1" x14ac:dyDescent="0.25">
      <c r="A498" s="4" t="s">
        <v>28</v>
      </c>
      <c r="B498" s="4" t="s">
        <v>33</v>
      </c>
      <c r="C498" s="4" t="s">
        <v>23</v>
      </c>
      <c r="D498" s="4" t="s">
        <v>39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44531</v>
      </c>
      <c r="J498" s="6">
        <v>0</v>
      </c>
      <c r="K498" s="6">
        <v>0</v>
      </c>
      <c r="L498" s="6">
        <v>47.655000000000001</v>
      </c>
      <c r="M498" s="6">
        <v>47.655000000000001</v>
      </c>
      <c r="N498" s="6">
        <v>47.655000000000001</v>
      </c>
      <c r="O498" s="6">
        <v>47.655000000000001</v>
      </c>
      <c r="P498" s="6">
        <v>119</v>
      </c>
      <c r="Q498" s="4" t="s">
        <v>26</v>
      </c>
      <c r="R498" s="4">
        <v>0</v>
      </c>
      <c r="S498" s="6">
        <v>0</v>
      </c>
      <c r="T498" s="6">
        <v>30</v>
      </c>
      <c r="U498" s="6">
        <v>79</v>
      </c>
      <c r="V498" s="6">
        <f>IF(ISERROR(VLOOKUP($S$498,'TAR FIN'!$A$1:$O$88,15,0)),0,VLOOKUP($S$498,'TAR FIN'!$A$1:$O$88,15,0))</f>
        <v>0</v>
      </c>
      <c r="W498" s="6">
        <f>IF(ISERROR(VLOOKUP($T$498,'TAR FIN'!$A$1:$O$88,15,0)),0,VLOOKUP($T$498,'TAR FIN'!$A$1:$O$88,15,0))</f>
        <v>425.75</v>
      </c>
      <c r="X498" s="6">
        <f>IF(ISERROR(VLOOKUP($U$498,'TAR FIN'!$A$1:$O$88,15,0)),0,VLOOKUP($U$498,'TAR FIN'!$A$1:$O$88,15,0))</f>
        <v>252.22</v>
      </c>
      <c r="Y498" s="6"/>
      <c r="Z498" s="6">
        <f ca="1">('TUSD BE'!$AM$48+'TUSD BF'!$AM$48+'TUSD CVA'!$AM$48)*1</f>
        <v>487.85699036910154</v>
      </c>
      <c r="AA498" s="6">
        <f>('TE BE'!$AB$38+'TE BF'!$AB$38+'TE CVA'!$AB$38)*1</f>
        <v>251.92449556687748</v>
      </c>
      <c r="AB498" s="6">
        <f>$K$498*$V$498</f>
        <v>0</v>
      </c>
      <c r="AC498" s="6">
        <f>$M$498*$W$498</f>
        <v>20289.116249999999</v>
      </c>
      <c r="AD498" s="6">
        <f>$O$498*$X$498</f>
        <v>12019.544100000001</v>
      </c>
      <c r="AE498" s="6">
        <f>$K$498*$Y$498</f>
        <v>0</v>
      </c>
      <c r="AF498" s="6">
        <f ca="1">$M$498*$Z$498</f>
        <v>23248.824876039533</v>
      </c>
      <c r="AG498" s="6">
        <f>$O$498*$AA$498</f>
        <v>12005.461836239547</v>
      </c>
    </row>
    <row r="499" spans="1:33" ht="11.25" customHeight="1" x14ac:dyDescent="0.25">
      <c r="A499" s="4" t="s">
        <v>21</v>
      </c>
      <c r="B499" s="4" t="s">
        <v>33</v>
      </c>
      <c r="C499" s="4" t="s">
        <v>23</v>
      </c>
      <c r="D499" s="4" t="s">
        <v>39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44562</v>
      </c>
      <c r="J499" s="6">
        <v>0</v>
      </c>
      <c r="K499" s="6">
        <v>0</v>
      </c>
      <c r="L499" s="6">
        <v>456.79899999999998</v>
      </c>
      <c r="M499" s="6">
        <v>456.79899999999998</v>
      </c>
      <c r="N499" s="6">
        <v>456.79899999999998</v>
      </c>
      <c r="O499" s="6">
        <v>456.79899999999998</v>
      </c>
      <c r="P499" s="6">
        <v>837</v>
      </c>
      <c r="Q499" s="4" t="s">
        <v>26</v>
      </c>
      <c r="R499" s="4">
        <v>0</v>
      </c>
      <c r="S499" s="6">
        <v>0</v>
      </c>
      <c r="T499" s="6">
        <v>30</v>
      </c>
      <c r="U499" s="6">
        <v>79</v>
      </c>
      <c r="V499" s="6">
        <f>IF(ISERROR(VLOOKUP($S$499,'TAR FIN'!$A$1:$O$88,15,0)),0,VLOOKUP($S$499,'TAR FIN'!$A$1:$O$88,15,0))</f>
        <v>0</v>
      </c>
      <c r="W499" s="6">
        <f>IF(ISERROR(VLOOKUP($T$499,'TAR FIN'!$A$1:$O$88,15,0)),0,VLOOKUP($T$499,'TAR FIN'!$A$1:$O$88,15,0))</f>
        <v>425.75</v>
      </c>
      <c r="X499" s="6">
        <f>IF(ISERROR(VLOOKUP($U$499,'TAR FIN'!$A$1:$O$88,15,0)),0,VLOOKUP($U$499,'TAR FIN'!$A$1:$O$88,15,0))</f>
        <v>252.22</v>
      </c>
      <c r="Y499" s="6"/>
      <c r="Z499" s="6">
        <f ca="1">('TUSD BE'!$AM$48+'TUSD BF'!$AM$48+'TUSD CVA'!$AM$48)*1</f>
        <v>487.85699036910154</v>
      </c>
      <c r="AA499" s="6">
        <f>('TE BE'!$AB$38+'TE BF'!$AB$38+'TE CVA'!$AB$38)*1</f>
        <v>251.92449556687748</v>
      </c>
      <c r="AB499" s="6">
        <f>$K$499*$V$499</f>
        <v>0</v>
      </c>
      <c r="AC499" s="6">
        <f>$M$499*$W$499</f>
        <v>194482.17424999998</v>
      </c>
      <c r="AD499" s="6">
        <f>$O$499*$X$499</f>
        <v>115213.84378</v>
      </c>
      <c r="AE499" s="6">
        <f>$K$499*$Y$499</f>
        <v>0</v>
      </c>
      <c r="AF499" s="6">
        <f ca="1">$M$499*$Z$499</f>
        <v>222852.58534361521</v>
      </c>
      <c r="AG499" s="6">
        <f>$O$499*$AA$499</f>
        <v>115078.85765045405</v>
      </c>
    </row>
    <row r="500" spans="1:33" ht="11.25" customHeight="1" x14ac:dyDescent="0.25">
      <c r="A500" s="4" t="s">
        <v>27</v>
      </c>
      <c r="B500" s="4" t="s">
        <v>33</v>
      </c>
      <c r="C500" s="4" t="s">
        <v>23</v>
      </c>
      <c r="D500" s="4" t="s">
        <v>39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44562</v>
      </c>
      <c r="J500" s="6">
        <v>0</v>
      </c>
      <c r="K500" s="6">
        <v>0</v>
      </c>
      <c r="L500" s="6">
        <v>4.3899999999999997</v>
      </c>
      <c r="M500" s="6">
        <v>4.3899999999999997</v>
      </c>
      <c r="N500" s="6">
        <v>4.3899999999999997</v>
      </c>
      <c r="O500" s="6">
        <v>4.3899999999999997</v>
      </c>
      <c r="P500" s="6">
        <v>0</v>
      </c>
      <c r="Q500" s="4" t="s">
        <v>26</v>
      </c>
      <c r="R500" s="4">
        <v>0</v>
      </c>
      <c r="S500" s="6">
        <v>0</v>
      </c>
      <c r="T500" s="6">
        <v>30</v>
      </c>
      <c r="U500" s="6">
        <v>79</v>
      </c>
      <c r="V500" s="6">
        <f>IF(ISERROR(VLOOKUP($S$500,'TAR FIN'!$A$1:$O$88,15,0)),0,VLOOKUP($S$500,'TAR FIN'!$A$1:$O$88,15,0))</f>
        <v>0</v>
      </c>
      <c r="W500" s="6">
        <f>IF(ISERROR(VLOOKUP($T$500,'TAR FIN'!$A$1:$O$88,15,0)),0,VLOOKUP($T$500,'TAR FIN'!$A$1:$O$88,15,0))</f>
        <v>425.75</v>
      </c>
      <c r="X500" s="6">
        <f>IF(ISERROR(VLOOKUP($U$500,'TAR FIN'!$A$1:$O$88,15,0)),0,VLOOKUP($U$500,'TAR FIN'!$A$1:$O$88,15,0))</f>
        <v>252.22</v>
      </c>
      <c r="Y500" s="6"/>
      <c r="Z500" s="6">
        <f ca="1">('TUSD BE'!$AM$48+'TUSD BF'!$AM$48+'TUSD CVA'!$AM$48)*1</f>
        <v>487.85699036910154</v>
      </c>
      <c r="AA500" s="6">
        <f>('TE BE'!$AB$38+'TE BF'!$AB$38+'TE CVA'!$AB$38)*1</f>
        <v>251.92449556687748</v>
      </c>
      <c r="AB500" s="6">
        <f>$K$500*$V$500</f>
        <v>0</v>
      </c>
      <c r="AC500" s="6">
        <f>$M$500*$W$500</f>
        <v>1869.0424999999998</v>
      </c>
      <c r="AD500" s="6">
        <f>$O$500*$X$500</f>
        <v>1107.2457999999999</v>
      </c>
      <c r="AE500" s="6">
        <f>$K$500*$Y$500</f>
        <v>0</v>
      </c>
      <c r="AF500" s="6">
        <f ca="1">$M$500*$Z$500</f>
        <v>2141.6921877203554</v>
      </c>
      <c r="AG500" s="6">
        <f>$O$500*$AA$500</f>
        <v>1105.9485355385921</v>
      </c>
    </row>
    <row r="501" spans="1:33" ht="11.25" customHeight="1" x14ac:dyDescent="0.25">
      <c r="A501" s="4" t="s">
        <v>28</v>
      </c>
      <c r="B501" s="4" t="s">
        <v>33</v>
      </c>
      <c r="C501" s="4" t="s">
        <v>23</v>
      </c>
      <c r="D501" s="4" t="s">
        <v>39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44562</v>
      </c>
      <c r="J501" s="6">
        <v>0</v>
      </c>
      <c r="K501" s="6">
        <v>0</v>
      </c>
      <c r="L501" s="6">
        <v>58.091999999999999</v>
      </c>
      <c r="M501" s="6">
        <v>58.091999999999999</v>
      </c>
      <c r="N501" s="6">
        <v>58.091999999999999</v>
      </c>
      <c r="O501" s="6">
        <v>58.091999999999999</v>
      </c>
      <c r="P501" s="6">
        <v>123</v>
      </c>
      <c r="Q501" s="4" t="s">
        <v>26</v>
      </c>
      <c r="R501" s="4">
        <v>0</v>
      </c>
      <c r="S501" s="6">
        <v>0</v>
      </c>
      <c r="T501" s="6">
        <v>30</v>
      </c>
      <c r="U501" s="6">
        <v>79</v>
      </c>
      <c r="V501" s="6">
        <f>IF(ISERROR(VLOOKUP($S$501,'TAR FIN'!$A$1:$O$88,15,0)),0,VLOOKUP($S$501,'TAR FIN'!$A$1:$O$88,15,0))</f>
        <v>0</v>
      </c>
      <c r="W501" s="6">
        <f>IF(ISERROR(VLOOKUP($T$501,'TAR FIN'!$A$1:$O$88,15,0)),0,VLOOKUP($T$501,'TAR FIN'!$A$1:$O$88,15,0))</f>
        <v>425.75</v>
      </c>
      <c r="X501" s="6">
        <f>IF(ISERROR(VLOOKUP($U$501,'TAR FIN'!$A$1:$O$88,15,0)),0,VLOOKUP($U$501,'TAR FIN'!$A$1:$O$88,15,0))</f>
        <v>252.22</v>
      </c>
      <c r="Y501" s="6"/>
      <c r="Z501" s="6">
        <f ca="1">('TUSD BE'!$AM$48+'TUSD BF'!$AM$48+'TUSD CVA'!$AM$48)*1</f>
        <v>487.85699036910154</v>
      </c>
      <c r="AA501" s="6">
        <f>('TE BE'!$AB$38+'TE BF'!$AB$38+'TE CVA'!$AB$38)*1</f>
        <v>251.92449556687748</v>
      </c>
      <c r="AB501" s="6">
        <f>$K$501*$V$501</f>
        <v>0</v>
      </c>
      <c r="AC501" s="6">
        <f>$M$501*$W$501</f>
        <v>24732.668999999998</v>
      </c>
      <c r="AD501" s="6">
        <f>$O$501*$X$501</f>
        <v>14651.964239999999</v>
      </c>
      <c r="AE501" s="6">
        <f>$K$501*$Y$501</f>
        <v>0</v>
      </c>
      <c r="AF501" s="6">
        <f ca="1">$M$501*$Z$501</f>
        <v>28340.588284521848</v>
      </c>
      <c r="AG501" s="6">
        <f>$O$501*$AA$501</f>
        <v>14634.797796471046</v>
      </c>
    </row>
    <row r="502" spans="1:33" ht="11.25" customHeight="1" x14ac:dyDescent="0.25">
      <c r="A502" s="4" t="s">
        <v>21</v>
      </c>
      <c r="B502" s="4" t="s">
        <v>33</v>
      </c>
      <c r="C502" s="4" t="s">
        <v>23</v>
      </c>
      <c r="D502" s="4" t="s">
        <v>39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44593</v>
      </c>
      <c r="J502" s="6">
        <v>0</v>
      </c>
      <c r="K502" s="6">
        <v>0</v>
      </c>
      <c r="L502" s="6">
        <v>452.63900000000001</v>
      </c>
      <c r="M502" s="6">
        <v>452.63900000000001</v>
      </c>
      <c r="N502" s="6">
        <v>452.63900000000001</v>
      </c>
      <c r="O502" s="6">
        <v>452.63900000000001</v>
      </c>
      <c r="P502" s="6">
        <v>845</v>
      </c>
      <c r="Q502" s="4" t="s">
        <v>26</v>
      </c>
      <c r="R502" s="4">
        <v>0</v>
      </c>
      <c r="S502" s="6">
        <v>0</v>
      </c>
      <c r="T502" s="6">
        <v>30</v>
      </c>
      <c r="U502" s="6">
        <v>79</v>
      </c>
      <c r="V502" s="6">
        <f>IF(ISERROR(VLOOKUP($S$502,'TAR FIN'!$A$1:$O$88,15,0)),0,VLOOKUP($S$502,'TAR FIN'!$A$1:$O$88,15,0))</f>
        <v>0</v>
      </c>
      <c r="W502" s="6">
        <f>IF(ISERROR(VLOOKUP($T$502,'TAR FIN'!$A$1:$O$88,15,0)),0,VLOOKUP($T$502,'TAR FIN'!$A$1:$O$88,15,0))</f>
        <v>425.75</v>
      </c>
      <c r="X502" s="6">
        <f>IF(ISERROR(VLOOKUP($U$502,'TAR FIN'!$A$1:$O$88,15,0)),0,VLOOKUP($U$502,'TAR FIN'!$A$1:$O$88,15,0))</f>
        <v>252.22</v>
      </c>
      <c r="Y502" s="6"/>
      <c r="Z502" s="6">
        <f ca="1">('TUSD BE'!$AM$48+'TUSD BF'!$AM$48+'TUSD CVA'!$AM$48)*1</f>
        <v>487.85699036910154</v>
      </c>
      <c r="AA502" s="6">
        <f>('TE BE'!$AB$38+'TE BF'!$AB$38+'TE CVA'!$AB$38)*1</f>
        <v>251.92449556687748</v>
      </c>
      <c r="AB502" s="6">
        <f>$K$502*$V$502</f>
        <v>0</v>
      </c>
      <c r="AC502" s="6">
        <f>$M$502*$W$502</f>
        <v>192711.05425000002</v>
      </c>
      <c r="AD502" s="6">
        <f>$O$502*$X$502</f>
        <v>114164.60858</v>
      </c>
      <c r="AE502" s="6">
        <f>$K$502*$Y$502</f>
        <v>0</v>
      </c>
      <c r="AF502" s="6">
        <f ca="1">$M$502*$Z$502</f>
        <v>220823.10026367975</v>
      </c>
      <c r="AG502" s="6">
        <f>$O$502*$AA$502</f>
        <v>114030.85174889586</v>
      </c>
    </row>
    <row r="503" spans="1:33" ht="11.25" customHeight="1" x14ac:dyDescent="0.25">
      <c r="A503" s="4" t="s">
        <v>28</v>
      </c>
      <c r="B503" s="4" t="s">
        <v>33</v>
      </c>
      <c r="C503" s="4" t="s">
        <v>23</v>
      </c>
      <c r="D503" s="4" t="s">
        <v>39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44593</v>
      </c>
      <c r="J503" s="6">
        <v>0</v>
      </c>
      <c r="K503" s="6">
        <v>0</v>
      </c>
      <c r="L503" s="6">
        <v>71.272999999999996</v>
      </c>
      <c r="M503" s="6">
        <v>71.272999999999996</v>
      </c>
      <c r="N503" s="6">
        <v>71.272999999999996</v>
      </c>
      <c r="O503" s="6">
        <v>71.272999999999996</v>
      </c>
      <c r="P503" s="6">
        <v>118</v>
      </c>
      <c r="Q503" s="4" t="s">
        <v>26</v>
      </c>
      <c r="R503" s="4">
        <v>0</v>
      </c>
      <c r="S503" s="6">
        <v>0</v>
      </c>
      <c r="T503" s="6">
        <v>30</v>
      </c>
      <c r="U503" s="6">
        <v>79</v>
      </c>
      <c r="V503" s="6">
        <f>IF(ISERROR(VLOOKUP($S$503,'TAR FIN'!$A$1:$O$88,15,0)),0,VLOOKUP($S$503,'TAR FIN'!$A$1:$O$88,15,0))</f>
        <v>0</v>
      </c>
      <c r="W503" s="6">
        <f>IF(ISERROR(VLOOKUP($T$503,'TAR FIN'!$A$1:$O$88,15,0)),0,VLOOKUP($T$503,'TAR FIN'!$A$1:$O$88,15,0))</f>
        <v>425.75</v>
      </c>
      <c r="X503" s="6">
        <f>IF(ISERROR(VLOOKUP($U$503,'TAR FIN'!$A$1:$O$88,15,0)),0,VLOOKUP($U$503,'TAR FIN'!$A$1:$O$88,15,0))</f>
        <v>252.22</v>
      </c>
      <c r="Y503" s="6"/>
      <c r="Z503" s="6">
        <f ca="1">('TUSD BE'!$AM$48+'TUSD BF'!$AM$48+'TUSD CVA'!$AM$48)*1</f>
        <v>487.85699036910154</v>
      </c>
      <c r="AA503" s="6">
        <f>('TE BE'!$AB$38+'TE BF'!$AB$38+'TE CVA'!$AB$38)*1</f>
        <v>251.92449556687748</v>
      </c>
      <c r="AB503" s="6">
        <f>$K$503*$V$503</f>
        <v>0</v>
      </c>
      <c r="AC503" s="6">
        <f>$M$503*$W$503</f>
        <v>30344.479749999999</v>
      </c>
      <c r="AD503" s="6">
        <f>$O$503*$X$503</f>
        <v>17976.476059999997</v>
      </c>
      <c r="AE503" s="6">
        <f>$K$503*$Y$503</f>
        <v>0</v>
      </c>
      <c r="AF503" s="6">
        <f ca="1">$M$503*$Z$503</f>
        <v>34771.03127457697</v>
      </c>
      <c r="AG503" s="6">
        <f>$O$503*$AA$503</f>
        <v>17955.414572538059</v>
      </c>
    </row>
    <row r="504" spans="1:33" ht="11.25" customHeight="1" x14ac:dyDescent="0.25">
      <c r="A504" s="4" t="s">
        <v>21</v>
      </c>
      <c r="B504" s="4" t="s">
        <v>33</v>
      </c>
      <c r="C504" s="4" t="s">
        <v>23</v>
      </c>
      <c r="D504" s="4" t="s">
        <v>39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44621</v>
      </c>
      <c r="J504" s="6">
        <v>0</v>
      </c>
      <c r="K504" s="6">
        <v>0</v>
      </c>
      <c r="L504" s="6">
        <v>430.28300000000002</v>
      </c>
      <c r="M504" s="6">
        <v>430.28300000000002</v>
      </c>
      <c r="N504" s="6">
        <v>430.28300000000002</v>
      </c>
      <c r="O504" s="6">
        <v>430.28300000000002</v>
      </c>
      <c r="P504" s="6">
        <v>838</v>
      </c>
      <c r="Q504" s="4" t="s">
        <v>26</v>
      </c>
      <c r="R504" s="4">
        <v>0</v>
      </c>
      <c r="S504" s="6">
        <v>0</v>
      </c>
      <c r="T504" s="6">
        <v>30</v>
      </c>
      <c r="U504" s="6">
        <v>79</v>
      </c>
      <c r="V504" s="6">
        <f>IF(ISERROR(VLOOKUP($S$504,'TAR FIN'!$A$1:$O$88,15,0)),0,VLOOKUP($S$504,'TAR FIN'!$A$1:$O$88,15,0))</f>
        <v>0</v>
      </c>
      <c r="W504" s="6">
        <f>IF(ISERROR(VLOOKUP($T$504,'TAR FIN'!$A$1:$O$88,15,0)),0,VLOOKUP($T$504,'TAR FIN'!$A$1:$O$88,15,0))</f>
        <v>425.75</v>
      </c>
      <c r="X504" s="6">
        <f>IF(ISERROR(VLOOKUP($U$504,'TAR FIN'!$A$1:$O$88,15,0)),0,VLOOKUP($U$504,'TAR FIN'!$A$1:$O$88,15,0))</f>
        <v>252.22</v>
      </c>
      <c r="Y504" s="6"/>
      <c r="Z504" s="6">
        <f ca="1">('TUSD BE'!$AM$48+'TUSD BF'!$AM$48+'TUSD CVA'!$AM$48)*1</f>
        <v>487.85699036910154</v>
      </c>
      <c r="AA504" s="6">
        <f>('TE BE'!$AB$38+'TE BF'!$AB$38+'TE CVA'!$AB$38)*1</f>
        <v>251.92449556687748</v>
      </c>
      <c r="AB504" s="6">
        <f>$K$504*$V$504</f>
        <v>0</v>
      </c>
      <c r="AC504" s="6">
        <f>$M$504*$W$504</f>
        <v>183192.98725000001</v>
      </c>
      <c r="AD504" s="6">
        <f>$O$504*$X$504</f>
        <v>108525.97826</v>
      </c>
      <c r="AE504" s="6">
        <f>$K$504*$Y$504</f>
        <v>0</v>
      </c>
      <c r="AF504" s="6">
        <f ca="1">$M$504*$Z$504</f>
        <v>209916.56938698812</v>
      </c>
      <c r="AG504" s="6">
        <f>$O$504*$AA$504</f>
        <v>108398.82772600275</v>
      </c>
    </row>
    <row r="505" spans="1:33" ht="11.25" customHeight="1" x14ac:dyDescent="0.25">
      <c r="A505" s="4" t="s">
        <v>28</v>
      </c>
      <c r="B505" s="4" t="s">
        <v>33</v>
      </c>
      <c r="C505" s="4" t="s">
        <v>23</v>
      </c>
      <c r="D505" s="4" t="s">
        <v>39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44621</v>
      </c>
      <c r="J505" s="6">
        <v>0</v>
      </c>
      <c r="K505" s="6">
        <v>0</v>
      </c>
      <c r="L505" s="6">
        <v>78.478999999999999</v>
      </c>
      <c r="M505" s="6">
        <v>78.478999999999999</v>
      </c>
      <c r="N505" s="6">
        <v>78.478999999999999</v>
      </c>
      <c r="O505" s="6">
        <v>78.478999999999999</v>
      </c>
      <c r="P505" s="6">
        <v>120</v>
      </c>
      <c r="Q505" s="4" t="s">
        <v>26</v>
      </c>
      <c r="R505" s="4">
        <v>0</v>
      </c>
      <c r="S505" s="6">
        <v>0</v>
      </c>
      <c r="T505" s="6">
        <v>30</v>
      </c>
      <c r="U505" s="6">
        <v>79</v>
      </c>
      <c r="V505" s="6">
        <f>IF(ISERROR(VLOOKUP($S$505,'TAR FIN'!$A$1:$O$88,15,0)),0,VLOOKUP($S$505,'TAR FIN'!$A$1:$O$88,15,0))</f>
        <v>0</v>
      </c>
      <c r="W505" s="6">
        <f>IF(ISERROR(VLOOKUP($T$505,'TAR FIN'!$A$1:$O$88,15,0)),0,VLOOKUP($T$505,'TAR FIN'!$A$1:$O$88,15,0))</f>
        <v>425.75</v>
      </c>
      <c r="X505" s="6">
        <f>IF(ISERROR(VLOOKUP($U$505,'TAR FIN'!$A$1:$O$88,15,0)),0,VLOOKUP($U$505,'TAR FIN'!$A$1:$O$88,15,0))</f>
        <v>252.22</v>
      </c>
      <c r="Y505" s="6"/>
      <c r="Z505" s="6">
        <f ca="1">('TUSD BE'!$AM$48+'TUSD BF'!$AM$48+'TUSD CVA'!$AM$48)*1</f>
        <v>487.85699036910154</v>
      </c>
      <c r="AA505" s="6">
        <f>('TE BE'!$AB$38+'TE BF'!$AB$38+'TE CVA'!$AB$38)*1</f>
        <v>251.92449556687748</v>
      </c>
      <c r="AB505" s="6">
        <f>$K$505*$V$505</f>
        <v>0</v>
      </c>
      <c r="AC505" s="6">
        <f>$M$505*$W$505</f>
        <v>33412.434249999998</v>
      </c>
      <c r="AD505" s="6">
        <f>$O$505*$X$505</f>
        <v>19793.973379999999</v>
      </c>
      <c r="AE505" s="6">
        <f>$K$505*$Y$505</f>
        <v>0</v>
      </c>
      <c r="AF505" s="6">
        <f ca="1">$M$505*$Z$505</f>
        <v>38286.528747176722</v>
      </c>
      <c r="AG505" s="6">
        <f>$O$505*$AA$505</f>
        <v>19770.782487592976</v>
      </c>
    </row>
    <row r="506" spans="1:33" ht="11.25" customHeight="1" x14ac:dyDescent="0.25">
      <c r="A506" s="4" t="s">
        <v>21</v>
      </c>
      <c r="B506" s="4" t="s">
        <v>33</v>
      </c>
      <c r="C506" s="4" t="s">
        <v>23</v>
      </c>
      <c r="D506" s="4" t="s">
        <v>39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44652</v>
      </c>
      <c r="J506" s="6">
        <v>0</v>
      </c>
      <c r="K506" s="6">
        <v>0</v>
      </c>
      <c r="L506" s="6">
        <v>378.89600000000002</v>
      </c>
      <c r="M506" s="6">
        <v>378.89600000000002</v>
      </c>
      <c r="N506" s="6">
        <v>378.89600000000002</v>
      </c>
      <c r="O506" s="6">
        <v>378.89600000000002</v>
      </c>
      <c r="P506" s="6">
        <v>834</v>
      </c>
      <c r="Q506" s="4" t="s">
        <v>26</v>
      </c>
      <c r="R506" s="4">
        <v>0</v>
      </c>
      <c r="S506" s="6">
        <v>0</v>
      </c>
      <c r="T506" s="6">
        <v>30</v>
      </c>
      <c r="U506" s="6">
        <v>79</v>
      </c>
      <c r="V506" s="6">
        <f>IF(ISERROR(VLOOKUP($S$506,'TAR FIN'!$A$1:$O$88,15,0)),0,VLOOKUP($S$506,'TAR FIN'!$A$1:$O$88,15,0))</f>
        <v>0</v>
      </c>
      <c r="W506" s="6">
        <f>IF(ISERROR(VLOOKUP($T$506,'TAR FIN'!$A$1:$O$88,15,0)),0,VLOOKUP($T$506,'TAR FIN'!$A$1:$O$88,15,0))</f>
        <v>425.75</v>
      </c>
      <c r="X506" s="6">
        <f>IF(ISERROR(VLOOKUP($U$506,'TAR FIN'!$A$1:$O$88,15,0)),0,VLOOKUP($U$506,'TAR FIN'!$A$1:$O$88,15,0))</f>
        <v>252.22</v>
      </c>
      <c r="Y506" s="6"/>
      <c r="Z506" s="6">
        <f ca="1">('TUSD BE'!$AM$48+'TUSD BF'!$AM$48+'TUSD CVA'!$AM$48)*1</f>
        <v>487.85699036910154</v>
      </c>
      <c r="AA506" s="6">
        <f>('TE BE'!$AB$38+'TE BF'!$AB$38+'TE CVA'!$AB$38)*1</f>
        <v>251.92449556687748</v>
      </c>
      <c r="AB506" s="6">
        <f>$K$506*$V$506</f>
        <v>0</v>
      </c>
      <c r="AC506" s="6">
        <f>$M$506*$W$506</f>
        <v>161314.97200000001</v>
      </c>
      <c r="AD506" s="6">
        <f>$O$506*$X$506</f>
        <v>95565.149120000002</v>
      </c>
      <c r="AE506" s="6">
        <f>$K$506*$Y$506</f>
        <v>0</v>
      </c>
      <c r="AF506" s="6">
        <f ca="1">$M$506*$Z$506</f>
        <v>184847.06222289111</v>
      </c>
      <c r="AG506" s="6">
        <f>$O$506*$AA$506</f>
        <v>95453.183672307612</v>
      </c>
    </row>
    <row r="507" spans="1:33" ht="11.25" customHeight="1" x14ac:dyDescent="0.25">
      <c r="A507" s="4" t="s">
        <v>27</v>
      </c>
      <c r="B507" s="4" t="s">
        <v>33</v>
      </c>
      <c r="C507" s="4" t="s">
        <v>23</v>
      </c>
      <c r="D507" s="4" t="s">
        <v>39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44652</v>
      </c>
      <c r="J507" s="6">
        <v>0</v>
      </c>
      <c r="K507" s="6">
        <v>0</v>
      </c>
      <c r="L507" s="6">
        <v>-0.93700000000000006</v>
      </c>
      <c r="M507" s="6">
        <v>-0.93700000000000006</v>
      </c>
      <c r="N507" s="6">
        <v>-0.93700000000000006</v>
      </c>
      <c r="O507" s="6">
        <v>-0.93700000000000006</v>
      </c>
      <c r="P507" s="6">
        <v>0</v>
      </c>
      <c r="Q507" s="4" t="s">
        <v>26</v>
      </c>
      <c r="R507" s="4">
        <v>0</v>
      </c>
      <c r="S507" s="6">
        <v>0</v>
      </c>
      <c r="T507" s="6">
        <v>30</v>
      </c>
      <c r="U507" s="6">
        <v>79</v>
      </c>
      <c r="V507" s="6">
        <f>IF(ISERROR(VLOOKUP($S$507,'TAR FIN'!$A$1:$O$88,15,0)),0,VLOOKUP($S$507,'TAR FIN'!$A$1:$O$88,15,0))</f>
        <v>0</v>
      </c>
      <c r="W507" s="6">
        <f>IF(ISERROR(VLOOKUP($T$507,'TAR FIN'!$A$1:$O$88,15,0)),0,VLOOKUP($T$507,'TAR FIN'!$A$1:$O$88,15,0))</f>
        <v>425.75</v>
      </c>
      <c r="X507" s="6">
        <f>IF(ISERROR(VLOOKUP($U$507,'TAR FIN'!$A$1:$O$88,15,0)),0,VLOOKUP($U$507,'TAR FIN'!$A$1:$O$88,15,0))</f>
        <v>252.22</v>
      </c>
      <c r="Y507" s="6"/>
      <c r="Z507" s="6">
        <f ca="1">('TUSD BE'!$AM$48+'TUSD BF'!$AM$48+'TUSD CVA'!$AM$48)*1</f>
        <v>487.85699036910154</v>
      </c>
      <c r="AA507" s="6">
        <f>('TE BE'!$AB$38+'TE BF'!$AB$38+'TE CVA'!$AB$38)*1</f>
        <v>251.92449556687748</v>
      </c>
      <c r="AB507" s="6">
        <f>$K$507*$V$507</f>
        <v>0</v>
      </c>
      <c r="AC507" s="6">
        <f>$M$507*$W$507</f>
        <v>-398.92775</v>
      </c>
      <c r="AD507" s="6">
        <f>$O$507*$X$507</f>
        <v>-236.33014</v>
      </c>
      <c r="AE507" s="6">
        <f>$K$507*$Y$507</f>
        <v>0</v>
      </c>
      <c r="AF507" s="6">
        <f ca="1">$M$507*$Z$507</f>
        <v>-457.12199997584815</v>
      </c>
      <c r="AG507" s="6">
        <f>$O$507*$AA$507</f>
        <v>-236.05325234616421</v>
      </c>
    </row>
    <row r="508" spans="1:33" ht="11.25" customHeight="1" x14ac:dyDescent="0.25">
      <c r="A508" s="4" t="s">
        <v>28</v>
      </c>
      <c r="B508" s="4" t="s">
        <v>33</v>
      </c>
      <c r="C508" s="4" t="s">
        <v>23</v>
      </c>
      <c r="D508" s="4" t="s">
        <v>39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44652</v>
      </c>
      <c r="J508" s="6">
        <v>0</v>
      </c>
      <c r="K508" s="6">
        <v>0</v>
      </c>
      <c r="L508" s="6">
        <v>73.408000000000001</v>
      </c>
      <c r="M508" s="6">
        <v>73.408000000000001</v>
      </c>
      <c r="N508" s="6">
        <v>73.408000000000001</v>
      </c>
      <c r="O508" s="6">
        <v>73.408000000000001</v>
      </c>
      <c r="P508" s="6">
        <v>125</v>
      </c>
      <c r="Q508" s="4" t="s">
        <v>26</v>
      </c>
      <c r="R508" s="4">
        <v>0</v>
      </c>
      <c r="S508" s="6">
        <v>0</v>
      </c>
      <c r="T508" s="6">
        <v>30</v>
      </c>
      <c r="U508" s="6">
        <v>79</v>
      </c>
      <c r="V508" s="6">
        <f>IF(ISERROR(VLOOKUP($S$508,'TAR FIN'!$A$1:$O$88,15,0)),0,VLOOKUP($S$508,'TAR FIN'!$A$1:$O$88,15,0))</f>
        <v>0</v>
      </c>
      <c r="W508" s="6">
        <f>IF(ISERROR(VLOOKUP($T$508,'TAR FIN'!$A$1:$O$88,15,0)),0,VLOOKUP($T$508,'TAR FIN'!$A$1:$O$88,15,0))</f>
        <v>425.75</v>
      </c>
      <c r="X508" s="6">
        <f>IF(ISERROR(VLOOKUP($U$508,'TAR FIN'!$A$1:$O$88,15,0)),0,VLOOKUP($U$508,'TAR FIN'!$A$1:$O$88,15,0))</f>
        <v>252.22</v>
      </c>
      <c r="Y508" s="6"/>
      <c r="Z508" s="6">
        <f ca="1">('TUSD BE'!$AM$48+'TUSD BF'!$AM$48+'TUSD CVA'!$AM$48)*1</f>
        <v>487.85699036910154</v>
      </c>
      <c r="AA508" s="6">
        <f>('TE BE'!$AB$38+'TE BF'!$AB$38+'TE CVA'!$AB$38)*1</f>
        <v>251.92449556687748</v>
      </c>
      <c r="AB508" s="6">
        <f>$K$508*$V$508</f>
        <v>0</v>
      </c>
      <c r="AC508" s="6">
        <f>$M$508*$W$508</f>
        <v>31253.456000000002</v>
      </c>
      <c r="AD508" s="6">
        <f>$O$508*$X$508</f>
        <v>18514.965759999999</v>
      </c>
      <c r="AE508" s="6">
        <f>$K$508*$Y$508</f>
        <v>0</v>
      </c>
      <c r="AF508" s="6">
        <f ca="1">$M$508*$Z$508</f>
        <v>35812.605949015007</v>
      </c>
      <c r="AG508" s="6">
        <f>$O$508*$AA$508</f>
        <v>18493.273370573341</v>
      </c>
    </row>
    <row r="509" spans="1:33" ht="11.25" customHeight="1" x14ac:dyDescent="0.25">
      <c r="A509" s="4" t="s">
        <v>28</v>
      </c>
      <c r="B509" s="4" t="s">
        <v>33</v>
      </c>
      <c r="C509" s="4" t="s">
        <v>23</v>
      </c>
      <c r="D509" s="4" t="s">
        <v>39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44652</v>
      </c>
      <c r="J509" s="6">
        <v>0</v>
      </c>
      <c r="K509" s="6">
        <v>0</v>
      </c>
      <c r="L509" s="6">
        <v>-2.1680000000000001</v>
      </c>
      <c r="M509" s="6">
        <v>-2.1680000000000001</v>
      </c>
      <c r="N509" s="6">
        <v>-2.1680000000000001</v>
      </c>
      <c r="O509" s="6">
        <v>-2.1680000000000001</v>
      </c>
      <c r="P509" s="6">
        <v>2</v>
      </c>
      <c r="Q509" s="4" t="s">
        <v>26</v>
      </c>
      <c r="R509" s="4">
        <v>0</v>
      </c>
      <c r="S509" s="6">
        <v>0</v>
      </c>
      <c r="T509" s="6">
        <v>30</v>
      </c>
      <c r="U509" s="6">
        <v>79</v>
      </c>
      <c r="V509" s="6">
        <f>IF(ISERROR(VLOOKUP($S$509,'TAR FIN'!$A$1:$O$88,15,0)),0,VLOOKUP($S$509,'TAR FIN'!$A$1:$O$88,15,0))</f>
        <v>0</v>
      </c>
      <c r="W509" s="6">
        <f>IF(ISERROR(VLOOKUP($T$509,'TAR FIN'!$A$1:$O$88,15,0)),0,VLOOKUP($T$509,'TAR FIN'!$A$1:$O$88,15,0))</f>
        <v>425.75</v>
      </c>
      <c r="X509" s="6">
        <f>IF(ISERROR(VLOOKUP($U$509,'TAR FIN'!$A$1:$O$88,15,0)),0,VLOOKUP($U$509,'TAR FIN'!$A$1:$O$88,15,0))</f>
        <v>252.22</v>
      </c>
      <c r="Y509" s="6"/>
      <c r="Z509" s="6">
        <f ca="1">('TUSD BE'!$AM$48+'TUSD BF'!$AM$48+'TUSD CVA'!$AM$48)*1</f>
        <v>487.85699036910154</v>
      </c>
      <c r="AA509" s="6">
        <f>('TE BE'!$AB$38+'TE BF'!$AB$38+'TE CVA'!$AB$38)*1</f>
        <v>251.92449556687748</v>
      </c>
      <c r="AB509" s="6">
        <f>$K$509*$V$509</f>
        <v>0</v>
      </c>
      <c r="AC509" s="6">
        <f>$M$509*$W$509</f>
        <v>-923.02600000000007</v>
      </c>
      <c r="AD509" s="6">
        <f>$O$509*$X$509</f>
        <v>-546.81296000000009</v>
      </c>
      <c r="AE509" s="6">
        <f>$K$509*$Y$509</f>
        <v>0</v>
      </c>
      <c r="AF509" s="6">
        <f ca="1">$M$509*$Z$509</f>
        <v>-1057.6739551202122</v>
      </c>
      <c r="AG509" s="6">
        <f>$O$509*$AA$509</f>
        <v>-546.17230638899036</v>
      </c>
    </row>
    <row r="510" spans="1:33" ht="11.25" customHeight="1" x14ac:dyDescent="0.25">
      <c r="A510" s="4" t="s">
        <v>21</v>
      </c>
      <c r="B510" s="4" t="s">
        <v>33</v>
      </c>
      <c r="C510" s="4" t="s">
        <v>23</v>
      </c>
      <c r="D510" s="4" t="s">
        <v>39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44682</v>
      </c>
      <c r="J510" s="6">
        <v>0</v>
      </c>
      <c r="K510" s="6">
        <v>0</v>
      </c>
      <c r="L510" s="6">
        <v>400.81599999999997</v>
      </c>
      <c r="M510" s="6">
        <v>400.81599999999997</v>
      </c>
      <c r="N510" s="6">
        <v>400.81599999999997</v>
      </c>
      <c r="O510" s="6">
        <v>400.81599999999997</v>
      </c>
      <c r="P510" s="6">
        <v>843</v>
      </c>
      <c r="Q510" s="4" t="s">
        <v>26</v>
      </c>
      <c r="R510" s="4">
        <v>0</v>
      </c>
      <c r="S510" s="6">
        <v>0</v>
      </c>
      <c r="T510" s="6">
        <v>30</v>
      </c>
      <c r="U510" s="6">
        <v>79</v>
      </c>
      <c r="V510" s="6">
        <f>IF(ISERROR(VLOOKUP($S$510,'TAR FIN'!$A$1:$O$88,15,0)),0,VLOOKUP($S$510,'TAR FIN'!$A$1:$O$88,15,0))</f>
        <v>0</v>
      </c>
      <c r="W510" s="6">
        <f>IF(ISERROR(VLOOKUP($T$510,'TAR FIN'!$A$1:$O$88,15,0)),0,VLOOKUP($T$510,'TAR FIN'!$A$1:$O$88,15,0))</f>
        <v>425.75</v>
      </c>
      <c r="X510" s="6">
        <f>IF(ISERROR(VLOOKUP($U$510,'TAR FIN'!$A$1:$O$88,15,0)),0,VLOOKUP($U$510,'TAR FIN'!$A$1:$O$88,15,0))</f>
        <v>252.22</v>
      </c>
      <c r="Y510" s="6"/>
      <c r="Z510" s="6">
        <f ca="1">('TUSD BE'!$AM$48+'TUSD BF'!$AM$48+'TUSD CVA'!$AM$48)*1</f>
        <v>487.85699036910154</v>
      </c>
      <c r="AA510" s="6">
        <f>('TE BE'!$AB$38+'TE BF'!$AB$38+'TE CVA'!$AB$38)*1</f>
        <v>251.92449556687748</v>
      </c>
      <c r="AB510" s="6">
        <f>$K$510*$V$510</f>
        <v>0</v>
      </c>
      <c r="AC510" s="6">
        <f>$M$510*$W$510</f>
        <v>170647.41199999998</v>
      </c>
      <c r="AD510" s="6">
        <f>$O$510*$X$510</f>
        <v>101093.81151999999</v>
      </c>
      <c r="AE510" s="6">
        <f>$K$510*$Y$510</f>
        <v>0</v>
      </c>
      <c r="AF510" s="6">
        <f ca="1">$M$510*$Z$510</f>
        <v>195540.8874517818</v>
      </c>
      <c r="AG510" s="6">
        <f>$O$510*$AA$510</f>
        <v>100975.36861513356</v>
      </c>
    </row>
    <row r="511" spans="1:33" ht="11.25" customHeight="1" x14ac:dyDescent="0.25">
      <c r="A511" s="4" t="s">
        <v>28</v>
      </c>
      <c r="B511" s="4" t="s">
        <v>33</v>
      </c>
      <c r="C511" s="4" t="s">
        <v>23</v>
      </c>
      <c r="D511" s="4" t="s">
        <v>39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44682</v>
      </c>
      <c r="J511" s="6">
        <v>0</v>
      </c>
      <c r="K511" s="6">
        <v>0</v>
      </c>
      <c r="L511" s="6">
        <v>85.409000000000006</v>
      </c>
      <c r="M511" s="6">
        <v>85.409000000000006</v>
      </c>
      <c r="N511" s="6">
        <v>85.409000000000006</v>
      </c>
      <c r="O511" s="6">
        <v>85.409000000000006</v>
      </c>
      <c r="P511" s="6">
        <v>122</v>
      </c>
      <c r="Q511" s="4" t="s">
        <v>26</v>
      </c>
      <c r="R511" s="4">
        <v>0</v>
      </c>
      <c r="S511" s="6">
        <v>0</v>
      </c>
      <c r="T511" s="6">
        <v>30</v>
      </c>
      <c r="U511" s="6">
        <v>79</v>
      </c>
      <c r="V511" s="6">
        <f>IF(ISERROR(VLOOKUP($S$511,'TAR FIN'!$A$1:$O$88,15,0)),0,VLOOKUP($S$511,'TAR FIN'!$A$1:$O$88,15,0))</f>
        <v>0</v>
      </c>
      <c r="W511" s="6">
        <f>IF(ISERROR(VLOOKUP($T$511,'TAR FIN'!$A$1:$O$88,15,0)),0,VLOOKUP($T$511,'TAR FIN'!$A$1:$O$88,15,0))</f>
        <v>425.75</v>
      </c>
      <c r="X511" s="6">
        <f>IF(ISERROR(VLOOKUP($U$511,'TAR FIN'!$A$1:$O$88,15,0)),0,VLOOKUP($U$511,'TAR FIN'!$A$1:$O$88,15,0))</f>
        <v>252.22</v>
      </c>
      <c r="Y511" s="6"/>
      <c r="Z511" s="6">
        <f ca="1">('TUSD BE'!$AM$48+'TUSD BF'!$AM$48+'TUSD CVA'!$AM$48)*1</f>
        <v>487.85699036910154</v>
      </c>
      <c r="AA511" s="6">
        <f>('TE BE'!$AB$38+'TE BF'!$AB$38+'TE CVA'!$AB$38)*1</f>
        <v>251.92449556687748</v>
      </c>
      <c r="AB511" s="6">
        <f>$K$511*$V$511</f>
        <v>0</v>
      </c>
      <c r="AC511" s="6">
        <f>$M$511*$W$511</f>
        <v>36362.88175</v>
      </c>
      <c r="AD511" s="6">
        <f>$O$511*$X$511</f>
        <v>21541.857980000001</v>
      </c>
      <c r="AE511" s="6">
        <f>$K$511*$Y$511</f>
        <v>0</v>
      </c>
      <c r="AF511" s="6">
        <f ca="1">$M$511*$Z$511</f>
        <v>41667.377690434594</v>
      </c>
      <c r="AG511" s="6">
        <f>$O$511*$AA$511</f>
        <v>21516.619241871442</v>
      </c>
    </row>
    <row r="512" spans="1:33" ht="11.25" customHeight="1" x14ac:dyDescent="0.25">
      <c r="A512" s="4" t="s">
        <v>21</v>
      </c>
      <c r="B512" s="4" t="s">
        <v>33</v>
      </c>
      <c r="C512" s="4" t="s">
        <v>23</v>
      </c>
      <c r="D512" s="4" t="s">
        <v>39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44713</v>
      </c>
      <c r="J512" s="6">
        <v>0</v>
      </c>
      <c r="K512" s="6">
        <v>0</v>
      </c>
      <c r="L512" s="6">
        <v>336.827</v>
      </c>
      <c r="M512" s="6">
        <v>336.827</v>
      </c>
      <c r="N512" s="6">
        <v>336.827</v>
      </c>
      <c r="O512" s="6">
        <v>336.827</v>
      </c>
      <c r="P512" s="6">
        <v>839</v>
      </c>
      <c r="Q512" s="4" t="s">
        <v>26</v>
      </c>
      <c r="R512" s="4">
        <v>0</v>
      </c>
      <c r="S512" s="6">
        <v>0</v>
      </c>
      <c r="T512" s="6">
        <v>30</v>
      </c>
      <c r="U512" s="6">
        <v>79</v>
      </c>
      <c r="V512" s="6">
        <f>IF(ISERROR(VLOOKUP($S$512,'TAR FIN'!$A$1:$O$88,15,0)),0,VLOOKUP($S$512,'TAR FIN'!$A$1:$O$88,15,0))</f>
        <v>0</v>
      </c>
      <c r="W512" s="6">
        <f>IF(ISERROR(VLOOKUP($T$512,'TAR FIN'!$A$1:$O$88,15,0)),0,VLOOKUP($T$512,'TAR FIN'!$A$1:$O$88,15,0))</f>
        <v>425.75</v>
      </c>
      <c r="X512" s="6">
        <f>IF(ISERROR(VLOOKUP($U$512,'TAR FIN'!$A$1:$O$88,15,0)),0,VLOOKUP($U$512,'TAR FIN'!$A$1:$O$88,15,0))</f>
        <v>252.22</v>
      </c>
      <c r="Y512" s="6"/>
      <c r="Z512" s="6">
        <f ca="1">('TUSD BE'!$AM$48+'TUSD BF'!$AM$48+'TUSD CVA'!$AM$48)*1</f>
        <v>487.85699036910154</v>
      </c>
      <c r="AA512" s="6">
        <f>('TE BE'!$AB$38+'TE BF'!$AB$38+'TE CVA'!$AB$38)*1</f>
        <v>251.92449556687748</v>
      </c>
      <c r="AB512" s="6">
        <f>$K$512*$V$512</f>
        <v>0</v>
      </c>
      <c r="AC512" s="6">
        <f>$M$512*$W$512</f>
        <v>143404.09525000001</v>
      </c>
      <c r="AD512" s="6">
        <f>$O$512*$X$512</f>
        <v>84954.505940000003</v>
      </c>
      <c r="AE512" s="6">
        <f>$K$512*$Y$512</f>
        <v>0</v>
      </c>
      <c r="AF512" s="6">
        <f ca="1">$M$512*$Z$512</f>
        <v>164323.40649505335</v>
      </c>
      <c r="AG512" s="6">
        <f>$O$512*$AA$512</f>
        <v>84854.972068304647</v>
      </c>
    </row>
    <row r="513" spans="1:33" ht="11.25" customHeight="1" x14ac:dyDescent="0.25">
      <c r="A513" s="4" t="s">
        <v>27</v>
      </c>
      <c r="B513" s="4" t="s">
        <v>33</v>
      </c>
      <c r="C513" s="4" t="s">
        <v>23</v>
      </c>
      <c r="D513" s="4" t="s">
        <v>39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44713</v>
      </c>
      <c r="J513" s="6">
        <v>0</v>
      </c>
      <c r="K513" s="6">
        <v>0</v>
      </c>
      <c r="L513" s="6">
        <v>-0.29099999999999998</v>
      </c>
      <c r="M513" s="6">
        <v>-0.29099999999999998</v>
      </c>
      <c r="N513" s="6">
        <v>-0.29099999999999998</v>
      </c>
      <c r="O513" s="6">
        <v>-0.29099999999999998</v>
      </c>
      <c r="P513" s="6">
        <v>0</v>
      </c>
      <c r="Q513" s="4" t="s">
        <v>26</v>
      </c>
      <c r="R513" s="4">
        <v>0</v>
      </c>
      <c r="S513" s="6">
        <v>0</v>
      </c>
      <c r="T513" s="6">
        <v>30</v>
      </c>
      <c r="U513" s="6">
        <v>79</v>
      </c>
      <c r="V513" s="6">
        <f>IF(ISERROR(VLOOKUP($S$513,'TAR FIN'!$A$1:$O$88,15,0)),0,VLOOKUP($S$513,'TAR FIN'!$A$1:$O$88,15,0))</f>
        <v>0</v>
      </c>
      <c r="W513" s="6">
        <f>IF(ISERROR(VLOOKUP($T$513,'TAR FIN'!$A$1:$O$88,15,0)),0,VLOOKUP($T$513,'TAR FIN'!$A$1:$O$88,15,0))</f>
        <v>425.75</v>
      </c>
      <c r="X513" s="6">
        <f>IF(ISERROR(VLOOKUP($U$513,'TAR FIN'!$A$1:$O$88,15,0)),0,VLOOKUP($U$513,'TAR FIN'!$A$1:$O$88,15,0))</f>
        <v>252.22</v>
      </c>
      <c r="Y513" s="6"/>
      <c r="Z513" s="6">
        <f ca="1">('TUSD BE'!$AM$48+'TUSD BF'!$AM$48+'TUSD CVA'!$AM$48)*1</f>
        <v>487.85699036910154</v>
      </c>
      <c r="AA513" s="6">
        <f>('TE BE'!$AB$38+'TE BF'!$AB$38+'TE CVA'!$AB$38)*1</f>
        <v>251.92449556687748</v>
      </c>
      <c r="AB513" s="6">
        <f>$K$513*$V$513</f>
        <v>0</v>
      </c>
      <c r="AC513" s="6">
        <f>$M$513*$W$513</f>
        <v>-123.89324999999999</v>
      </c>
      <c r="AD513" s="6">
        <f>$O$513*$X$513</f>
        <v>-73.396019999999993</v>
      </c>
      <c r="AE513" s="6">
        <f>$K$513*$Y$513</f>
        <v>0</v>
      </c>
      <c r="AF513" s="6">
        <f ca="1">$M$513*$Z$513</f>
        <v>-141.96638419740853</v>
      </c>
      <c r="AG513" s="6">
        <f>$O$513*$AA$513</f>
        <v>-73.310028209961345</v>
      </c>
    </row>
    <row r="514" spans="1:33" ht="11.25" customHeight="1" x14ac:dyDescent="0.25">
      <c r="A514" s="4" t="s">
        <v>28</v>
      </c>
      <c r="B514" s="4" t="s">
        <v>33</v>
      </c>
      <c r="C514" s="4" t="s">
        <v>23</v>
      </c>
      <c r="D514" s="4" t="s">
        <v>39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44713</v>
      </c>
      <c r="J514" s="6">
        <v>0</v>
      </c>
      <c r="K514" s="6">
        <v>0</v>
      </c>
      <c r="L514" s="6">
        <v>103.16200000000001</v>
      </c>
      <c r="M514" s="6">
        <v>103.16200000000001</v>
      </c>
      <c r="N514" s="6">
        <v>103.16200000000001</v>
      </c>
      <c r="O514" s="6">
        <v>103.16200000000001</v>
      </c>
      <c r="P514" s="6">
        <v>123</v>
      </c>
      <c r="Q514" s="4" t="s">
        <v>26</v>
      </c>
      <c r="R514" s="4">
        <v>0</v>
      </c>
      <c r="S514" s="6">
        <v>0</v>
      </c>
      <c r="T514" s="6">
        <v>30</v>
      </c>
      <c r="U514" s="6">
        <v>79</v>
      </c>
      <c r="V514" s="6">
        <f>IF(ISERROR(VLOOKUP($S$514,'TAR FIN'!$A$1:$O$88,15,0)),0,VLOOKUP($S$514,'TAR FIN'!$A$1:$O$88,15,0))</f>
        <v>0</v>
      </c>
      <c r="W514" s="6">
        <f>IF(ISERROR(VLOOKUP($T$514,'TAR FIN'!$A$1:$O$88,15,0)),0,VLOOKUP($T$514,'TAR FIN'!$A$1:$O$88,15,0))</f>
        <v>425.75</v>
      </c>
      <c r="X514" s="6">
        <f>IF(ISERROR(VLOOKUP($U$514,'TAR FIN'!$A$1:$O$88,15,0)),0,VLOOKUP($U$514,'TAR FIN'!$A$1:$O$88,15,0))</f>
        <v>252.22</v>
      </c>
      <c r="Y514" s="6"/>
      <c r="Z514" s="6">
        <f ca="1">('TUSD BE'!$AM$48+'TUSD BF'!$AM$48+'TUSD CVA'!$AM$48)*1</f>
        <v>487.85699036910154</v>
      </c>
      <c r="AA514" s="6">
        <f>('TE BE'!$AB$38+'TE BF'!$AB$38+'TE CVA'!$AB$38)*1</f>
        <v>251.92449556687748</v>
      </c>
      <c r="AB514" s="6">
        <f>$K$514*$V$514</f>
        <v>0</v>
      </c>
      <c r="AC514" s="6">
        <f>$M$514*$W$514</f>
        <v>43921.2215</v>
      </c>
      <c r="AD514" s="6">
        <f>$O$514*$X$514</f>
        <v>26019.519640000002</v>
      </c>
      <c r="AE514" s="6">
        <f>$K$514*$Y$514</f>
        <v>0</v>
      </c>
      <c r="AF514" s="6">
        <f ca="1">$M$514*$Z$514</f>
        <v>50328.302840457254</v>
      </c>
      <c r="AG514" s="6">
        <f>$O$514*$AA$514</f>
        <v>25989.034811670215</v>
      </c>
    </row>
    <row r="515" spans="1:33" ht="11.25" customHeight="1" x14ac:dyDescent="0.25">
      <c r="A515" s="4" t="s">
        <v>21</v>
      </c>
      <c r="B515" s="4" t="s">
        <v>33</v>
      </c>
      <c r="C515" s="4" t="s">
        <v>23</v>
      </c>
      <c r="D515" s="4" t="s">
        <v>48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44378</v>
      </c>
      <c r="J515" s="6">
        <v>0</v>
      </c>
      <c r="K515" s="6">
        <v>0</v>
      </c>
      <c r="L515" s="6">
        <v>7.5949999999999998</v>
      </c>
      <c r="M515" s="6">
        <v>7.5949999999999998</v>
      </c>
      <c r="N515" s="6">
        <v>7.5949999999999998</v>
      </c>
      <c r="O515" s="6">
        <v>7.5949999999999998</v>
      </c>
      <c r="P515" s="6">
        <v>11</v>
      </c>
      <c r="Q515" s="4" t="s">
        <v>26</v>
      </c>
      <c r="R515" s="4">
        <v>0</v>
      </c>
      <c r="S515" s="6">
        <v>0</v>
      </c>
      <c r="T515" s="6">
        <v>30</v>
      </c>
      <c r="U515" s="6">
        <v>79</v>
      </c>
      <c r="V515" s="6">
        <f>IF(ISERROR(VLOOKUP($S$515,'TAR FIN'!$A$1:$O$88,15,0)),0,VLOOKUP($S$515,'TAR FIN'!$A$1:$O$88,15,0))</f>
        <v>0</v>
      </c>
      <c r="W515" s="6">
        <f>IF(ISERROR(VLOOKUP($T$515,'TAR FIN'!$A$1:$O$88,15,0)),0,VLOOKUP($T$515,'TAR FIN'!$A$1:$O$88,15,0))</f>
        <v>425.75</v>
      </c>
      <c r="X515" s="6">
        <f>IF(ISERROR(VLOOKUP($U$515,'TAR FIN'!$A$1:$O$88,15,0)),0,VLOOKUP($U$515,'TAR FIN'!$A$1:$O$88,15,0))</f>
        <v>252.22</v>
      </c>
      <c r="Y515" s="6"/>
      <c r="Z515" s="6">
        <f ca="1">('TUSD BE'!$AM$48+'TUSD BF'!$AM$48+'TUSD CVA'!$AM$48)*1</f>
        <v>487.85699036910154</v>
      </c>
      <c r="AA515" s="6">
        <f>('TE BE'!$AB$38+'TE BF'!$AB$38+'TE CVA'!$AB$38)*1</f>
        <v>251.92449556687748</v>
      </c>
      <c r="AB515" s="6">
        <f>$K$515*$V$515</f>
        <v>0</v>
      </c>
      <c r="AC515" s="6">
        <f>$M$515*$W$515</f>
        <v>3233.57125</v>
      </c>
      <c r="AD515" s="6">
        <f>$O$515*$X$515</f>
        <v>1915.6108999999999</v>
      </c>
      <c r="AE515" s="6">
        <f>$K$515*$Y$515</f>
        <v>0</v>
      </c>
      <c r="AF515" s="6">
        <f ca="1">$M$515*$Z$515</f>
        <v>3705.2738418533258</v>
      </c>
      <c r="AG515" s="6">
        <f>$O$515*$AA$515</f>
        <v>1913.3665438304345</v>
      </c>
    </row>
    <row r="516" spans="1:33" ht="11.25" customHeight="1" x14ac:dyDescent="0.25">
      <c r="A516" s="4" t="s">
        <v>21</v>
      </c>
      <c r="B516" s="4" t="s">
        <v>33</v>
      </c>
      <c r="C516" s="4" t="s">
        <v>23</v>
      </c>
      <c r="D516" s="4" t="s">
        <v>48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44409</v>
      </c>
      <c r="J516" s="6">
        <v>0</v>
      </c>
      <c r="K516" s="6">
        <v>0</v>
      </c>
      <c r="L516" s="6">
        <v>7.2480000000000002</v>
      </c>
      <c r="M516" s="6">
        <v>7.2480000000000002</v>
      </c>
      <c r="N516" s="6">
        <v>7.2480000000000002</v>
      </c>
      <c r="O516" s="6">
        <v>7.2480000000000002</v>
      </c>
      <c r="P516" s="6">
        <v>11</v>
      </c>
      <c r="Q516" s="4" t="s">
        <v>26</v>
      </c>
      <c r="R516" s="4">
        <v>0</v>
      </c>
      <c r="S516" s="6">
        <v>0</v>
      </c>
      <c r="T516" s="6">
        <v>30</v>
      </c>
      <c r="U516" s="6">
        <v>79</v>
      </c>
      <c r="V516" s="6">
        <f>IF(ISERROR(VLOOKUP($S$516,'TAR FIN'!$A$1:$O$88,15,0)),0,VLOOKUP($S$516,'TAR FIN'!$A$1:$O$88,15,0))</f>
        <v>0</v>
      </c>
      <c r="W516" s="6">
        <f>IF(ISERROR(VLOOKUP($T$516,'TAR FIN'!$A$1:$O$88,15,0)),0,VLOOKUP($T$516,'TAR FIN'!$A$1:$O$88,15,0))</f>
        <v>425.75</v>
      </c>
      <c r="X516" s="6">
        <f>IF(ISERROR(VLOOKUP($U$516,'TAR FIN'!$A$1:$O$88,15,0)),0,VLOOKUP($U$516,'TAR FIN'!$A$1:$O$88,15,0))</f>
        <v>252.22</v>
      </c>
      <c r="Y516" s="6"/>
      <c r="Z516" s="6">
        <f ca="1">('TUSD BE'!$AM$48+'TUSD BF'!$AM$48+'TUSD CVA'!$AM$48)*1</f>
        <v>487.85699036910154</v>
      </c>
      <c r="AA516" s="6">
        <f>('TE BE'!$AB$38+'TE BF'!$AB$38+'TE CVA'!$AB$38)*1</f>
        <v>251.92449556687748</v>
      </c>
      <c r="AB516" s="6">
        <f>$K$516*$V$516</f>
        <v>0</v>
      </c>
      <c r="AC516" s="6">
        <f>$M$516*$W$516</f>
        <v>3085.8360000000002</v>
      </c>
      <c r="AD516" s="6">
        <f>$O$516*$X$516</f>
        <v>1828.0905600000001</v>
      </c>
      <c r="AE516" s="6">
        <f>$K$516*$Y$516</f>
        <v>0</v>
      </c>
      <c r="AF516" s="6">
        <f ca="1">$M$516*$Z$516</f>
        <v>3535.9874661952481</v>
      </c>
      <c r="AG516" s="6">
        <f>$O$516*$AA$516</f>
        <v>1825.9487438687281</v>
      </c>
    </row>
    <row r="517" spans="1:33" ht="11.25" customHeight="1" x14ac:dyDescent="0.25">
      <c r="A517" s="4" t="s">
        <v>21</v>
      </c>
      <c r="B517" s="4" t="s">
        <v>33</v>
      </c>
      <c r="C517" s="4" t="s">
        <v>23</v>
      </c>
      <c r="D517" s="4" t="s">
        <v>48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44440</v>
      </c>
      <c r="J517" s="6">
        <v>0</v>
      </c>
      <c r="K517" s="6">
        <v>0</v>
      </c>
      <c r="L517" s="6">
        <v>6.0609999999999999</v>
      </c>
      <c r="M517" s="6">
        <v>6.0609999999999999</v>
      </c>
      <c r="N517" s="6">
        <v>6.0609999999999999</v>
      </c>
      <c r="O517" s="6">
        <v>6.0609999999999999</v>
      </c>
      <c r="P517" s="6">
        <v>11</v>
      </c>
      <c r="Q517" s="4" t="s">
        <v>26</v>
      </c>
      <c r="R517" s="4">
        <v>0</v>
      </c>
      <c r="S517" s="6">
        <v>0</v>
      </c>
      <c r="T517" s="6">
        <v>30</v>
      </c>
      <c r="U517" s="6">
        <v>79</v>
      </c>
      <c r="V517" s="6">
        <f>IF(ISERROR(VLOOKUP($S$517,'TAR FIN'!$A$1:$O$88,15,0)),0,VLOOKUP($S$517,'TAR FIN'!$A$1:$O$88,15,0))</f>
        <v>0</v>
      </c>
      <c r="W517" s="6">
        <f>IF(ISERROR(VLOOKUP($T$517,'TAR FIN'!$A$1:$O$88,15,0)),0,VLOOKUP($T$517,'TAR FIN'!$A$1:$O$88,15,0))</f>
        <v>425.75</v>
      </c>
      <c r="X517" s="6">
        <f>IF(ISERROR(VLOOKUP($U$517,'TAR FIN'!$A$1:$O$88,15,0)),0,VLOOKUP($U$517,'TAR FIN'!$A$1:$O$88,15,0))</f>
        <v>252.22</v>
      </c>
      <c r="Y517" s="6"/>
      <c r="Z517" s="6">
        <f ca="1">('TUSD BE'!$AM$48+'TUSD BF'!$AM$48+'TUSD CVA'!$AM$48)*1</f>
        <v>487.85699036910154</v>
      </c>
      <c r="AA517" s="6">
        <f>('TE BE'!$AB$38+'TE BF'!$AB$38+'TE CVA'!$AB$38)*1</f>
        <v>251.92449556687748</v>
      </c>
      <c r="AB517" s="6">
        <f>$K$517*$V$517</f>
        <v>0</v>
      </c>
      <c r="AC517" s="6">
        <f>$M$517*$W$517</f>
        <v>2580.47075</v>
      </c>
      <c r="AD517" s="6">
        <f>$O$517*$X$517</f>
        <v>1528.70542</v>
      </c>
      <c r="AE517" s="6">
        <f>$K$517*$Y$517</f>
        <v>0</v>
      </c>
      <c r="AF517" s="6">
        <f ca="1">$M$517*$Z$517</f>
        <v>2956.9012186271243</v>
      </c>
      <c r="AG517" s="6">
        <f>$O$517*$AA$517</f>
        <v>1526.9143676308445</v>
      </c>
    </row>
    <row r="518" spans="1:33" ht="11.25" customHeight="1" x14ac:dyDescent="0.25">
      <c r="A518" s="4" t="s">
        <v>21</v>
      </c>
      <c r="B518" s="4" t="s">
        <v>33</v>
      </c>
      <c r="C518" s="4" t="s">
        <v>23</v>
      </c>
      <c r="D518" s="4" t="s">
        <v>48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44470</v>
      </c>
      <c r="J518" s="6">
        <v>0</v>
      </c>
      <c r="K518" s="6">
        <v>0</v>
      </c>
      <c r="L518" s="6">
        <v>5.7320000000000002</v>
      </c>
      <c r="M518" s="6">
        <v>5.7320000000000002</v>
      </c>
      <c r="N518" s="6">
        <v>5.7320000000000002</v>
      </c>
      <c r="O518" s="6">
        <v>5.7320000000000002</v>
      </c>
      <c r="P518" s="6">
        <v>11</v>
      </c>
      <c r="Q518" s="4" t="s">
        <v>26</v>
      </c>
      <c r="R518" s="4">
        <v>0</v>
      </c>
      <c r="S518" s="6">
        <v>0</v>
      </c>
      <c r="T518" s="6">
        <v>30</v>
      </c>
      <c r="U518" s="6">
        <v>79</v>
      </c>
      <c r="V518" s="6">
        <f>IF(ISERROR(VLOOKUP($S$518,'TAR FIN'!$A$1:$O$88,15,0)),0,VLOOKUP($S$518,'TAR FIN'!$A$1:$O$88,15,0))</f>
        <v>0</v>
      </c>
      <c r="W518" s="6">
        <f>IF(ISERROR(VLOOKUP($T$518,'TAR FIN'!$A$1:$O$88,15,0)),0,VLOOKUP($T$518,'TAR FIN'!$A$1:$O$88,15,0))</f>
        <v>425.75</v>
      </c>
      <c r="X518" s="6">
        <f>IF(ISERROR(VLOOKUP($U$518,'TAR FIN'!$A$1:$O$88,15,0)),0,VLOOKUP($U$518,'TAR FIN'!$A$1:$O$88,15,0))</f>
        <v>252.22</v>
      </c>
      <c r="Y518" s="6"/>
      <c r="Z518" s="6">
        <f ca="1">('TUSD BE'!$AM$48+'TUSD BF'!$AM$48+'TUSD CVA'!$AM$48)*1</f>
        <v>487.85699036910154</v>
      </c>
      <c r="AA518" s="6">
        <f>('TE BE'!$AB$38+'TE BF'!$AB$38+'TE CVA'!$AB$38)*1</f>
        <v>251.92449556687748</v>
      </c>
      <c r="AB518" s="6">
        <f>$K$518*$V$518</f>
        <v>0</v>
      </c>
      <c r="AC518" s="6">
        <f>$M$518*$W$518</f>
        <v>2440.3989999999999</v>
      </c>
      <c r="AD518" s="6">
        <f>$O$518*$X$518</f>
        <v>1445.72504</v>
      </c>
      <c r="AE518" s="6">
        <f>$K$518*$Y$518</f>
        <v>0</v>
      </c>
      <c r="AF518" s="6">
        <f ca="1">$M$518*$Z$518</f>
        <v>2796.39626879569</v>
      </c>
      <c r="AG518" s="6">
        <f>$O$518*$AA$518</f>
        <v>1444.0312085893418</v>
      </c>
    </row>
    <row r="519" spans="1:33" ht="11.25" customHeight="1" x14ac:dyDescent="0.25">
      <c r="A519" s="4" t="s">
        <v>21</v>
      </c>
      <c r="B519" s="4" t="s">
        <v>33</v>
      </c>
      <c r="C519" s="4" t="s">
        <v>23</v>
      </c>
      <c r="D519" s="4" t="s">
        <v>48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44501</v>
      </c>
      <c r="J519" s="6">
        <v>0</v>
      </c>
      <c r="K519" s="6">
        <v>0</v>
      </c>
      <c r="L519" s="6">
        <v>7.1449999999999996</v>
      </c>
      <c r="M519" s="6">
        <v>7.1449999999999996</v>
      </c>
      <c r="N519" s="6">
        <v>7.1449999999999996</v>
      </c>
      <c r="O519" s="6">
        <v>7.1449999999999996</v>
      </c>
      <c r="P519" s="6">
        <v>11</v>
      </c>
      <c r="Q519" s="4" t="s">
        <v>26</v>
      </c>
      <c r="R519" s="4">
        <v>0</v>
      </c>
      <c r="S519" s="6">
        <v>0</v>
      </c>
      <c r="T519" s="6">
        <v>30</v>
      </c>
      <c r="U519" s="6">
        <v>79</v>
      </c>
      <c r="V519" s="6">
        <f>IF(ISERROR(VLOOKUP($S$519,'TAR FIN'!$A$1:$O$88,15,0)),0,VLOOKUP($S$519,'TAR FIN'!$A$1:$O$88,15,0))</f>
        <v>0</v>
      </c>
      <c r="W519" s="6">
        <f>IF(ISERROR(VLOOKUP($T$519,'TAR FIN'!$A$1:$O$88,15,0)),0,VLOOKUP($T$519,'TAR FIN'!$A$1:$O$88,15,0))</f>
        <v>425.75</v>
      </c>
      <c r="X519" s="6">
        <f>IF(ISERROR(VLOOKUP($U$519,'TAR FIN'!$A$1:$O$88,15,0)),0,VLOOKUP($U$519,'TAR FIN'!$A$1:$O$88,15,0))</f>
        <v>252.22</v>
      </c>
      <c r="Y519" s="6"/>
      <c r="Z519" s="6">
        <f ca="1">('TUSD BE'!$AM$48+'TUSD BF'!$AM$48+'TUSD CVA'!$AM$48)*1</f>
        <v>487.85699036910154</v>
      </c>
      <c r="AA519" s="6">
        <f>('TE BE'!$AB$38+'TE BF'!$AB$38+'TE CVA'!$AB$38)*1</f>
        <v>251.92449556687748</v>
      </c>
      <c r="AB519" s="6">
        <f>$K$519*$V$519</f>
        <v>0</v>
      </c>
      <c r="AC519" s="6">
        <f>$M$519*$W$519</f>
        <v>3041.9837499999999</v>
      </c>
      <c r="AD519" s="6">
        <f>$O$519*$X$519</f>
        <v>1802.1118999999999</v>
      </c>
      <c r="AE519" s="6">
        <f>$K$519*$Y$519</f>
        <v>0</v>
      </c>
      <c r="AF519" s="6">
        <f ca="1">$M$519*$Z$519</f>
        <v>3485.7381961872302</v>
      </c>
      <c r="AG519" s="6">
        <f>$O$519*$AA$519</f>
        <v>1800.0005208253394</v>
      </c>
    </row>
    <row r="520" spans="1:33" ht="11.25" customHeight="1" x14ac:dyDescent="0.25">
      <c r="A520" s="4" t="s">
        <v>21</v>
      </c>
      <c r="B520" s="4" t="s">
        <v>33</v>
      </c>
      <c r="C520" s="4" t="s">
        <v>23</v>
      </c>
      <c r="D520" s="4" t="s">
        <v>48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44531</v>
      </c>
      <c r="J520" s="6">
        <v>0</v>
      </c>
      <c r="K520" s="6">
        <v>0</v>
      </c>
      <c r="L520" s="6">
        <v>7.46</v>
      </c>
      <c r="M520" s="6">
        <v>7.46</v>
      </c>
      <c r="N520" s="6">
        <v>7.46</v>
      </c>
      <c r="O520" s="6">
        <v>7.46</v>
      </c>
      <c r="P520" s="6">
        <v>11</v>
      </c>
      <c r="Q520" s="4" t="s">
        <v>26</v>
      </c>
      <c r="R520" s="4">
        <v>0</v>
      </c>
      <c r="S520" s="6">
        <v>0</v>
      </c>
      <c r="T520" s="6">
        <v>30</v>
      </c>
      <c r="U520" s="6">
        <v>79</v>
      </c>
      <c r="V520" s="6">
        <f>IF(ISERROR(VLOOKUP($S$520,'TAR FIN'!$A$1:$O$88,15,0)),0,VLOOKUP($S$520,'TAR FIN'!$A$1:$O$88,15,0))</f>
        <v>0</v>
      </c>
      <c r="W520" s="6">
        <f>IF(ISERROR(VLOOKUP($T$520,'TAR FIN'!$A$1:$O$88,15,0)),0,VLOOKUP($T$520,'TAR FIN'!$A$1:$O$88,15,0))</f>
        <v>425.75</v>
      </c>
      <c r="X520" s="6">
        <f>IF(ISERROR(VLOOKUP($U$520,'TAR FIN'!$A$1:$O$88,15,0)),0,VLOOKUP($U$520,'TAR FIN'!$A$1:$O$88,15,0))</f>
        <v>252.22</v>
      </c>
      <c r="Y520" s="6"/>
      <c r="Z520" s="6">
        <f ca="1">('TUSD BE'!$AM$48+'TUSD BF'!$AM$48+'TUSD CVA'!$AM$48)*1</f>
        <v>487.85699036910154</v>
      </c>
      <c r="AA520" s="6">
        <f>('TE BE'!$AB$38+'TE BF'!$AB$38+'TE CVA'!$AB$38)*1</f>
        <v>251.92449556687748</v>
      </c>
      <c r="AB520" s="6">
        <f>$K$520*$V$520</f>
        <v>0</v>
      </c>
      <c r="AC520" s="6">
        <f>$M$520*$W$520</f>
        <v>3176.0949999999998</v>
      </c>
      <c r="AD520" s="6">
        <f>$O$520*$X$520</f>
        <v>1881.5611999999999</v>
      </c>
      <c r="AE520" s="6">
        <f>$K$520*$Y$520</f>
        <v>0</v>
      </c>
      <c r="AF520" s="6">
        <f ca="1">$M$520*$Z$520</f>
        <v>3639.4131481534973</v>
      </c>
      <c r="AG520" s="6">
        <f>$O$520*$AA$520</f>
        <v>1879.356736928906</v>
      </c>
    </row>
    <row r="521" spans="1:33" ht="11.25" customHeight="1" x14ac:dyDescent="0.25">
      <c r="A521" s="4" t="s">
        <v>21</v>
      </c>
      <c r="B521" s="4" t="s">
        <v>33</v>
      </c>
      <c r="C521" s="4" t="s">
        <v>23</v>
      </c>
      <c r="D521" s="4" t="s">
        <v>48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44562</v>
      </c>
      <c r="J521" s="6">
        <v>0</v>
      </c>
      <c r="K521" s="6">
        <v>0</v>
      </c>
      <c r="L521" s="6">
        <v>10.823</v>
      </c>
      <c r="M521" s="6">
        <v>10.823</v>
      </c>
      <c r="N521" s="6">
        <v>10.823</v>
      </c>
      <c r="O521" s="6">
        <v>10.823</v>
      </c>
      <c r="P521" s="6">
        <v>11</v>
      </c>
      <c r="Q521" s="4" t="s">
        <v>26</v>
      </c>
      <c r="R521" s="4">
        <v>0</v>
      </c>
      <c r="S521" s="6">
        <v>0</v>
      </c>
      <c r="T521" s="6">
        <v>30</v>
      </c>
      <c r="U521" s="6">
        <v>79</v>
      </c>
      <c r="V521" s="6">
        <f>IF(ISERROR(VLOOKUP($S$521,'TAR FIN'!$A$1:$O$88,15,0)),0,VLOOKUP($S$521,'TAR FIN'!$A$1:$O$88,15,0))</f>
        <v>0</v>
      </c>
      <c r="W521" s="6">
        <f>IF(ISERROR(VLOOKUP($T$521,'TAR FIN'!$A$1:$O$88,15,0)),0,VLOOKUP($T$521,'TAR FIN'!$A$1:$O$88,15,0))</f>
        <v>425.75</v>
      </c>
      <c r="X521" s="6">
        <f>IF(ISERROR(VLOOKUP($U$521,'TAR FIN'!$A$1:$O$88,15,0)),0,VLOOKUP($U$521,'TAR FIN'!$A$1:$O$88,15,0))</f>
        <v>252.22</v>
      </c>
      <c r="Y521" s="6"/>
      <c r="Z521" s="6">
        <f ca="1">('TUSD BE'!$AM$48+'TUSD BF'!$AM$48+'TUSD CVA'!$AM$48)*1</f>
        <v>487.85699036910154</v>
      </c>
      <c r="AA521" s="6">
        <f>('TE BE'!$AB$38+'TE BF'!$AB$38+'TE CVA'!$AB$38)*1</f>
        <v>251.92449556687748</v>
      </c>
      <c r="AB521" s="6">
        <f>$K$521*$V$521</f>
        <v>0</v>
      </c>
      <c r="AC521" s="6">
        <f>$M$521*$W$521</f>
        <v>4607.8922499999999</v>
      </c>
      <c r="AD521" s="6">
        <f>$O$521*$X$521</f>
        <v>2729.7770599999999</v>
      </c>
      <c r="AE521" s="6">
        <f>$K$521*$Y$521</f>
        <v>0</v>
      </c>
      <c r="AF521" s="6">
        <f ca="1">$M$521*$Z$521</f>
        <v>5280.0762067647865</v>
      </c>
      <c r="AG521" s="6">
        <f>$O$521*$AA$521</f>
        <v>2726.5788155203149</v>
      </c>
    </row>
    <row r="522" spans="1:33" ht="11.25" customHeight="1" x14ac:dyDescent="0.25">
      <c r="A522" s="4" t="s">
        <v>21</v>
      </c>
      <c r="B522" s="4" t="s">
        <v>33</v>
      </c>
      <c r="C522" s="4" t="s">
        <v>23</v>
      </c>
      <c r="D522" s="4" t="s">
        <v>48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44593</v>
      </c>
      <c r="J522" s="6">
        <v>0</v>
      </c>
      <c r="K522" s="6">
        <v>0</v>
      </c>
      <c r="L522" s="6">
        <v>9.9870000000000001</v>
      </c>
      <c r="M522" s="6">
        <v>9.9870000000000001</v>
      </c>
      <c r="N522" s="6">
        <v>9.9870000000000001</v>
      </c>
      <c r="O522" s="6">
        <v>9.9870000000000001</v>
      </c>
      <c r="P522" s="6">
        <v>11</v>
      </c>
      <c r="Q522" s="4" t="s">
        <v>26</v>
      </c>
      <c r="R522" s="4">
        <v>0</v>
      </c>
      <c r="S522" s="6">
        <v>0</v>
      </c>
      <c r="T522" s="6">
        <v>30</v>
      </c>
      <c r="U522" s="6">
        <v>79</v>
      </c>
      <c r="V522" s="6">
        <f>IF(ISERROR(VLOOKUP($S$522,'TAR FIN'!$A$1:$O$88,15,0)),0,VLOOKUP($S$522,'TAR FIN'!$A$1:$O$88,15,0))</f>
        <v>0</v>
      </c>
      <c r="W522" s="6">
        <f>IF(ISERROR(VLOOKUP($T$522,'TAR FIN'!$A$1:$O$88,15,0)),0,VLOOKUP($T$522,'TAR FIN'!$A$1:$O$88,15,0))</f>
        <v>425.75</v>
      </c>
      <c r="X522" s="6">
        <f>IF(ISERROR(VLOOKUP($U$522,'TAR FIN'!$A$1:$O$88,15,0)),0,VLOOKUP($U$522,'TAR FIN'!$A$1:$O$88,15,0))</f>
        <v>252.22</v>
      </c>
      <c r="Y522" s="6"/>
      <c r="Z522" s="6">
        <f ca="1">('TUSD BE'!$AM$48+'TUSD BF'!$AM$48+'TUSD CVA'!$AM$48)*1</f>
        <v>487.85699036910154</v>
      </c>
      <c r="AA522" s="6">
        <f>('TE BE'!$AB$38+'TE BF'!$AB$38+'TE CVA'!$AB$38)*1</f>
        <v>251.92449556687748</v>
      </c>
      <c r="AB522" s="6">
        <f>$K$522*$V$522</f>
        <v>0</v>
      </c>
      <c r="AC522" s="6">
        <f>$M$522*$W$522</f>
        <v>4251.9652500000002</v>
      </c>
      <c r="AD522" s="6">
        <f>$O$522*$X$522</f>
        <v>2518.9211399999999</v>
      </c>
      <c r="AE522" s="6">
        <f>$K$522*$Y$522</f>
        <v>0</v>
      </c>
      <c r="AF522" s="6">
        <f ca="1">$M$522*$Z$522</f>
        <v>4872.2277628162174</v>
      </c>
      <c r="AG522" s="6">
        <f>$O$522*$AA$522</f>
        <v>2515.9699372264054</v>
      </c>
    </row>
    <row r="523" spans="1:33" ht="11.25" customHeight="1" x14ac:dyDescent="0.25">
      <c r="A523" s="4" t="s">
        <v>21</v>
      </c>
      <c r="B523" s="4" t="s">
        <v>33</v>
      </c>
      <c r="C523" s="4" t="s">
        <v>23</v>
      </c>
      <c r="D523" s="4" t="s">
        <v>48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44621</v>
      </c>
      <c r="J523" s="6">
        <v>0</v>
      </c>
      <c r="K523" s="6">
        <v>0</v>
      </c>
      <c r="L523" s="6">
        <v>9.032</v>
      </c>
      <c r="M523" s="6">
        <v>9.032</v>
      </c>
      <c r="N523" s="6">
        <v>9.032</v>
      </c>
      <c r="O523" s="6">
        <v>9.032</v>
      </c>
      <c r="P523" s="6">
        <v>11</v>
      </c>
      <c r="Q523" s="4" t="s">
        <v>26</v>
      </c>
      <c r="R523" s="4">
        <v>0</v>
      </c>
      <c r="S523" s="6">
        <v>0</v>
      </c>
      <c r="T523" s="6">
        <v>30</v>
      </c>
      <c r="U523" s="6">
        <v>79</v>
      </c>
      <c r="V523" s="6">
        <f>IF(ISERROR(VLOOKUP($S$523,'TAR FIN'!$A$1:$O$88,15,0)),0,VLOOKUP($S$523,'TAR FIN'!$A$1:$O$88,15,0))</f>
        <v>0</v>
      </c>
      <c r="W523" s="6">
        <f>IF(ISERROR(VLOOKUP($T$523,'TAR FIN'!$A$1:$O$88,15,0)),0,VLOOKUP($T$523,'TAR FIN'!$A$1:$O$88,15,0))</f>
        <v>425.75</v>
      </c>
      <c r="X523" s="6">
        <f>IF(ISERROR(VLOOKUP($U$523,'TAR FIN'!$A$1:$O$88,15,0)),0,VLOOKUP($U$523,'TAR FIN'!$A$1:$O$88,15,0))</f>
        <v>252.22</v>
      </c>
      <c r="Y523" s="6"/>
      <c r="Z523" s="6">
        <f ca="1">('TUSD BE'!$AM$48+'TUSD BF'!$AM$48+'TUSD CVA'!$AM$48)*1</f>
        <v>487.85699036910154</v>
      </c>
      <c r="AA523" s="6">
        <f>('TE BE'!$AB$38+'TE BF'!$AB$38+'TE CVA'!$AB$38)*1</f>
        <v>251.92449556687748</v>
      </c>
      <c r="AB523" s="6">
        <f>$K$523*$V$523</f>
        <v>0</v>
      </c>
      <c r="AC523" s="6">
        <f>$M$523*$W$523</f>
        <v>3845.3739999999998</v>
      </c>
      <c r="AD523" s="6">
        <f>$O$523*$X$523</f>
        <v>2278.0510399999998</v>
      </c>
      <c r="AE523" s="6">
        <f>$K$523*$Y$523</f>
        <v>0</v>
      </c>
      <c r="AF523" s="6">
        <f ca="1">$M$523*$Z$523</f>
        <v>4406.3243370137252</v>
      </c>
      <c r="AG523" s="6">
        <f>$O$523*$AA$523</f>
        <v>2275.3820439600372</v>
      </c>
    </row>
    <row r="524" spans="1:33" ht="11.25" customHeight="1" x14ac:dyDescent="0.25">
      <c r="A524" s="4" t="s">
        <v>21</v>
      </c>
      <c r="B524" s="4" t="s">
        <v>33</v>
      </c>
      <c r="C524" s="4" t="s">
        <v>23</v>
      </c>
      <c r="D524" s="4" t="s">
        <v>48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44652</v>
      </c>
      <c r="J524" s="6">
        <v>0</v>
      </c>
      <c r="K524" s="6">
        <v>0</v>
      </c>
      <c r="L524" s="6">
        <v>6.6120000000000001</v>
      </c>
      <c r="M524" s="6">
        <v>6.6120000000000001</v>
      </c>
      <c r="N524" s="6">
        <v>6.6120000000000001</v>
      </c>
      <c r="O524" s="6">
        <v>6.6120000000000001</v>
      </c>
      <c r="P524" s="6">
        <v>11</v>
      </c>
      <c r="Q524" s="4" t="s">
        <v>26</v>
      </c>
      <c r="R524" s="4">
        <v>0</v>
      </c>
      <c r="S524" s="6">
        <v>0</v>
      </c>
      <c r="T524" s="6">
        <v>30</v>
      </c>
      <c r="U524" s="6">
        <v>79</v>
      </c>
      <c r="V524" s="6">
        <f>IF(ISERROR(VLOOKUP($S$524,'TAR FIN'!$A$1:$O$88,15,0)),0,VLOOKUP($S$524,'TAR FIN'!$A$1:$O$88,15,0))</f>
        <v>0</v>
      </c>
      <c r="W524" s="6">
        <f>IF(ISERROR(VLOOKUP($T$524,'TAR FIN'!$A$1:$O$88,15,0)),0,VLOOKUP($T$524,'TAR FIN'!$A$1:$O$88,15,0))</f>
        <v>425.75</v>
      </c>
      <c r="X524" s="6">
        <f>IF(ISERROR(VLOOKUP($U$524,'TAR FIN'!$A$1:$O$88,15,0)),0,VLOOKUP($U$524,'TAR FIN'!$A$1:$O$88,15,0))</f>
        <v>252.22</v>
      </c>
      <c r="Y524" s="6"/>
      <c r="Z524" s="6">
        <f ca="1">('TUSD BE'!$AM$48+'TUSD BF'!$AM$48+'TUSD CVA'!$AM$48)*1</f>
        <v>487.85699036910154</v>
      </c>
      <c r="AA524" s="6">
        <f>('TE BE'!$AB$38+'TE BF'!$AB$38+'TE CVA'!$AB$38)*1</f>
        <v>251.92449556687748</v>
      </c>
      <c r="AB524" s="6">
        <f>$K$524*$V$524</f>
        <v>0</v>
      </c>
      <c r="AC524" s="6">
        <f>$M$524*$W$524</f>
        <v>2815.0590000000002</v>
      </c>
      <c r="AD524" s="6">
        <f>$O$524*$X$524</f>
        <v>1667.6786400000001</v>
      </c>
      <c r="AE524" s="6">
        <f>$K$524*$Y$524</f>
        <v>0</v>
      </c>
      <c r="AF524" s="6">
        <f ca="1">$M$524*$Z$524</f>
        <v>3225.7104203204995</v>
      </c>
      <c r="AG524" s="6">
        <f>$O$524*$AA$524</f>
        <v>1665.724764688194</v>
      </c>
    </row>
    <row r="525" spans="1:33" ht="11.25" customHeight="1" x14ac:dyDescent="0.25">
      <c r="A525" s="4" t="s">
        <v>21</v>
      </c>
      <c r="B525" s="4" t="s">
        <v>33</v>
      </c>
      <c r="C525" s="4" t="s">
        <v>23</v>
      </c>
      <c r="D525" s="4" t="s">
        <v>48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44682</v>
      </c>
      <c r="J525" s="6">
        <v>0</v>
      </c>
      <c r="K525" s="6">
        <v>0</v>
      </c>
      <c r="L525" s="6">
        <v>6.6580000000000004</v>
      </c>
      <c r="M525" s="6">
        <v>6.6580000000000004</v>
      </c>
      <c r="N525" s="6">
        <v>6.6580000000000004</v>
      </c>
      <c r="O525" s="6">
        <v>6.6580000000000004</v>
      </c>
      <c r="P525" s="6">
        <v>11</v>
      </c>
      <c r="Q525" s="4" t="s">
        <v>26</v>
      </c>
      <c r="R525" s="4">
        <v>0</v>
      </c>
      <c r="S525" s="6">
        <v>0</v>
      </c>
      <c r="T525" s="6">
        <v>30</v>
      </c>
      <c r="U525" s="6">
        <v>79</v>
      </c>
      <c r="V525" s="6">
        <f>IF(ISERROR(VLOOKUP($S$525,'TAR FIN'!$A$1:$O$88,15,0)),0,VLOOKUP($S$525,'TAR FIN'!$A$1:$O$88,15,0))</f>
        <v>0</v>
      </c>
      <c r="W525" s="6">
        <f>IF(ISERROR(VLOOKUP($T$525,'TAR FIN'!$A$1:$O$88,15,0)),0,VLOOKUP($T$525,'TAR FIN'!$A$1:$O$88,15,0))</f>
        <v>425.75</v>
      </c>
      <c r="X525" s="6">
        <f>IF(ISERROR(VLOOKUP($U$525,'TAR FIN'!$A$1:$O$88,15,0)),0,VLOOKUP($U$525,'TAR FIN'!$A$1:$O$88,15,0))</f>
        <v>252.22</v>
      </c>
      <c r="Y525" s="6"/>
      <c r="Z525" s="6">
        <f ca="1">('TUSD BE'!$AM$48+'TUSD BF'!$AM$48+'TUSD CVA'!$AM$48)*1</f>
        <v>487.85699036910154</v>
      </c>
      <c r="AA525" s="6">
        <f>('TE BE'!$AB$38+'TE BF'!$AB$38+'TE CVA'!$AB$38)*1</f>
        <v>251.92449556687748</v>
      </c>
      <c r="AB525" s="6">
        <f>$K$525*$V$525</f>
        <v>0</v>
      </c>
      <c r="AC525" s="6">
        <f>$M$525*$W$525</f>
        <v>2834.6435000000001</v>
      </c>
      <c r="AD525" s="6">
        <f>$O$525*$X$525</f>
        <v>1679.2807600000001</v>
      </c>
      <c r="AE525" s="6">
        <f>$K$525*$Y$525</f>
        <v>0</v>
      </c>
      <c r="AF525" s="6">
        <f ca="1">$M$525*$Z$525</f>
        <v>3248.1518418774781</v>
      </c>
      <c r="AG525" s="6">
        <f>$O$525*$AA$525</f>
        <v>1677.3132914842704</v>
      </c>
    </row>
    <row r="526" spans="1:33" ht="11.25" customHeight="1" x14ac:dyDescent="0.25">
      <c r="A526" s="4" t="s">
        <v>21</v>
      </c>
      <c r="B526" s="4" t="s">
        <v>33</v>
      </c>
      <c r="C526" s="4" t="s">
        <v>23</v>
      </c>
      <c r="D526" s="4" t="s">
        <v>48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44713</v>
      </c>
      <c r="J526" s="6">
        <v>0</v>
      </c>
      <c r="K526" s="6">
        <v>0</v>
      </c>
      <c r="L526" s="6">
        <v>7.7320000000000002</v>
      </c>
      <c r="M526" s="6">
        <v>7.7320000000000002</v>
      </c>
      <c r="N526" s="6">
        <v>7.7320000000000002</v>
      </c>
      <c r="O526" s="6">
        <v>7.7320000000000002</v>
      </c>
      <c r="P526" s="6">
        <v>11</v>
      </c>
      <c r="Q526" s="4" t="s">
        <v>26</v>
      </c>
      <c r="R526" s="4">
        <v>0</v>
      </c>
      <c r="S526" s="6">
        <v>0</v>
      </c>
      <c r="T526" s="6">
        <v>30</v>
      </c>
      <c r="U526" s="6">
        <v>79</v>
      </c>
      <c r="V526" s="6">
        <f>IF(ISERROR(VLOOKUP($S$526,'TAR FIN'!$A$1:$O$88,15,0)),0,VLOOKUP($S$526,'TAR FIN'!$A$1:$O$88,15,0))</f>
        <v>0</v>
      </c>
      <c r="W526" s="6">
        <f>IF(ISERROR(VLOOKUP($T$526,'TAR FIN'!$A$1:$O$88,15,0)),0,VLOOKUP($T$526,'TAR FIN'!$A$1:$O$88,15,0))</f>
        <v>425.75</v>
      </c>
      <c r="X526" s="6">
        <f>IF(ISERROR(VLOOKUP($U$526,'TAR FIN'!$A$1:$O$88,15,0)),0,VLOOKUP($U$526,'TAR FIN'!$A$1:$O$88,15,0))</f>
        <v>252.22</v>
      </c>
      <c r="Y526" s="6"/>
      <c r="Z526" s="6">
        <f ca="1">('TUSD BE'!$AM$48+'TUSD BF'!$AM$48+'TUSD CVA'!$AM$48)*1</f>
        <v>487.85699036910154</v>
      </c>
      <c r="AA526" s="6">
        <f>('TE BE'!$AB$38+'TE BF'!$AB$38+'TE CVA'!$AB$38)*1</f>
        <v>251.92449556687748</v>
      </c>
      <c r="AB526" s="6">
        <f>$K$526*$V$526</f>
        <v>0</v>
      </c>
      <c r="AC526" s="6">
        <f>$M$526*$W$526</f>
        <v>3291.8989999999999</v>
      </c>
      <c r="AD526" s="6">
        <f>$O$526*$X$526</f>
        <v>1950.1650400000001</v>
      </c>
      <c r="AE526" s="6">
        <f>$K$526*$Y$526</f>
        <v>0</v>
      </c>
      <c r="AF526" s="6">
        <f ca="1">$M$526*$Z$526</f>
        <v>3772.1102495338932</v>
      </c>
      <c r="AG526" s="6">
        <f>$O$526*$AA$526</f>
        <v>1947.8801997230967</v>
      </c>
    </row>
    <row r="527" spans="1:33" ht="11.25" customHeight="1" x14ac:dyDescent="0.25">
      <c r="A527" s="4" t="s">
        <v>21</v>
      </c>
      <c r="B527" s="4" t="s">
        <v>33</v>
      </c>
      <c r="C527" s="4" t="s">
        <v>23</v>
      </c>
      <c r="D527" s="4" t="s">
        <v>34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44378</v>
      </c>
      <c r="J527" s="6">
        <v>0</v>
      </c>
      <c r="K527" s="6">
        <v>0</v>
      </c>
      <c r="L527" s="6">
        <v>32.374000000000002</v>
      </c>
      <c r="M527" s="6">
        <v>32.374000000000002</v>
      </c>
      <c r="N527" s="6">
        <v>32.374000000000002</v>
      </c>
      <c r="O527" s="6">
        <v>32.374000000000002</v>
      </c>
      <c r="P527" s="6">
        <v>16</v>
      </c>
      <c r="Q527" s="4" t="s">
        <v>26</v>
      </c>
      <c r="R527" s="4">
        <v>0</v>
      </c>
      <c r="S527" s="6">
        <v>0</v>
      </c>
      <c r="T527" s="6">
        <v>30</v>
      </c>
      <c r="U527" s="6">
        <v>79</v>
      </c>
      <c r="V527" s="6">
        <f>IF(ISERROR(VLOOKUP($S$527,'TAR FIN'!$A$1:$O$88,15,0)),0,VLOOKUP($S$527,'TAR FIN'!$A$1:$O$88,15,0))</f>
        <v>0</v>
      </c>
      <c r="W527" s="6">
        <f>IF(ISERROR(VLOOKUP($T$527,'TAR FIN'!$A$1:$O$88,15,0)),0,VLOOKUP($T$527,'TAR FIN'!$A$1:$O$88,15,0))</f>
        <v>425.75</v>
      </c>
      <c r="X527" s="6">
        <f>IF(ISERROR(VLOOKUP($U$527,'TAR FIN'!$A$1:$O$88,15,0)),0,VLOOKUP($U$527,'TAR FIN'!$A$1:$O$88,15,0))</f>
        <v>252.22</v>
      </c>
      <c r="Y527" s="6"/>
      <c r="Z527" s="6">
        <f ca="1">('TUSD BE'!$AM$48+'TUSD BF'!$AM$48+'TUSD CVA'!$AM$48)*1</f>
        <v>487.85699036910154</v>
      </c>
      <c r="AA527" s="6">
        <f>('TE BE'!$AB$38+'TE BF'!$AB$38+'TE CVA'!$AB$38)*1</f>
        <v>251.92449556687748</v>
      </c>
      <c r="AB527" s="6">
        <f>$K$527*$V$527</f>
        <v>0</v>
      </c>
      <c r="AC527" s="6">
        <f>$M$527*$W$527</f>
        <v>13783.230500000001</v>
      </c>
      <c r="AD527" s="6">
        <f>$O$527*$X$527</f>
        <v>8165.370280000001</v>
      </c>
      <c r="AE527" s="6">
        <f>$K$527*$Y$527</f>
        <v>0</v>
      </c>
      <c r="AF527" s="6">
        <f ca="1">$M$527*$Z$527</f>
        <v>15793.882206209295</v>
      </c>
      <c r="AG527" s="6">
        <f>$O$527*$AA$527</f>
        <v>8155.8036194820925</v>
      </c>
    </row>
    <row r="528" spans="1:33" ht="11.25" customHeight="1" x14ac:dyDescent="0.25">
      <c r="A528" s="4" t="s">
        <v>28</v>
      </c>
      <c r="B528" s="4" t="s">
        <v>33</v>
      </c>
      <c r="C528" s="4" t="s">
        <v>23</v>
      </c>
      <c r="D528" s="4" t="s">
        <v>34</v>
      </c>
      <c r="E528" s="4" t="s">
        <v>25</v>
      </c>
      <c r="F528" s="4" t="s">
        <v>25</v>
      </c>
      <c r="G528" s="4" t="s">
        <v>25</v>
      </c>
      <c r="H528" s="4" t="s">
        <v>25</v>
      </c>
      <c r="I528" s="5">
        <v>44378</v>
      </c>
      <c r="J528" s="6">
        <v>0</v>
      </c>
      <c r="K528" s="6">
        <v>0</v>
      </c>
      <c r="L528" s="6">
        <v>6.8</v>
      </c>
      <c r="M528" s="6">
        <v>6.8</v>
      </c>
      <c r="N528" s="6">
        <v>6.8</v>
      </c>
      <c r="O528" s="6">
        <v>6.8</v>
      </c>
      <c r="P528" s="6">
        <v>12</v>
      </c>
      <c r="Q528" s="4" t="s">
        <v>26</v>
      </c>
      <c r="R528" s="4">
        <v>0</v>
      </c>
      <c r="S528" s="6">
        <v>0</v>
      </c>
      <c r="T528" s="6">
        <v>30</v>
      </c>
      <c r="U528" s="6">
        <v>79</v>
      </c>
      <c r="V528" s="6">
        <f>IF(ISERROR(VLOOKUP($S$528,'TAR FIN'!$A$1:$O$88,15,0)),0,VLOOKUP($S$528,'TAR FIN'!$A$1:$O$88,15,0))</f>
        <v>0</v>
      </c>
      <c r="W528" s="6">
        <f>IF(ISERROR(VLOOKUP($T$528,'TAR FIN'!$A$1:$O$88,15,0)),0,VLOOKUP($T$528,'TAR FIN'!$A$1:$O$88,15,0))</f>
        <v>425.75</v>
      </c>
      <c r="X528" s="6">
        <f>IF(ISERROR(VLOOKUP($U$528,'TAR FIN'!$A$1:$O$88,15,0)),0,VLOOKUP($U$528,'TAR FIN'!$A$1:$O$88,15,0))</f>
        <v>252.22</v>
      </c>
      <c r="Y528" s="6"/>
      <c r="Z528" s="6">
        <f ca="1">('TUSD BE'!$AM$48+'TUSD BF'!$AM$48+'TUSD CVA'!$AM$48)*1</f>
        <v>487.85699036910154</v>
      </c>
      <c r="AA528" s="6">
        <f>('TE BE'!$AB$38+'TE BF'!$AB$38+'TE CVA'!$AB$38)*1</f>
        <v>251.92449556687748</v>
      </c>
      <c r="AB528" s="6">
        <f>$K$528*$V$528</f>
        <v>0</v>
      </c>
      <c r="AC528" s="6">
        <f>$M$528*$W$528</f>
        <v>2895.1</v>
      </c>
      <c r="AD528" s="6">
        <f>$O$528*$X$528</f>
        <v>1715.096</v>
      </c>
      <c r="AE528" s="6">
        <f>$K$528*$Y$528</f>
        <v>0</v>
      </c>
      <c r="AF528" s="6">
        <f ca="1">$M$528*$Z$528</f>
        <v>3317.4275345098904</v>
      </c>
      <c r="AG528" s="6">
        <f>$O$528*$AA$528</f>
        <v>1713.0865698547668</v>
      </c>
    </row>
    <row r="529" spans="1:33" ht="11.25" customHeight="1" x14ac:dyDescent="0.25">
      <c r="A529" s="4" t="s">
        <v>21</v>
      </c>
      <c r="B529" s="4" t="s">
        <v>33</v>
      </c>
      <c r="C529" s="4" t="s">
        <v>23</v>
      </c>
      <c r="D529" s="4" t="s">
        <v>34</v>
      </c>
      <c r="E529" s="4" t="s">
        <v>25</v>
      </c>
      <c r="F529" s="4" t="s">
        <v>25</v>
      </c>
      <c r="G529" s="4" t="s">
        <v>25</v>
      </c>
      <c r="H529" s="4" t="s">
        <v>25</v>
      </c>
      <c r="I529" s="5">
        <v>44409</v>
      </c>
      <c r="J529" s="6">
        <v>0</v>
      </c>
      <c r="K529" s="6">
        <v>0</v>
      </c>
      <c r="L529" s="6">
        <v>44.094999999999999</v>
      </c>
      <c r="M529" s="6">
        <v>44.094999999999999</v>
      </c>
      <c r="N529" s="6">
        <v>44.094999999999999</v>
      </c>
      <c r="O529" s="6">
        <v>44.094999999999999</v>
      </c>
      <c r="P529" s="6">
        <v>17</v>
      </c>
      <c r="Q529" s="4" t="s">
        <v>26</v>
      </c>
      <c r="R529" s="4">
        <v>0</v>
      </c>
      <c r="S529" s="6">
        <v>0</v>
      </c>
      <c r="T529" s="6">
        <v>30</v>
      </c>
      <c r="U529" s="6">
        <v>79</v>
      </c>
      <c r="V529" s="6">
        <f>IF(ISERROR(VLOOKUP($S$529,'TAR FIN'!$A$1:$O$88,15,0)),0,VLOOKUP($S$529,'TAR FIN'!$A$1:$O$88,15,0))</f>
        <v>0</v>
      </c>
      <c r="W529" s="6">
        <f>IF(ISERROR(VLOOKUP($T$529,'TAR FIN'!$A$1:$O$88,15,0)),0,VLOOKUP($T$529,'TAR FIN'!$A$1:$O$88,15,0))</f>
        <v>425.75</v>
      </c>
      <c r="X529" s="6">
        <f>IF(ISERROR(VLOOKUP($U$529,'TAR FIN'!$A$1:$O$88,15,0)),0,VLOOKUP($U$529,'TAR FIN'!$A$1:$O$88,15,0))</f>
        <v>252.22</v>
      </c>
      <c r="Y529" s="6"/>
      <c r="Z529" s="6">
        <f ca="1">('TUSD BE'!$AM$48+'TUSD BF'!$AM$48+'TUSD CVA'!$AM$48)*1</f>
        <v>487.85699036910154</v>
      </c>
      <c r="AA529" s="6">
        <f>('TE BE'!$AB$38+'TE BF'!$AB$38+'TE CVA'!$AB$38)*1</f>
        <v>251.92449556687748</v>
      </c>
      <c r="AB529" s="6">
        <f>$K$529*$V$529</f>
        <v>0</v>
      </c>
      <c r="AC529" s="6">
        <f>$M$529*$W$529</f>
        <v>18773.446250000001</v>
      </c>
      <c r="AD529" s="6">
        <f>$O$529*$X$529</f>
        <v>11121.6409</v>
      </c>
      <c r="AE529" s="6">
        <f>$K$529*$Y$529</f>
        <v>0</v>
      </c>
      <c r="AF529" s="6">
        <f ca="1">$M$529*$Z$529</f>
        <v>21512.05399032553</v>
      </c>
      <c r="AG529" s="6">
        <f>$O$529*$AA$529</f>
        <v>11108.610632021462</v>
      </c>
    </row>
    <row r="530" spans="1:33" ht="11.25" customHeight="1" x14ac:dyDescent="0.25">
      <c r="A530" s="4" t="s">
        <v>28</v>
      </c>
      <c r="B530" s="4" t="s">
        <v>33</v>
      </c>
      <c r="C530" s="4" t="s">
        <v>23</v>
      </c>
      <c r="D530" s="4" t="s">
        <v>34</v>
      </c>
      <c r="E530" s="4" t="s">
        <v>25</v>
      </c>
      <c r="F530" s="4" t="s">
        <v>25</v>
      </c>
      <c r="G530" s="4" t="s">
        <v>25</v>
      </c>
      <c r="H530" s="4" t="s">
        <v>25</v>
      </c>
      <c r="I530" s="5">
        <v>44409</v>
      </c>
      <c r="J530" s="6">
        <v>0</v>
      </c>
      <c r="K530" s="6">
        <v>0</v>
      </c>
      <c r="L530" s="6">
        <v>9.2780000000000005</v>
      </c>
      <c r="M530" s="6">
        <v>9.2780000000000005</v>
      </c>
      <c r="N530" s="6">
        <v>9.2780000000000005</v>
      </c>
      <c r="O530" s="6">
        <v>9.2780000000000005</v>
      </c>
      <c r="P530" s="6">
        <v>11</v>
      </c>
      <c r="Q530" s="4" t="s">
        <v>26</v>
      </c>
      <c r="R530" s="4">
        <v>0</v>
      </c>
      <c r="S530" s="6">
        <v>0</v>
      </c>
      <c r="T530" s="6">
        <v>30</v>
      </c>
      <c r="U530" s="6">
        <v>79</v>
      </c>
      <c r="V530" s="6">
        <f>IF(ISERROR(VLOOKUP($S$530,'TAR FIN'!$A$1:$O$88,15,0)),0,VLOOKUP($S$530,'TAR FIN'!$A$1:$O$88,15,0))</f>
        <v>0</v>
      </c>
      <c r="W530" s="6">
        <f>IF(ISERROR(VLOOKUP($T$530,'TAR FIN'!$A$1:$O$88,15,0)),0,VLOOKUP($T$530,'TAR FIN'!$A$1:$O$88,15,0))</f>
        <v>425.75</v>
      </c>
      <c r="X530" s="6">
        <f>IF(ISERROR(VLOOKUP($U$530,'TAR FIN'!$A$1:$O$88,15,0)),0,VLOOKUP($U$530,'TAR FIN'!$A$1:$O$88,15,0))</f>
        <v>252.22</v>
      </c>
      <c r="Y530" s="6"/>
      <c r="Z530" s="6">
        <f ca="1">('TUSD BE'!$AM$48+'TUSD BF'!$AM$48+'TUSD CVA'!$AM$48)*1</f>
        <v>487.85699036910154</v>
      </c>
      <c r="AA530" s="6">
        <f>('TE BE'!$AB$38+'TE BF'!$AB$38+'TE CVA'!$AB$38)*1</f>
        <v>251.92449556687748</v>
      </c>
      <c r="AB530" s="6">
        <f>$K$530*$V$530</f>
        <v>0</v>
      </c>
      <c r="AC530" s="6">
        <f>$M$530*$W$530</f>
        <v>3950.1085000000003</v>
      </c>
      <c r="AD530" s="6">
        <f>$O$530*$X$530</f>
        <v>2340.0971600000003</v>
      </c>
      <c r="AE530" s="6">
        <f>$K$530*$Y$530</f>
        <v>0</v>
      </c>
      <c r="AF530" s="6">
        <f ca="1">$M$530*$Z$530</f>
        <v>4526.3371566445239</v>
      </c>
      <c r="AG530" s="6">
        <f>$O$530*$AA$530</f>
        <v>2337.3554698694893</v>
      </c>
    </row>
    <row r="531" spans="1:33" ht="11.25" customHeight="1" x14ac:dyDescent="0.25">
      <c r="A531" s="4" t="s">
        <v>21</v>
      </c>
      <c r="B531" s="4" t="s">
        <v>33</v>
      </c>
      <c r="C531" s="4" t="s">
        <v>23</v>
      </c>
      <c r="D531" s="4" t="s">
        <v>34</v>
      </c>
      <c r="E531" s="4" t="s">
        <v>25</v>
      </c>
      <c r="F531" s="4" t="s">
        <v>25</v>
      </c>
      <c r="G531" s="4" t="s">
        <v>25</v>
      </c>
      <c r="H531" s="4" t="s">
        <v>25</v>
      </c>
      <c r="I531" s="5">
        <v>44440</v>
      </c>
      <c r="J531" s="6">
        <v>0</v>
      </c>
      <c r="K531" s="6">
        <v>0</v>
      </c>
      <c r="L531" s="6">
        <v>53.484000000000002</v>
      </c>
      <c r="M531" s="6">
        <v>53.484000000000002</v>
      </c>
      <c r="N531" s="6">
        <v>53.484000000000002</v>
      </c>
      <c r="O531" s="6">
        <v>53.484000000000002</v>
      </c>
      <c r="P531" s="6">
        <v>17</v>
      </c>
      <c r="Q531" s="4" t="s">
        <v>26</v>
      </c>
      <c r="R531" s="4">
        <v>0</v>
      </c>
      <c r="S531" s="6">
        <v>0</v>
      </c>
      <c r="T531" s="6">
        <v>30</v>
      </c>
      <c r="U531" s="6">
        <v>79</v>
      </c>
      <c r="V531" s="6">
        <f>IF(ISERROR(VLOOKUP($S$531,'TAR FIN'!$A$1:$O$88,15,0)),0,VLOOKUP($S$531,'TAR FIN'!$A$1:$O$88,15,0))</f>
        <v>0</v>
      </c>
      <c r="W531" s="6">
        <f>IF(ISERROR(VLOOKUP($T$531,'TAR FIN'!$A$1:$O$88,15,0)),0,VLOOKUP($T$531,'TAR FIN'!$A$1:$O$88,15,0))</f>
        <v>425.75</v>
      </c>
      <c r="X531" s="6">
        <f>IF(ISERROR(VLOOKUP($U$531,'TAR FIN'!$A$1:$O$88,15,0)),0,VLOOKUP($U$531,'TAR FIN'!$A$1:$O$88,15,0))</f>
        <v>252.22</v>
      </c>
      <c r="Y531" s="6"/>
      <c r="Z531" s="6">
        <f ca="1">('TUSD BE'!$AM$48+'TUSD BF'!$AM$48+'TUSD CVA'!$AM$48)*1</f>
        <v>487.85699036910154</v>
      </c>
      <c r="AA531" s="6">
        <f>('TE BE'!$AB$38+'TE BF'!$AB$38+'TE CVA'!$AB$38)*1</f>
        <v>251.92449556687748</v>
      </c>
      <c r="AB531" s="6">
        <f>$K$531*$V$531</f>
        <v>0</v>
      </c>
      <c r="AC531" s="6">
        <f>$M$531*$W$531</f>
        <v>22770.813000000002</v>
      </c>
      <c r="AD531" s="6">
        <f>$O$531*$X$531</f>
        <v>13489.734480000001</v>
      </c>
      <c r="AE531" s="6">
        <f>$K$531*$Y$531</f>
        <v>0</v>
      </c>
      <c r="AF531" s="6">
        <f ca="1">$M$531*$Z$531</f>
        <v>26092.543272901028</v>
      </c>
      <c r="AG531" s="6">
        <f>$O$531*$AA$531</f>
        <v>13473.929720898876</v>
      </c>
    </row>
    <row r="532" spans="1:33" ht="11.25" customHeight="1" x14ac:dyDescent="0.25">
      <c r="A532" s="4" t="s">
        <v>28</v>
      </c>
      <c r="B532" s="4" t="s">
        <v>33</v>
      </c>
      <c r="C532" s="4" t="s">
        <v>23</v>
      </c>
      <c r="D532" s="4" t="s">
        <v>34</v>
      </c>
      <c r="E532" s="4" t="s">
        <v>25</v>
      </c>
      <c r="F532" s="4" t="s">
        <v>25</v>
      </c>
      <c r="G532" s="4" t="s">
        <v>25</v>
      </c>
      <c r="H532" s="4" t="s">
        <v>25</v>
      </c>
      <c r="I532" s="5">
        <v>44440</v>
      </c>
      <c r="J532" s="6">
        <v>0</v>
      </c>
      <c r="K532" s="6">
        <v>0</v>
      </c>
      <c r="L532" s="6">
        <v>15.333</v>
      </c>
      <c r="M532" s="6">
        <v>15.333</v>
      </c>
      <c r="N532" s="6">
        <v>15.333</v>
      </c>
      <c r="O532" s="6">
        <v>15.333</v>
      </c>
      <c r="P532" s="6">
        <v>11</v>
      </c>
      <c r="Q532" s="4" t="s">
        <v>26</v>
      </c>
      <c r="R532" s="4">
        <v>0</v>
      </c>
      <c r="S532" s="6">
        <v>0</v>
      </c>
      <c r="T532" s="6">
        <v>30</v>
      </c>
      <c r="U532" s="6">
        <v>79</v>
      </c>
      <c r="V532" s="6">
        <f>IF(ISERROR(VLOOKUP($S$532,'TAR FIN'!$A$1:$O$88,15,0)),0,VLOOKUP($S$532,'TAR FIN'!$A$1:$O$88,15,0))</f>
        <v>0</v>
      </c>
      <c r="W532" s="6">
        <f>IF(ISERROR(VLOOKUP($T$532,'TAR FIN'!$A$1:$O$88,15,0)),0,VLOOKUP($T$532,'TAR FIN'!$A$1:$O$88,15,0))</f>
        <v>425.75</v>
      </c>
      <c r="X532" s="6">
        <f>IF(ISERROR(VLOOKUP($U$532,'TAR FIN'!$A$1:$O$88,15,0)),0,VLOOKUP($U$532,'TAR FIN'!$A$1:$O$88,15,0))</f>
        <v>252.22</v>
      </c>
      <c r="Y532" s="6"/>
      <c r="Z532" s="6">
        <f ca="1">('TUSD BE'!$AM$48+'TUSD BF'!$AM$48+'TUSD CVA'!$AM$48)*1</f>
        <v>487.85699036910154</v>
      </c>
      <c r="AA532" s="6">
        <f>('TE BE'!$AB$38+'TE BF'!$AB$38+'TE CVA'!$AB$38)*1</f>
        <v>251.92449556687748</v>
      </c>
      <c r="AB532" s="6">
        <f>$K$532*$V$532</f>
        <v>0</v>
      </c>
      <c r="AC532" s="6">
        <f>$M$532*$W$532</f>
        <v>6528.0247500000005</v>
      </c>
      <c r="AD532" s="6">
        <f>$O$532*$X$532</f>
        <v>3867.28926</v>
      </c>
      <c r="AE532" s="6">
        <f>$K$532*$Y$532</f>
        <v>0</v>
      </c>
      <c r="AF532" s="6">
        <f ca="1">$M$532*$Z$532</f>
        <v>7480.3112333294339</v>
      </c>
      <c r="AG532" s="6">
        <f>$O$532*$AA$532</f>
        <v>3862.7582905269323</v>
      </c>
    </row>
    <row r="533" spans="1:33" ht="11.25" customHeight="1" x14ac:dyDescent="0.25">
      <c r="A533" s="4" t="s">
        <v>21</v>
      </c>
      <c r="B533" s="4" t="s">
        <v>33</v>
      </c>
      <c r="C533" s="4" t="s">
        <v>23</v>
      </c>
      <c r="D533" s="4" t="s">
        <v>34</v>
      </c>
      <c r="E533" s="4" t="s">
        <v>25</v>
      </c>
      <c r="F533" s="4" t="s">
        <v>25</v>
      </c>
      <c r="G533" s="4" t="s">
        <v>25</v>
      </c>
      <c r="H533" s="4" t="s">
        <v>25</v>
      </c>
      <c r="I533" s="5">
        <v>44470</v>
      </c>
      <c r="J533" s="6">
        <v>0</v>
      </c>
      <c r="K533" s="6">
        <v>0</v>
      </c>
      <c r="L533" s="6">
        <v>56.197000000000003</v>
      </c>
      <c r="M533" s="6">
        <v>56.197000000000003</v>
      </c>
      <c r="N533" s="6">
        <v>56.197000000000003</v>
      </c>
      <c r="O533" s="6">
        <v>56.197000000000003</v>
      </c>
      <c r="P533" s="6">
        <v>17</v>
      </c>
      <c r="Q533" s="4" t="s">
        <v>26</v>
      </c>
      <c r="R533" s="4">
        <v>0</v>
      </c>
      <c r="S533" s="6">
        <v>0</v>
      </c>
      <c r="T533" s="6">
        <v>30</v>
      </c>
      <c r="U533" s="6">
        <v>79</v>
      </c>
      <c r="V533" s="6">
        <f>IF(ISERROR(VLOOKUP($S$533,'TAR FIN'!$A$1:$O$88,15,0)),0,VLOOKUP($S$533,'TAR FIN'!$A$1:$O$88,15,0))</f>
        <v>0</v>
      </c>
      <c r="W533" s="6">
        <f>IF(ISERROR(VLOOKUP($T$533,'TAR FIN'!$A$1:$O$88,15,0)),0,VLOOKUP($T$533,'TAR FIN'!$A$1:$O$88,15,0))</f>
        <v>425.75</v>
      </c>
      <c r="X533" s="6">
        <f>IF(ISERROR(VLOOKUP($U$533,'TAR FIN'!$A$1:$O$88,15,0)),0,VLOOKUP($U$533,'TAR FIN'!$A$1:$O$88,15,0))</f>
        <v>252.22</v>
      </c>
      <c r="Y533" s="6"/>
      <c r="Z533" s="6">
        <f ca="1">('TUSD BE'!$AM$48+'TUSD BF'!$AM$48+'TUSD CVA'!$AM$48)*1</f>
        <v>487.85699036910154</v>
      </c>
      <c r="AA533" s="6">
        <f>('TE BE'!$AB$38+'TE BF'!$AB$38+'TE CVA'!$AB$38)*1</f>
        <v>251.92449556687748</v>
      </c>
      <c r="AB533" s="6">
        <f>$K$533*$V$533</f>
        <v>0</v>
      </c>
      <c r="AC533" s="6">
        <f>$M$533*$W$533</f>
        <v>23925.872750000002</v>
      </c>
      <c r="AD533" s="6">
        <f>$O$533*$X$533</f>
        <v>14174.00734</v>
      </c>
      <c r="AE533" s="6">
        <f>$K$533*$Y$533</f>
        <v>0</v>
      </c>
      <c r="AF533" s="6">
        <f ca="1">$M$533*$Z$533</f>
        <v>27416.099287772402</v>
      </c>
      <c r="AG533" s="6">
        <f>$O$533*$AA$533</f>
        <v>14157.400877371814</v>
      </c>
    </row>
    <row r="534" spans="1:33" ht="11.25" customHeight="1" x14ac:dyDescent="0.25">
      <c r="A534" s="4" t="s">
        <v>28</v>
      </c>
      <c r="B534" s="4" t="s">
        <v>33</v>
      </c>
      <c r="C534" s="4" t="s">
        <v>23</v>
      </c>
      <c r="D534" s="4" t="s">
        <v>34</v>
      </c>
      <c r="E534" s="4" t="s">
        <v>25</v>
      </c>
      <c r="F534" s="4" t="s">
        <v>25</v>
      </c>
      <c r="G534" s="4" t="s">
        <v>25</v>
      </c>
      <c r="H534" s="4" t="s">
        <v>25</v>
      </c>
      <c r="I534" s="5">
        <v>44470</v>
      </c>
      <c r="J534" s="6">
        <v>0</v>
      </c>
      <c r="K534" s="6">
        <v>0</v>
      </c>
      <c r="L534" s="6">
        <v>10.62</v>
      </c>
      <c r="M534" s="6">
        <v>10.62</v>
      </c>
      <c r="N534" s="6">
        <v>10.62</v>
      </c>
      <c r="O534" s="6">
        <v>10.62</v>
      </c>
      <c r="P534" s="6">
        <v>11</v>
      </c>
      <c r="Q534" s="4" t="s">
        <v>26</v>
      </c>
      <c r="R534" s="4">
        <v>0</v>
      </c>
      <c r="S534" s="6">
        <v>0</v>
      </c>
      <c r="T534" s="6">
        <v>30</v>
      </c>
      <c r="U534" s="6">
        <v>79</v>
      </c>
      <c r="V534" s="6">
        <f>IF(ISERROR(VLOOKUP($S$534,'TAR FIN'!$A$1:$O$88,15,0)),0,VLOOKUP($S$534,'TAR FIN'!$A$1:$O$88,15,0))</f>
        <v>0</v>
      </c>
      <c r="W534" s="6">
        <f>IF(ISERROR(VLOOKUP($T$534,'TAR FIN'!$A$1:$O$88,15,0)),0,VLOOKUP($T$534,'TAR FIN'!$A$1:$O$88,15,0))</f>
        <v>425.75</v>
      </c>
      <c r="X534" s="6">
        <f>IF(ISERROR(VLOOKUP($U$534,'TAR FIN'!$A$1:$O$88,15,0)),0,VLOOKUP($U$534,'TAR FIN'!$A$1:$O$88,15,0))</f>
        <v>252.22</v>
      </c>
      <c r="Y534" s="6"/>
      <c r="Z534" s="6">
        <f ca="1">('TUSD BE'!$AM$48+'TUSD BF'!$AM$48+'TUSD CVA'!$AM$48)*1</f>
        <v>487.85699036910154</v>
      </c>
      <c r="AA534" s="6">
        <f>('TE BE'!$AB$38+'TE BF'!$AB$38+'TE CVA'!$AB$38)*1</f>
        <v>251.92449556687748</v>
      </c>
      <c r="AB534" s="6">
        <f>$K$534*$V$534</f>
        <v>0</v>
      </c>
      <c r="AC534" s="6">
        <f>$M$534*$W$534</f>
        <v>4521.4649999999992</v>
      </c>
      <c r="AD534" s="6">
        <f>$O$534*$X$534</f>
        <v>2678.5763999999999</v>
      </c>
      <c r="AE534" s="6">
        <f>$K$534*$Y$534</f>
        <v>0</v>
      </c>
      <c r="AF534" s="6">
        <f ca="1">$M$534*$Z$534</f>
        <v>5181.0412377198581</v>
      </c>
      <c r="AG534" s="6">
        <f>$O$534*$AA$534</f>
        <v>2675.4381429202385</v>
      </c>
    </row>
    <row r="535" spans="1:33" ht="11.25" customHeight="1" x14ac:dyDescent="0.25">
      <c r="A535" s="4" t="s">
        <v>21</v>
      </c>
      <c r="B535" s="4" t="s">
        <v>33</v>
      </c>
      <c r="C535" s="4" t="s">
        <v>23</v>
      </c>
      <c r="D535" s="4" t="s">
        <v>34</v>
      </c>
      <c r="E535" s="4" t="s">
        <v>25</v>
      </c>
      <c r="F535" s="4" t="s">
        <v>25</v>
      </c>
      <c r="G535" s="4" t="s">
        <v>25</v>
      </c>
      <c r="H535" s="4" t="s">
        <v>25</v>
      </c>
      <c r="I535" s="5">
        <v>44501</v>
      </c>
      <c r="J535" s="6">
        <v>0</v>
      </c>
      <c r="K535" s="6">
        <v>0</v>
      </c>
      <c r="L535" s="6">
        <v>53.191000000000003</v>
      </c>
      <c r="M535" s="6">
        <v>53.191000000000003</v>
      </c>
      <c r="N535" s="6">
        <v>53.191000000000003</v>
      </c>
      <c r="O535" s="6">
        <v>53.191000000000003</v>
      </c>
      <c r="P535" s="6">
        <v>16</v>
      </c>
      <c r="Q535" s="4" t="s">
        <v>26</v>
      </c>
      <c r="R535" s="4">
        <v>0</v>
      </c>
      <c r="S535" s="6">
        <v>0</v>
      </c>
      <c r="T535" s="6">
        <v>30</v>
      </c>
      <c r="U535" s="6">
        <v>79</v>
      </c>
      <c r="V535" s="6">
        <f>IF(ISERROR(VLOOKUP($S$535,'TAR FIN'!$A$1:$O$88,15,0)),0,VLOOKUP($S$535,'TAR FIN'!$A$1:$O$88,15,0))</f>
        <v>0</v>
      </c>
      <c r="W535" s="6">
        <f>IF(ISERROR(VLOOKUP($T$535,'TAR FIN'!$A$1:$O$88,15,0)),0,VLOOKUP($T$535,'TAR FIN'!$A$1:$O$88,15,0))</f>
        <v>425.75</v>
      </c>
      <c r="X535" s="6">
        <f>IF(ISERROR(VLOOKUP($U$535,'TAR FIN'!$A$1:$O$88,15,0)),0,VLOOKUP($U$535,'TAR FIN'!$A$1:$O$88,15,0))</f>
        <v>252.22</v>
      </c>
      <c r="Y535" s="6"/>
      <c r="Z535" s="6">
        <f ca="1">('TUSD BE'!$AM$48+'TUSD BF'!$AM$48+'TUSD CVA'!$AM$48)*1</f>
        <v>487.85699036910154</v>
      </c>
      <c r="AA535" s="6">
        <f>('TE BE'!$AB$38+'TE BF'!$AB$38+'TE CVA'!$AB$38)*1</f>
        <v>251.92449556687748</v>
      </c>
      <c r="AB535" s="6">
        <f>$K$535*$V$535</f>
        <v>0</v>
      </c>
      <c r="AC535" s="6">
        <f>$M$535*$W$535</f>
        <v>22646.06825</v>
      </c>
      <c r="AD535" s="6">
        <f>$O$535*$X$535</f>
        <v>13415.83402</v>
      </c>
      <c r="AE535" s="6">
        <f>$K$535*$Y$535</f>
        <v>0</v>
      </c>
      <c r="AF535" s="6">
        <f ca="1">$M$535*$Z$535</f>
        <v>25949.60117472288</v>
      </c>
      <c r="AG535" s="6">
        <f>$O$535*$AA$535</f>
        <v>13400.11584369778</v>
      </c>
    </row>
    <row r="536" spans="1:33" ht="11.25" customHeight="1" x14ac:dyDescent="0.25">
      <c r="A536" s="4" t="s">
        <v>28</v>
      </c>
      <c r="B536" s="4" t="s">
        <v>33</v>
      </c>
      <c r="C536" s="4" t="s">
        <v>23</v>
      </c>
      <c r="D536" s="4" t="s">
        <v>34</v>
      </c>
      <c r="E536" s="4" t="s">
        <v>25</v>
      </c>
      <c r="F536" s="4" t="s">
        <v>25</v>
      </c>
      <c r="G536" s="4" t="s">
        <v>25</v>
      </c>
      <c r="H536" s="4" t="s">
        <v>25</v>
      </c>
      <c r="I536" s="5">
        <v>44501</v>
      </c>
      <c r="J536" s="6">
        <v>0</v>
      </c>
      <c r="K536" s="6">
        <v>0</v>
      </c>
      <c r="L536" s="6">
        <v>15.13</v>
      </c>
      <c r="M536" s="6">
        <v>15.13</v>
      </c>
      <c r="N536" s="6">
        <v>15.13</v>
      </c>
      <c r="O536" s="6">
        <v>15.13</v>
      </c>
      <c r="P536" s="6">
        <v>12</v>
      </c>
      <c r="Q536" s="4" t="s">
        <v>26</v>
      </c>
      <c r="R536" s="4">
        <v>0</v>
      </c>
      <c r="S536" s="6">
        <v>0</v>
      </c>
      <c r="T536" s="6">
        <v>30</v>
      </c>
      <c r="U536" s="6">
        <v>79</v>
      </c>
      <c r="V536" s="6">
        <f>IF(ISERROR(VLOOKUP($S$536,'TAR FIN'!$A$1:$O$88,15,0)),0,VLOOKUP($S$536,'TAR FIN'!$A$1:$O$88,15,0))</f>
        <v>0</v>
      </c>
      <c r="W536" s="6">
        <f>IF(ISERROR(VLOOKUP($T$536,'TAR FIN'!$A$1:$O$88,15,0)),0,VLOOKUP($T$536,'TAR FIN'!$A$1:$O$88,15,0))</f>
        <v>425.75</v>
      </c>
      <c r="X536" s="6">
        <f>IF(ISERROR(VLOOKUP($U$536,'TAR FIN'!$A$1:$O$88,15,0)),0,VLOOKUP($U$536,'TAR FIN'!$A$1:$O$88,15,0))</f>
        <v>252.22</v>
      </c>
      <c r="Y536" s="6"/>
      <c r="Z536" s="6">
        <f ca="1">('TUSD BE'!$AM$48+'TUSD BF'!$AM$48+'TUSD CVA'!$AM$48)*1</f>
        <v>487.85699036910154</v>
      </c>
      <c r="AA536" s="6">
        <f>('TE BE'!$AB$38+'TE BF'!$AB$38+'TE CVA'!$AB$38)*1</f>
        <v>251.92449556687748</v>
      </c>
      <c r="AB536" s="6">
        <f>$K$536*$V$536</f>
        <v>0</v>
      </c>
      <c r="AC536" s="6">
        <f>$M$536*$W$536</f>
        <v>6441.5975000000008</v>
      </c>
      <c r="AD536" s="6">
        <f>$O$536*$X$536</f>
        <v>3816.0886</v>
      </c>
      <c r="AE536" s="6">
        <f>$K$536*$Y$536</f>
        <v>0</v>
      </c>
      <c r="AF536" s="6">
        <f ca="1">$M$536*$Z$536</f>
        <v>7381.2762642845064</v>
      </c>
      <c r="AG536" s="6">
        <f>$O$536*$AA$536</f>
        <v>3811.6176179268564</v>
      </c>
    </row>
    <row r="537" spans="1:33" ht="11.25" customHeight="1" x14ac:dyDescent="0.25">
      <c r="A537" s="4" t="s">
        <v>21</v>
      </c>
      <c r="B537" s="4" t="s">
        <v>33</v>
      </c>
      <c r="C537" s="4" t="s">
        <v>23</v>
      </c>
      <c r="D537" s="4" t="s">
        <v>34</v>
      </c>
      <c r="E537" s="4" t="s">
        <v>25</v>
      </c>
      <c r="F537" s="4" t="s">
        <v>25</v>
      </c>
      <c r="G537" s="4" t="s">
        <v>25</v>
      </c>
      <c r="H537" s="4" t="s">
        <v>25</v>
      </c>
      <c r="I537" s="5">
        <v>44531</v>
      </c>
      <c r="J537" s="6">
        <v>0</v>
      </c>
      <c r="K537" s="6">
        <v>0</v>
      </c>
      <c r="L537" s="6">
        <v>54.026000000000003</v>
      </c>
      <c r="M537" s="6">
        <v>54.026000000000003</v>
      </c>
      <c r="N537" s="6">
        <v>54.026000000000003</v>
      </c>
      <c r="O537" s="6">
        <v>54.026000000000003</v>
      </c>
      <c r="P537" s="6">
        <v>18</v>
      </c>
      <c r="Q537" s="4" t="s">
        <v>26</v>
      </c>
      <c r="R537" s="4">
        <v>0</v>
      </c>
      <c r="S537" s="6">
        <v>0</v>
      </c>
      <c r="T537" s="6">
        <v>30</v>
      </c>
      <c r="U537" s="6">
        <v>79</v>
      </c>
      <c r="V537" s="6">
        <f>IF(ISERROR(VLOOKUP($S$537,'TAR FIN'!$A$1:$O$88,15,0)),0,VLOOKUP($S$537,'TAR FIN'!$A$1:$O$88,15,0))</f>
        <v>0</v>
      </c>
      <c r="W537" s="6">
        <f>IF(ISERROR(VLOOKUP($T$537,'TAR FIN'!$A$1:$O$88,15,0)),0,VLOOKUP($T$537,'TAR FIN'!$A$1:$O$88,15,0))</f>
        <v>425.75</v>
      </c>
      <c r="X537" s="6">
        <f>IF(ISERROR(VLOOKUP($U$537,'TAR FIN'!$A$1:$O$88,15,0)),0,VLOOKUP($U$537,'TAR FIN'!$A$1:$O$88,15,0))</f>
        <v>252.22</v>
      </c>
      <c r="Y537" s="6"/>
      <c r="Z537" s="6">
        <f ca="1">('TUSD BE'!$AM$48+'TUSD BF'!$AM$48+'TUSD CVA'!$AM$48)*1</f>
        <v>487.85699036910154</v>
      </c>
      <c r="AA537" s="6">
        <f>('TE BE'!$AB$38+'TE BF'!$AB$38+'TE CVA'!$AB$38)*1</f>
        <v>251.92449556687748</v>
      </c>
      <c r="AB537" s="6">
        <f>$K$537*$V$537</f>
        <v>0</v>
      </c>
      <c r="AC537" s="6">
        <f>$M$537*$W$537</f>
        <v>23001.569500000001</v>
      </c>
      <c r="AD537" s="6">
        <f>$O$537*$X$537</f>
        <v>13626.43772</v>
      </c>
      <c r="AE537" s="6">
        <f>$K$537*$Y$537</f>
        <v>0</v>
      </c>
      <c r="AF537" s="6">
        <f ca="1">$M$537*$Z$537</f>
        <v>26356.961761681083</v>
      </c>
      <c r="AG537" s="6">
        <f>$O$537*$AA$537</f>
        <v>13610.472797496124</v>
      </c>
    </row>
    <row r="538" spans="1:33" ht="11.25" customHeight="1" x14ac:dyDescent="0.25">
      <c r="A538" s="4" t="s">
        <v>28</v>
      </c>
      <c r="B538" s="4" t="s">
        <v>33</v>
      </c>
      <c r="C538" s="4" t="s">
        <v>23</v>
      </c>
      <c r="D538" s="4" t="s">
        <v>34</v>
      </c>
      <c r="E538" s="4" t="s">
        <v>25</v>
      </c>
      <c r="F538" s="4" t="s">
        <v>25</v>
      </c>
      <c r="G538" s="4" t="s">
        <v>25</v>
      </c>
      <c r="H538" s="4" t="s">
        <v>25</v>
      </c>
      <c r="I538" s="5">
        <v>44531</v>
      </c>
      <c r="J538" s="6">
        <v>0</v>
      </c>
      <c r="K538" s="6">
        <v>0</v>
      </c>
      <c r="L538" s="6">
        <v>11.590999999999999</v>
      </c>
      <c r="M538" s="6">
        <v>11.590999999999999</v>
      </c>
      <c r="N538" s="6">
        <v>11.590999999999999</v>
      </c>
      <c r="O538" s="6">
        <v>11.590999999999999</v>
      </c>
      <c r="P538" s="6">
        <v>12</v>
      </c>
      <c r="Q538" s="4" t="s">
        <v>26</v>
      </c>
      <c r="R538" s="4">
        <v>0</v>
      </c>
      <c r="S538" s="6">
        <v>0</v>
      </c>
      <c r="T538" s="6">
        <v>30</v>
      </c>
      <c r="U538" s="6">
        <v>79</v>
      </c>
      <c r="V538" s="6">
        <f>IF(ISERROR(VLOOKUP($S$538,'TAR FIN'!$A$1:$O$88,15,0)),0,VLOOKUP($S$538,'TAR FIN'!$A$1:$O$88,15,0))</f>
        <v>0</v>
      </c>
      <c r="W538" s="6">
        <f>IF(ISERROR(VLOOKUP($T$538,'TAR FIN'!$A$1:$O$88,15,0)),0,VLOOKUP($T$538,'TAR FIN'!$A$1:$O$88,15,0))</f>
        <v>425.75</v>
      </c>
      <c r="X538" s="6">
        <f>IF(ISERROR(VLOOKUP($U$538,'TAR FIN'!$A$1:$O$88,15,0)),0,VLOOKUP($U$538,'TAR FIN'!$A$1:$O$88,15,0))</f>
        <v>252.22</v>
      </c>
      <c r="Y538" s="6"/>
      <c r="Z538" s="6">
        <f ca="1">('TUSD BE'!$AM$48+'TUSD BF'!$AM$48+'TUSD CVA'!$AM$48)*1</f>
        <v>487.85699036910154</v>
      </c>
      <c r="AA538" s="6">
        <f>('TE BE'!$AB$38+'TE BF'!$AB$38+'TE CVA'!$AB$38)*1</f>
        <v>251.92449556687748</v>
      </c>
      <c r="AB538" s="6">
        <f>$K$538*$V$538</f>
        <v>0</v>
      </c>
      <c r="AC538" s="6">
        <f>$M$538*$W$538</f>
        <v>4934.8682499999995</v>
      </c>
      <c r="AD538" s="6">
        <f>$O$538*$X$538</f>
        <v>2923.4820199999999</v>
      </c>
      <c r="AE538" s="6">
        <f>$K$538*$Y$538</f>
        <v>0</v>
      </c>
      <c r="AF538" s="6">
        <f ca="1">$M$538*$Z$538</f>
        <v>5654.7503753682558</v>
      </c>
      <c r="AG538" s="6">
        <f>$O$538*$AA$538</f>
        <v>2920.0568281156766</v>
      </c>
    </row>
    <row r="539" spans="1:33" ht="11.25" customHeight="1" x14ac:dyDescent="0.25">
      <c r="A539" s="4" t="s">
        <v>21</v>
      </c>
      <c r="B539" s="4" t="s">
        <v>33</v>
      </c>
      <c r="C539" s="4" t="s">
        <v>23</v>
      </c>
      <c r="D539" s="4" t="s">
        <v>34</v>
      </c>
      <c r="E539" s="4" t="s">
        <v>25</v>
      </c>
      <c r="F539" s="4" t="s">
        <v>25</v>
      </c>
      <c r="G539" s="4" t="s">
        <v>25</v>
      </c>
      <c r="H539" s="4" t="s">
        <v>25</v>
      </c>
      <c r="I539" s="5">
        <v>44562</v>
      </c>
      <c r="J539" s="6">
        <v>0</v>
      </c>
      <c r="K539" s="6">
        <v>0</v>
      </c>
      <c r="L539" s="6">
        <v>51.26</v>
      </c>
      <c r="M539" s="6">
        <v>51.26</v>
      </c>
      <c r="N539" s="6">
        <v>51.26</v>
      </c>
      <c r="O539" s="6">
        <v>51.26</v>
      </c>
      <c r="P539" s="6">
        <v>18</v>
      </c>
      <c r="Q539" s="4" t="s">
        <v>26</v>
      </c>
      <c r="R539" s="4">
        <v>0</v>
      </c>
      <c r="S539" s="6">
        <v>0</v>
      </c>
      <c r="T539" s="6">
        <v>30</v>
      </c>
      <c r="U539" s="6">
        <v>79</v>
      </c>
      <c r="V539" s="6">
        <f>IF(ISERROR(VLOOKUP($S$539,'TAR FIN'!$A$1:$O$88,15,0)),0,VLOOKUP($S$539,'TAR FIN'!$A$1:$O$88,15,0))</f>
        <v>0</v>
      </c>
      <c r="W539" s="6">
        <f>IF(ISERROR(VLOOKUP($T$539,'TAR FIN'!$A$1:$O$88,15,0)),0,VLOOKUP($T$539,'TAR FIN'!$A$1:$O$88,15,0))</f>
        <v>425.75</v>
      </c>
      <c r="X539" s="6">
        <f>IF(ISERROR(VLOOKUP($U$539,'TAR FIN'!$A$1:$O$88,15,0)),0,VLOOKUP($U$539,'TAR FIN'!$A$1:$O$88,15,0))</f>
        <v>252.22</v>
      </c>
      <c r="Y539" s="6"/>
      <c r="Z539" s="6">
        <f ca="1">('TUSD BE'!$AM$48+'TUSD BF'!$AM$48+'TUSD CVA'!$AM$48)*1</f>
        <v>487.85699036910154</v>
      </c>
      <c r="AA539" s="6">
        <f>('TE BE'!$AB$38+'TE BF'!$AB$38+'TE CVA'!$AB$38)*1</f>
        <v>251.92449556687748</v>
      </c>
      <c r="AB539" s="6">
        <f>$K$539*$V$539</f>
        <v>0</v>
      </c>
      <c r="AC539" s="6">
        <f>$M$539*$W$539</f>
        <v>21823.945</v>
      </c>
      <c r="AD539" s="6">
        <f>$O$539*$X$539</f>
        <v>12928.797199999999</v>
      </c>
      <c r="AE539" s="6">
        <f>$K$539*$Y$539</f>
        <v>0</v>
      </c>
      <c r="AF539" s="6">
        <f ca="1">$M$539*$Z$539</f>
        <v>25007.549326320142</v>
      </c>
      <c r="AG539" s="6">
        <f>$O$539*$AA$539</f>
        <v>12913.649642758139</v>
      </c>
    </row>
    <row r="540" spans="1:33" ht="11.25" customHeight="1" x14ac:dyDescent="0.25">
      <c r="A540" s="4" t="s">
        <v>28</v>
      </c>
      <c r="B540" s="4" t="s">
        <v>33</v>
      </c>
      <c r="C540" s="4" t="s">
        <v>23</v>
      </c>
      <c r="D540" s="4" t="s">
        <v>34</v>
      </c>
      <c r="E540" s="4" t="s">
        <v>25</v>
      </c>
      <c r="F540" s="4" t="s">
        <v>25</v>
      </c>
      <c r="G540" s="4" t="s">
        <v>25</v>
      </c>
      <c r="H540" s="4" t="s">
        <v>25</v>
      </c>
      <c r="I540" s="5">
        <v>44562</v>
      </c>
      <c r="J540" s="6">
        <v>0</v>
      </c>
      <c r="K540" s="6">
        <v>0</v>
      </c>
      <c r="L540" s="6">
        <v>11.93</v>
      </c>
      <c r="M540" s="6">
        <v>11.93</v>
      </c>
      <c r="N540" s="6">
        <v>11.93</v>
      </c>
      <c r="O540" s="6">
        <v>11.93</v>
      </c>
      <c r="P540" s="6">
        <v>12</v>
      </c>
      <c r="Q540" s="4" t="s">
        <v>26</v>
      </c>
      <c r="R540" s="4">
        <v>0</v>
      </c>
      <c r="S540" s="6">
        <v>0</v>
      </c>
      <c r="T540" s="6">
        <v>30</v>
      </c>
      <c r="U540" s="6">
        <v>79</v>
      </c>
      <c r="V540" s="6">
        <f>IF(ISERROR(VLOOKUP($S$540,'TAR FIN'!$A$1:$O$88,15,0)),0,VLOOKUP($S$540,'TAR FIN'!$A$1:$O$88,15,0))</f>
        <v>0</v>
      </c>
      <c r="W540" s="6">
        <f>IF(ISERROR(VLOOKUP($T$540,'TAR FIN'!$A$1:$O$88,15,0)),0,VLOOKUP($T$540,'TAR FIN'!$A$1:$O$88,15,0))</f>
        <v>425.75</v>
      </c>
      <c r="X540" s="6">
        <f>IF(ISERROR(VLOOKUP($U$540,'TAR FIN'!$A$1:$O$88,15,0)),0,VLOOKUP($U$540,'TAR FIN'!$A$1:$O$88,15,0))</f>
        <v>252.22</v>
      </c>
      <c r="Y540" s="6"/>
      <c r="Z540" s="6">
        <f ca="1">('TUSD BE'!$AM$48+'TUSD BF'!$AM$48+'TUSD CVA'!$AM$48)*1</f>
        <v>487.85699036910154</v>
      </c>
      <c r="AA540" s="6">
        <f>('TE BE'!$AB$38+'TE BF'!$AB$38+'TE CVA'!$AB$38)*1</f>
        <v>251.92449556687748</v>
      </c>
      <c r="AB540" s="6">
        <f>$K$540*$V$540</f>
        <v>0</v>
      </c>
      <c r="AC540" s="6">
        <f>$M$540*$W$540</f>
        <v>5079.1975000000002</v>
      </c>
      <c r="AD540" s="6">
        <f>$O$540*$X$540</f>
        <v>3008.9845999999998</v>
      </c>
      <c r="AE540" s="6">
        <f>$K$540*$Y$540</f>
        <v>0</v>
      </c>
      <c r="AF540" s="6">
        <f ca="1">$M$540*$Z$540</f>
        <v>5820.1338951033813</v>
      </c>
      <c r="AG540" s="6">
        <f>$O$540*$AA$540</f>
        <v>3005.4592321128484</v>
      </c>
    </row>
    <row r="541" spans="1:33" ht="11.25" customHeight="1" x14ac:dyDescent="0.25">
      <c r="A541" s="4" t="s">
        <v>21</v>
      </c>
      <c r="B541" s="4" t="s">
        <v>33</v>
      </c>
      <c r="C541" s="4" t="s">
        <v>23</v>
      </c>
      <c r="D541" s="4" t="s">
        <v>34</v>
      </c>
      <c r="E541" s="4" t="s">
        <v>25</v>
      </c>
      <c r="F541" s="4" t="s">
        <v>25</v>
      </c>
      <c r="G541" s="4" t="s">
        <v>25</v>
      </c>
      <c r="H541" s="4" t="s">
        <v>25</v>
      </c>
      <c r="I541" s="5">
        <v>44593</v>
      </c>
      <c r="J541" s="6">
        <v>0</v>
      </c>
      <c r="K541" s="6">
        <v>0</v>
      </c>
      <c r="L541" s="6">
        <v>55.802999999999997</v>
      </c>
      <c r="M541" s="6">
        <v>55.802999999999997</v>
      </c>
      <c r="N541" s="6">
        <v>55.802999999999997</v>
      </c>
      <c r="O541" s="6">
        <v>55.802999999999997</v>
      </c>
      <c r="P541" s="6">
        <v>17</v>
      </c>
      <c r="Q541" s="4" t="s">
        <v>26</v>
      </c>
      <c r="R541" s="4">
        <v>0</v>
      </c>
      <c r="S541" s="6">
        <v>0</v>
      </c>
      <c r="T541" s="6">
        <v>30</v>
      </c>
      <c r="U541" s="6">
        <v>79</v>
      </c>
      <c r="V541" s="6">
        <f>IF(ISERROR(VLOOKUP($S$541,'TAR FIN'!$A$1:$O$88,15,0)),0,VLOOKUP($S$541,'TAR FIN'!$A$1:$O$88,15,0))</f>
        <v>0</v>
      </c>
      <c r="W541" s="6">
        <f>IF(ISERROR(VLOOKUP($T$541,'TAR FIN'!$A$1:$O$88,15,0)),0,VLOOKUP($T$541,'TAR FIN'!$A$1:$O$88,15,0))</f>
        <v>425.75</v>
      </c>
      <c r="X541" s="6">
        <f>IF(ISERROR(VLOOKUP($U$541,'TAR FIN'!$A$1:$O$88,15,0)),0,VLOOKUP($U$541,'TAR FIN'!$A$1:$O$88,15,0))</f>
        <v>252.22</v>
      </c>
      <c r="Y541" s="6"/>
      <c r="Z541" s="6">
        <f ca="1">('TUSD BE'!$AM$48+'TUSD BF'!$AM$48+'TUSD CVA'!$AM$48)*1</f>
        <v>487.85699036910154</v>
      </c>
      <c r="AA541" s="6">
        <f>('TE BE'!$AB$38+'TE BF'!$AB$38+'TE CVA'!$AB$38)*1</f>
        <v>251.92449556687748</v>
      </c>
      <c r="AB541" s="6">
        <f>$K$541*$V$541</f>
        <v>0</v>
      </c>
      <c r="AC541" s="6">
        <f>$M$541*$W$541</f>
        <v>23758.127249999998</v>
      </c>
      <c r="AD541" s="6">
        <f>$O$541*$X$541</f>
        <v>14074.632659999999</v>
      </c>
      <c r="AE541" s="6">
        <f>$K$541*$Y$541</f>
        <v>0</v>
      </c>
      <c r="AF541" s="6">
        <f ca="1">$M$541*$Z$541</f>
        <v>27223.883633566973</v>
      </c>
      <c r="AG541" s="6">
        <f>$O$541*$AA$541</f>
        <v>14058.142626118464</v>
      </c>
    </row>
    <row r="542" spans="1:33" ht="11.25" customHeight="1" x14ac:dyDescent="0.25">
      <c r="A542" s="4" t="s">
        <v>28</v>
      </c>
      <c r="B542" s="4" t="s">
        <v>33</v>
      </c>
      <c r="C542" s="4" t="s">
        <v>23</v>
      </c>
      <c r="D542" s="4" t="s">
        <v>34</v>
      </c>
      <c r="E542" s="4" t="s">
        <v>25</v>
      </c>
      <c r="F542" s="4" t="s">
        <v>25</v>
      </c>
      <c r="G542" s="4" t="s">
        <v>25</v>
      </c>
      <c r="H542" s="4" t="s">
        <v>25</v>
      </c>
      <c r="I542" s="5">
        <v>44593</v>
      </c>
      <c r="J542" s="6">
        <v>0</v>
      </c>
      <c r="K542" s="6">
        <v>0</v>
      </c>
      <c r="L542" s="6">
        <v>14.053000000000001</v>
      </c>
      <c r="M542" s="6">
        <v>14.053000000000001</v>
      </c>
      <c r="N542" s="6">
        <v>14.053000000000001</v>
      </c>
      <c r="O542" s="6">
        <v>14.053000000000001</v>
      </c>
      <c r="P542" s="6">
        <v>13</v>
      </c>
      <c r="Q542" s="4" t="s">
        <v>26</v>
      </c>
      <c r="R542" s="4">
        <v>0</v>
      </c>
      <c r="S542" s="6">
        <v>0</v>
      </c>
      <c r="T542" s="6">
        <v>30</v>
      </c>
      <c r="U542" s="6">
        <v>79</v>
      </c>
      <c r="V542" s="6">
        <f>IF(ISERROR(VLOOKUP($S$542,'TAR FIN'!$A$1:$O$88,15,0)),0,VLOOKUP($S$542,'TAR FIN'!$A$1:$O$88,15,0))</f>
        <v>0</v>
      </c>
      <c r="W542" s="6">
        <f>IF(ISERROR(VLOOKUP($T$542,'TAR FIN'!$A$1:$O$88,15,0)),0,VLOOKUP($T$542,'TAR FIN'!$A$1:$O$88,15,0))</f>
        <v>425.75</v>
      </c>
      <c r="X542" s="6">
        <f>IF(ISERROR(VLOOKUP($U$542,'TAR FIN'!$A$1:$O$88,15,0)),0,VLOOKUP($U$542,'TAR FIN'!$A$1:$O$88,15,0))</f>
        <v>252.22</v>
      </c>
      <c r="Y542" s="6"/>
      <c r="Z542" s="6">
        <f ca="1">('TUSD BE'!$AM$48+'TUSD BF'!$AM$48+'TUSD CVA'!$AM$48)*1</f>
        <v>487.85699036910154</v>
      </c>
      <c r="AA542" s="6">
        <f>('TE BE'!$AB$38+'TE BF'!$AB$38+'TE CVA'!$AB$38)*1</f>
        <v>251.92449556687748</v>
      </c>
      <c r="AB542" s="6">
        <f>$K$542*$V$542</f>
        <v>0</v>
      </c>
      <c r="AC542" s="6">
        <f>$M$542*$W$542</f>
        <v>5983.0647500000005</v>
      </c>
      <c r="AD542" s="6">
        <f>$O$542*$X$542</f>
        <v>3544.4476600000003</v>
      </c>
      <c r="AE542" s="6">
        <f>$K$542*$Y$542</f>
        <v>0</v>
      </c>
      <c r="AF542" s="6">
        <f ca="1">$M$542*$Z$542</f>
        <v>6855.8542856569848</v>
      </c>
      <c r="AG542" s="6">
        <f>$O$542*$AA$542</f>
        <v>3540.2949362013296</v>
      </c>
    </row>
    <row r="543" spans="1:33" ht="11.25" customHeight="1" x14ac:dyDescent="0.25">
      <c r="A543" s="4" t="s">
        <v>21</v>
      </c>
      <c r="B543" s="4" t="s">
        <v>33</v>
      </c>
      <c r="C543" s="4" t="s">
        <v>23</v>
      </c>
      <c r="D543" s="4" t="s">
        <v>34</v>
      </c>
      <c r="E543" s="4" t="s">
        <v>25</v>
      </c>
      <c r="F543" s="4" t="s">
        <v>25</v>
      </c>
      <c r="G543" s="4" t="s">
        <v>25</v>
      </c>
      <c r="H543" s="4" t="s">
        <v>25</v>
      </c>
      <c r="I543" s="5">
        <v>44621</v>
      </c>
      <c r="J543" s="6">
        <v>0</v>
      </c>
      <c r="K543" s="6">
        <v>0</v>
      </c>
      <c r="L543" s="6">
        <v>41.457999999999998</v>
      </c>
      <c r="M543" s="6">
        <v>41.457999999999998</v>
      </c>
      <c r="N543" s="6">
        <v>41.457999999999998</v>
      </c>
      <c r="O543" s="6">
        <v>41.457999999999998</v>
      </c>
      <c r="P543" s="6">
        <v>16</v>
      </c>
      <c r="Q543" s="4" t="s">
        <v>26</v>
      </c>
      <c r="R543" s="4">
        <v>0</v>
      </c>
      <c r="S543" s="6">
        <v>0</v>
      </c>
      <c r="T543" s="6">
        <v>30</v>
      </c>
      <c r="U543" s="6">
        <v>79</v>
      </c>
      <c r="V543" s="6">
        <f>IF(ISERROR(VLOOKUP($S$543,'TAR FIN'!$A$1:$O$88,15,0)),0,VLOOKUP($S$543,'TAR FIN'!$A$1:$O$88,15,0))</f>
        <v>0</v>
      </c>
      <c r="W543" s="6">
        <f>IF(ISERROR(VLOOKUP($T$543,'TAR FIN'!$A$1:$O$88,15,0)),0,VLOOKUP($T$543,'TAR FIN'!$A$1:$O$88,15,0))</f>
        <v>425.75</v>
      </c>
      <c r="X543" s="6">
        <f>IF(ISERROR(VLOOKUP($U$543,'TAR FIN'!$A$1:$O$88,15,0)),0,VLOOKUP($U$543,'TAR FIN'!$A$1:$O$88,15,0))</f>
        <v>252.22</v>
      </c>
      <c r="Y543" s="6"/>
      <c r="Z543" s="6">
        <f ca="1">('TUSD BE'!$AM$48+'TUSD BF'!$AM$48+'TUSD CVA'!$AM$48)*1</f>
        <v>487.85699036910154</v>
      </c>
      <c r="AA543" s="6">
        <f>('TE BE'!$AB$38+'TE BF'!$AB$38+'TE CVA'!$AB$38)*1</f>
        <v>251.92449556687748</v>
      </c>
      <c r="AB543" s="6">
        <f>$K$543*$V$543</f>
        <v>0</v>
      </c>
      <c r="AC543" s="6">
        <f>$M$543*$W$543</f>
        <v>17650.7435</v>
      </c>
      <c r="AD543" s="6">
        <f>$O$543*$X$543</f>
        <v>10456.536759999999</v>
      </c>
      <c r="AE543" s="6">
        <f>$K$543*$Y$543</f>
        <v>0</v>
      </c>
      <c r="AF543" s="6">
        <f ca="1">$M$543*$Z$543</f>
        <v>20225.575106722212</v>
      </c>
      <c r="AG543" s="6">
        <f>$O$543*$AA$543</f>
        <v>10444.285737211607</v>
      </c>
    </row>
    <row r="544" spans="1:33" ht="11.25" customHeight="1" x14ac:dyDescent="0.25">
      <c r="A544" s="4" t="s">
        <v>28</v>
      </c>
      <c r="B544" s="4" t="s">
        <v>33</v>
      </c>
      <c r="C544" s="4" t="s">
        <v>23</v>
      </c>
      <c r="D544" s="4" t="s">
        <v>34</v>
      </c>
      <c r="E544" s="4" t="s">
        <v>25</v>
      </c>
      <c r="F544" s="4" t="s">
        <v>25</v>
      </c>
      <c r="G544" s="4" t="s">
        <v>25</v>
      </c>
      <c r="H544" s="4" t="s">
        <v>25</v>
      </c>
      <c r="I544" s="5">
        <v>44621</v>
      </c>
      <c r="J544" s="6">
        <v>0</v>
      </c>
      <c r="K544" s="6">
        <v>0</v>
      </c>
      <c r="L544" s="6">
        <v>11.82</v>
      </c>
      <c r="M544" s="6">
        <v>11.82</v>
      </c>
      <c r="N544" s="6">
        <v>11.82</v>
      </c>
      <c r="O544" s="6">
        <v>11.82</v>
      </c>
      <c r="P544" s="6">
        <v>13</v>
      </c>
      <c r="Q544" s="4" t="s">
        <v>26</v>
      </c>
      <c r="R544" s="4">
        <v>0</v>
      </c>
      <c r="S544" s="6">
        <v>0</v>
      </c>
      <c r="T544" s="6">
        <v>30</v>
      </c>
      <c r="U544" s="6">
        <v>79</v>
      </c>
      <c r="V544" s="6">
        <f>IF(ISERROR(VLOOKUP($S$544,'TAR FIN'!$A$1:$O$88,15,0)),0,VLOOKUP($S$544,'TAR FIN'!$A$1:$O$88,15,0))</f>
        <v>0</v>
      </c>
      <c r="W544" s="6">
        <f>IF(ISERROR(VLOOKUP($T$544,'TAR FIN'!$A$1:$O$88,15,0)),0,VLOOKUP($T$544,'TAR FIN'!$A$1:$O$88,15,0))</f>
        <v>425.75</v>
      </c>
      <c r="X544" s="6">
        <f>IF(ISERROR(VLOOKUP($U$544,'TAR FIN'!$A$1:$O$88,15,0)),0,VLOOKUP($U$544,'TAR FIN'!$A$1:$O$88,15,0))</f>
        <v>252.22</v>
      </c>
      <c r="Y544" s="6"/>
      <c r="Z544" s="6">
        <f ca="1">('TUSD BE'!$AM$48+'TUSD BF'!$AM$48+'TUSD CVA'!$AM$48)*1</f>
        <v>487.85699036910154</v>
      </c>
      <c r="AA544" s="6">
        <f>('TE BE'!$AB$38+'TE BF'!$AB$38+'TE CVA'!$AB$38)*1</f>
        <v>251.92449556687748</v>
      </c>
      <c r="AB544" s="6">
        <f>$K$544*$V$544</f>
        <v>0</v>
      </c>
      <c r="AC544" s="6">
        <f>$M$544*$W$544</f>
        <v>5032.3649999999998</v>
      </c>
      <c r="AD544" s="6">
        <f>$O$544*$X$544</f>
        <v>2981.2404000000001</v>
      </c>
      <c r="AE544" s="6">
        <f>$K$544*$Y$544</f>
        <v>0</v>
      </c>
      <c r="AF544" s="6">
        <f ca="1">$M$544*$Z$544</f>
        <v>5766.4696261627805</v>
      </c>
      <c r="AG544" s="6">
        <f>$O$544*$AA$544</f>
        <v>2977.7475376004918</v>
      </c>
    </row>
    <row r="545" spans="1:33" ht="11.25" customHeight="1" x14ac:dyDescent="0.25">
      <c r="A545" s="4" t="s">
        <v>21</v>
      </c>
      <c r="B545" s="4" t="s">
        <v>33</v>
      </c>
      <c r="C545" s="4" t="s">
        <v>23</v>
      </c>
      <c r="D545" s="4" t="s">
        <v>34</v>
      </c>
      <c r="E545" s="4" t="s">
        <v>25</v>
      </c>
      <c r="F545" s="4" t="s">
        <v>25</v>
      </c>
      <c r="G545" s="4" t="s">
        <v>25</v>
      </c>
      <c r="H545" s="4" t="s">
        <v>25</v>
      </c>
      <c r="I545" s="5">
        <v>44652</v>
      </c>
      <c r="J545" s="6">
        <v>0</v>
      </c>
      <c r="K545" s="6">
        <v>0</v>
      </c>
      <c r="L545" s="6">
        <v>26.477</v>
      </c>
      <c r="M545" s="6">
        <v>26.477</v>
      </c>
      <c r="N545" s="6">
        <v>26.477</v>
      </c>
      <c r="O545" s="6">
        <v>26.477</v>
      </c>
      <c r="P545" s="6">
        <v>15</v>
      </c>
      <c r="Q545" s="4" t="s">
        <v>26</v>
      </c>
      <c r="R545" s="4">
        <v>0</v>
      </c>
      <c r="S545" s="6">
        <v>0</v>
      </c>
      <c r="T545" s="6">
        <v>30</v>
      </c>
      <c r="U545" s="6">
        <v>79</v>
      </c>
      <c r="V545" s="6">
        <f>IF(ISERROR(VLOOKUP($S$545,'TAR FIN'!$A$1:$O$88,15,0)),0,VLOOKUP($S$545,'TAR FIN'!$A$1:$O$88,15,0))</f>
        <v>0</v>
      </c>
      <c r="W545" s="6">
        <f>IF(ISERROR(VLOOKUP($T$545,'TAR FIN'!$A$1:$O$88,15,0)),0,VLOOKUP($T$545,'TAR FIN'!$A$1:$O$88,15,0))</f>
        <v>425.75</v>
      </c>
      <c r="X545" s="6">
        <f>IF(ISERROR(VLOOKUP($U$545,'TAR FIN'!$A$1:$O$88,15,0)),0,VLOOKUP($U$545,'TAR FIN'!$A$1:$O$88,15,0))</f>
        <v>252.22</v>
      </c>
      <c r="Y545" s="6"/>
      <c r="Z545" s="6">
        <f ca="1">('TUSD BE'!$AM$48+'TUSD BF'!$AM$48+'TUSD CVA'!$AM$48)*1</f>
        <v>487.85699036910154</v>
      </c>
      <c r="AA545" s="6">
        <f>('TE BE'!$AB$38+'TE BF'!$AB$38+'TE CVA'!$AB$38)*1</f>
        <v>251.92449556687748</v>
      </c>
      <c r="AB545" s="6">
        <f>$K$545*$V$545</f>
        <v>0</v>
      </c>
      <c r="AC545" s="6">
        <f>$M$545*$W$545</f>
        <v>11272.58275</v>
      </c>
      <c r="AD545" s="6">
        <f>$O$545*$X$545</f>
        <v>6678.0289400000001</v>
      </c>
      <c r="AE545" s="6">
        <f>$K$545*$Y$545</f>
        <v>0</v>
      </c>
      <c r="AF545" s="6">
        <f ca="1">$M$545*$Z$545</f>
        <v>12916.989534002701</v>
      </c>
      <c r="AG545" s="6">
        <f>$O$545*$AA$545</f>
        <v>6670.2048691242153</v>
      </c>
    </row>
    <row r="546" spans="1:33" ht="11.25" customHeight="1" x14ac:dyDescent="0.25">
      <c r="A546" s="4" t="s">
        <v>28</v>
      </c>
      <c r="B546" s="4" t="s">
        <v>33</v>
      </c>
      <c r="C546" s="4" t="s">
        <v>23</v>
      </c>
      <c r="D546" s="4" t="s">
        <v>34</v>
      </c>
      <c r="E546" s="4" t="s">
        <v>25</v>
      </c>
      <c r="F546" s="4" t="s">
        <v>25</v>
      </c>
      <c r="G546" s="4" t="s">
        <v>25</v>
      </c>
      <c r="H546" s="4" t="s">
        <v>25</v>
      </c>
      <c r="I546" s="5">
        <v>44652</v>
      </c>
      <c r="J546" s="6">
        <v>0</v>
      </c>
      <c r="K546" s="6">
        <v>0</v>
      </c>
      <c r="L546" s="6">
        <v>3.87</v>
      </c>
      <c r="M546" s="6">
        <v>3.87</v>
      </c>
      <c r="N546" s="6">
        <v>3.87</v>
      </c>
      <c r="O546" s="6">
        <v>3.87</v>
      </c>
      <c r="P546" s="6">
        <v>12</v>
      </c>
      <c r="Q546" s="4" t="s">
        <v>26</v>
      </c>
      <c r="R546" s="4">
        <v>0</v>
      </c>
      <c r="S546" s="6">
        <v>0</v>
      </c>
      <c r="T546" s="6">
        <v>30</v>
      </c>
      <c r="U546" s="6">
        <v>79</v>
      </c>
      <c r="V546" s="6">
        <f>IF(ISERROR(VLOOKUP($S$546,'TAR FIN'!$A$1:$O$88,15,0)),0,VLOOKUP($S$546,'TAR FIN'!$A$1:$O$88,15,0))</f>
        <v>0</v>
      </c>
      <c r="W546" s="6">
        <f>IF(ISERROR(VLOOKUP($T$546,'TAR FIN'!$A$1:$O$88,15,0)),0,VLOOKUP($T$546,'TAR FIN'!$A$1:$O$88,15,0))</f>
        <v>425.75</v>
      </c>
      <c r="X546" s="6">
        <f>IF(ISERROR(VLOOKUP($U$546,'TAR FIN'!$A$1:$O$88,15,0)),0,VLOOKUP($U$546,'TAR FIN'!$A$1:$O$88,15,0))</f>
        <v>252.22</v>
      </c>
      <c r="Y546" s="6"/>
      <c r="Z546" s="6">
        <f ca="1">('TUSD BE'!$AM$48+'TUSD BF'!$AM$48+'TUSD CVA'!$AM$48)*1</f>
        <v>487.85699036910154</v>
      </c>
      <c r="AA546" s="6">
        <f>('TE BE'!$AB$38+'TE BF'!$AB$38+'TE CVA'!$AB$38)*1</f>
        <v>251.92449556687748</v>
      </c>
      <c r="AB546" s="6">
        <f>$K$546*$V$546</f>
        <v>0</v>
      </c>
      <c r="AC546" s="6">
        <f>$M$546*$W$546</f>
        <v>1647.6525000000001</v>
      </c>
      <c r="AD546" s="6">
        <f>$O$546*$X$546</f>
        <v>976.09140000000002</v>
      </c>
      <c r="AE546" s="6">
        <f>$K$546*$Y$546</f>
        <v>0</v>
      </c>
      <c r="AF546" s="6">
        <f ca="1">$M$546*$Z$546</f>
        <v>1888.006552728423</v>
      </c>
      <c r="AG546" s="6">
        <f>$O$546*$AA$546</f>
        <v>974.94779784381592</v>
      </c>
    </row>
    <row r="547" spans="1:33" ht="11.25" customHeight="1" x14ac:dyDescent="0.25">
      <c r="A547" s="4" t="s">
        <v>21</v>
      </c>
      <c r="B547" s="4" t="s">
        <v>33</v>
      </c>
      <c r="C547" s="4" t="s">
        <v>23</v>
      </c>
      <c r="D547" s="4" t="s">
        <v>34</v>
      </c>
      <c r="E547" s="4" t="s">
        <v>25</v>
      </c>
      <c r="F547" s="4" t="s">
        <v>25</v>
      </c>
      <c r="G547" s="4" t="s">
        <v>25</v>
      </c>
      <c r="H547" s="4" t="s">
        <v>25</v>
      </c>
      <c r="I547" s="5">
        <v>44682</v>
      </c>
      <c r="J547" s="6">
        <v>0</v>
      </c>
      <c r="K547" s="6">
        <v>0</v>
      </c>
      <c r="L547" s="6">
        <v>21.818999999999999</v>
      </c>
      <c r="M547" s="6">
        <v>21.818999999999999</v>
      </c>
      <c r="N547" s="6">
        <v>21.818999999999999</v>
      </c>
      <c r="O547" s="6">
        <v>21.818999999999999</v>
      </c>
      <c r="P547" s="6">
        <v>14</v>
      </c>
      <c r="Q547" s="4" t="s">
        <v>26</v>
      </c>
      <c r="R547" s="4">
        <v>0</v>
      </c>
      <c r="S547" s="6">
        <v>0</v>
      </c>
      <c r="T547" s="6">
        <v>30</v>
      </c>
      <c r="U547" s="6">
        <v>79</v>
      </c>
      <c r="V547" s="6">
        <f>IF(ISERROR(VLOOKUP($S$547,'TAR FIN'!$A$1:$O$88,15,0)),0,VLOOKUP($S$547,'TAR FIN'!$A$1:$O$88,15,0))</f>
        <v>0</v>
      </c>
      <c r="W547" s="6">
        <f>IF(ISERROR(VLOOKUP($T$547,'TAR FIN'!$A$1:$O$88,15,0)),0,VLOOKUP($T$547,'TAR FIN'!$A$1:$O$88,15,0))</f>
        <v>425.75</v>
      </c>
      <c r="X547" s="6">
        <f>IF(ISERROR(VLOOKUP($U$547,'TAR FIN'!$A$1:$O$88,15,0)),0,VLOOKUP($U$547,'TAR FIN'!$A$1:$O$88,15,0))</f>
        <v>252.22</v>
      </c>
      <c r="Y547" s="6"/>
      <c r="Z547" s="6">
        <f ca="1">('TUSD BE'!$AM$48+'TUSD BF'!$AM$48+'TUSD CVA'!$AM$48)*1</f>
        <v>487.85699036910154</v>
      </c>
      <c r="AA547" s="6">
        <f>('TE BE'!$AB$38+'TE BF'!$AB$38+'TE CVA'!$AB$38)*1</f>
        <v>251.92449556687748</v>
      </c>
      <c r="AB547" s="6">
        <f>$K$547*$V$547</f>
        <v>0</v>
      </c>
      <c r="AC547" s="6">
        <f>$M$547*$W$547</f>
        <v>9289.4392499999994</v>
      </c>
      <c r="AD547" s="6">
        <f>$O$547*$X$547</f>
        <v>5503.1881800000001</v>
      </c>
      <c r="AE547" s="6">
        <f>$K$547*$Y$547</f>
        <v>0</v>
      </c>
      <c r="AF547" s="6">
        <f ca="1">$M$547*$Z$547</f>
        <v>10644.551672863427</v>
      </c>
      <c r="AG547" s="6">
        <f>$O$547*$AA$547</f>
        <v>5496.7405687736991</v>
      </c>
    </row>
    <row r="548" spans="1:33" ht="11.25" customHeight="1" x14ac:dyDescent="0.25">
      <c r="A548" s="4" t="s">
        <v>27</v>
      </c>
      <c r="B548" s="4" t="s">
        <v>33</v>
      </c>
      <c r="C548" s="4" t="s">
        <v>23</v>
      </c>
      <c r="D548" s="4" t="s">
        <v>34</v>
      </c>
      <c r="E548" s="4" t="s">
        <v>25</v>
      </c>
      <c r="F548" s="4" t="s">
        <v>25</v>
      </c>
      <c r="G548" s="4" t="s">
        <v>25</v>
      </c>
      <c r="H548" s="4" t="s">
        <v>25</v>
      </c>
      <c r="I548" s="5">
        <v>44682</v>
      </c>
      <c r="J548" s="6">
        <v>0</v>
      </c>
      <c r="K548" s="6">
        <v>0</v>
      </c>
      <c r="L548" s="6">
        <v>-3.6619999999999999</v>
      </c>
      <c r="M548" s="6">
        <v>-3.6619999999999999</v>
      </c>
      <c r="N548" s="6">
        <v>-3.6619999999999999</v>
      </c>
      <c r="O548" s="6">
        <v>-3.6619999999999999</v>
      </c>
      <c r="P548" s="6">
        <v>0</v>
      </c>
      <c r="Q548" s="4" t="s">
        <v>26</v>
      </c>
      <c r="R548" s="4">
        <v>0</v>
      </c>
      <c r="S548" s="6">
        <v>0</v>
      </c>
      <c r="T548" s="6">
        <v>30</v>
      </c>
      <c r="U548" s="6">
        <v>79</v>
      </c>
      <c r="V548" s="6">
        <f>IF(ISERROR(VLOOKUP($S$548,'TAR FIN'!$A$1:$O$88,15,0)),0,VLOOKUP($S$548,'TAR FIN'!$A$1:$O$88,15,0))</f>
        <v>0</v>
      </c>
      <c r="W548" s="6">
        <f>IF(ISERROR(VLOOKUP($T$548,'TAR FIN'!$A$1:$O$88,15,0)),0,VLOOKUP($T$548,'TAR FIN'!$A$1:$O$88,15,0))</f>
        <v>425.75</v>
      </c>
      <c r="X548" s="6">
        <f>IF(ISERROR(VLOOKUP($U$548,'TAR FIN'!$A$1:$O$88,15,0)),0,VLOOKUP($U$548,'TAR FIN'!$A$1:$O$88,15,0))</f>
        <v>252.22</v>
      </c>
      <c r="Y548" s="6"/>
      <c r="Z548" s="6">
        <f ca="1">('TUSD BE'!$AM$48+'TUSD BF'!$AM$48+'TUSD CVA'!$AM$48)*1</f>
        <v>487.85699036910154</v>
      </c>
      <c r="AA548" s="6">
        <f>('TE BE'!$AB$38+'TE BF'!$AB$38+'TE CVA'!$AB$38)*1</f>
        <v>251.92449556687748</v>
      </c>
      <c r="AB548" s="6">
        <f>$K$548*$V$548</f>
        <v>0</v>
      </c>
      <c r="AC548" s="6">
        <f>$M$548*$W$548</f>
        <v>-1559.0964999999999</v>
      </c>
      <c r="AD548" s="6">
        <f>$O$548*$X$548</f>
        <v>-923.62963999999999</v>
      </c>
      <c r="AE548" s="6">
        <f>$K$548*$Y$548</f>
        <v>0</v>
      </c>
      <c r="AF548" s="6">
        <f ca="1">$M$548*$Z$548</f>
        <v>-1786.5322987316497</v>
      </c>
      <c r="AG548" s="6">
        <f>$O$548*$AA$548</f>
        <v>-922.54750276590528</v>
      </c>
    </row>
    <row r="549" spans="1:33" ht="11.25" customHeight="1" x14ac:dyDescent="0.25">
      <c r="A549" s="4" t="s">
        <v>28</v>
      </c>
      <c r="B549" s="4" t="s">
        <v>33</v>
      </c>
      <c r="C549" s="4" t="s">
        <v>23</v>
      </c>
      <c r="D549" s="4" t="s">
        <v>34</v>
      </c>
      <c r="E549" s="4" t="s">
        <v>25</v>
      </c>
      <c r="F549" s="4" t="s">
        <v>25</v>
      </c>
      <c r="G549" s="4" t="s">
        <v>25</v>
      </c>
      <c r="H549" s="4" t="s">
        <v>25</v>
      </c>
      <c r="I549" s="5">
        <v>44682</v>
      </c>
      <c r="J549" s="6">
        <v>0</v>
      </c>
      <c r="K549" s="6">
        <v>0</v>
      </c>
      <c r="L549" s="6">
        <v>5.0339999999999998</v>
      </c>
      <c r="M549" s="6">
        <v>5.0339999999999998</v>
      </c>
      <c r="N549" s="6">
        <v>5.0339999999999998</v>
      </c>
      <c r="O549" s="6">
        <v>5.0339999999999998</v>
      </c>
      <c r="P549" s="6">
        <v>11</v>
      </c>
      <c r="Q549" s="4" t="s">
        <v>26</v>
      </c>
      <c r="R549" s="4">
        <v>0</v>
      </c>
      <c r="S549" s="6">
        <v>0</v>
      </c>
      <c r="T549" s="6">
        <v>30</v>
      </c>
      <c r="U549" s="6">
        <v>79</v>
      </c>
      <c r="V549" s="6">
        <f>IF(ISERROR(VLOOKUP($S$549,'TAR FIN'!$A$1:$O$88,15,0)),0,VLOOKUP($S$549,'TAR FIN'!$A$1:$O$88,15,0))</f>
        <v>0</v>
      </c>
      <c r="W549" s="6">
        <f>IF(ISERROR(VLOOKUP($T$549,'TAR FIN'!$A$1:$O$88,15,0)),0,VLOOKUP($T$549,'TAR FIN'!$A$1:$O$88,15,0))</f>
        <v>425.75</v>
      </c>
      <c r="X549" s="6">
        <f>IF(ISERROR(VLOOKUP($U$549,'TAR FIN'!$A$1:$O$88,15,0)),0,VLOOKUP($U$549,'TAR FIN'!$A$1:$O$88,15,0))</f>
        <v>252.22</v>
      </c>
      <c r="Y549" s="6"/>
      <c r="Z549" s="6">
        <f ca="1">('TUSD BE'!$AM$48+'TUSD BF'!$AM$48+'TUSD CVA'!$AM$48)*1</f>
        <v>487.85699036910154</v>
      </c>
      <c r="AA549" s="6">
        <f>('TE BE'!$AB$38+'TE BF'!$AB$38+'TE CVA'!$AB$38)*1</f>
        <v>251.92449556687748</v>
      </c>
      <c r="AB549" s="6">
        <f>$K$549*$V$549</f>
        <v>0</v>
      </c>
      <c r="AC549" s="6">
        <f>$M$549*$W$549</f>
        <v>2143.2255</v>
      </c>
      <c r="AD549" s="6">
        <f>$O$549*$X$549</f>
        <v>1269.6754799999999</v>
      </c>
      <c r="AE549" s="6">
        <f>$K$549*$Y$549</f>
        <v>0</v>
      </c>
      <c r="AF549" s="6">
        <f ca="1">$M$549*$Z$549</f>
        <v>2455.8720895180572</v>
      </c>
      <c r="AG549" s="6">
        <f>$O$549*$AA$549</f>
        <v>1268.1879106836611</v>
      </c>
    </row>
    <row r="550" spans="1:33" ht="11.25" customHeight="1" x14ac:dyDescent="0.25">
      <c r="A550" s="4" t="s">
        <v>21</v>
      </c>
      <c r="B550" s="4" t="s">
        <v>33</v>
      </c>
      <c r="C550" s="4" t="s">
        <v>23</v>
      </c>
      <c r="D550" s="4" t="s">
        <v>34</v>
      </c>
      <c r="E550" s="4" t="s">
        <v>25</v>
      </c>
      <c r="F550" s="4" t="s">
        <v>25</v>
      </c>
      <c r="G550" s="4" t="s">
        <v>25</v>
      </c>
      <c r="H550" s="4" t="s">
        <v>25</v>
      </c>
      <c r="I550" s="5">
        <v>44713</v>
      </c>
      <c r="J550" s="6">
        <v>0</v>
      </c>
      <c r="K550" s="6">
        <v>0</v>
      </c>
      <c r="L550" s="6">
        <v>19.295000000000002</v>
      </c>
      <c r="M550" s="6">
        <v>19.295000000000002</v>
      </c>
      <c r="N550" s="6">
        <v>19.295000000000002</v>
      </c>
      <c r="O550" s="6">
        <v>19.295000000000002</v>
      </c>
      <c r="P550" s="6">
        <v>14</v>
      </c>
      <c r="Q550" s="4" t="s">
        <v>26</v>
      </c>
      <c r="R550" s="4">
        <v>0</v>
      </c>
      <c r="S550" s="6">
        <v>0</v>
      </c>
      <c r="T550" s="6">
        <v>30</v>
      </c>
      <c r="U550" s="6">
        <v>79</v>
      </c>
      <c r="V550" s="6">
        <f>IF(ISERROR(VLOOKUP($S$550,'TAR FIN'!$A$1:$O$88,15,0)),0,VLOOKUP($S$550,'TAR FIN'!$A$1:$O$88,15,0))</f>
        <v>0</v>
      </c>
      <c r="W550" s="6">
        <f>IF(ISERROR(VLOOKUP($T$550,'TAR FIN'!$A$1:$O$88,15,0)),0,VLOOKUP($T$550,'TAR FIN'!$A$1:$O$88,15,0))</f>
        <v>425.75</v>
      </c>
      <c r="X550" s="6">
        <f>IF(ISERROR(VLOOKUP($U$550,'TAR FIN'!$A$1:$O$88,15,0)),0,VLOOKUP($U$550,'TAR FIN'!$A$1:$O$88,15,0))</f>
        <v>252.22</v>
      </c>
      <c r="Y550" s="6"/>
      <c r="Z550" s="6">
        <f ca="1">('TUSD BE'!$AM$48+'TUSD BF'!$AM$48+'TUSD CVA'!$AM$48)*1</f>
        <v>487.85699036910154</v>
      </c>
      <c r="AA550" s="6">
        <f>('TE BE'!$AB$38+'TE BF'!$AB$38+'TE CVA'!$AB$38)*1</f>
        <v>251.92449556687748</v>
      </c>
      <c r="AB550" s="6">
        <f>$K$550*$V$550</f>
        <v>0</v>
      </c>
      <c r="AC550" s="6">
        <f>$M$550*$W$550</f>
        <v>8214.8462500000005</v>
      </c>
      <c r="AD550" s="6">
        <f>$O$550*$X$550</f>
        <v>4866.5849000000007</v>
      </c>
      <c r="AE550" s="6">
        <f>$K$550*$Y$550</f>
        <v>0</v>
      </c>
      <c r="AF550" s="6">
        <f ca="1">$M$550*$Z$550</f>
        <v>9413.2006291718153</v>
      </c>
      <c r="AG550" s="6">
        <f>$O$550*$AA$550</f>
        <v>4860.8831419629014</v>
      </c>
    </row>
    <row r="551" spans="1:33" ht="11.25" customHeight="1" x14ac:dyDescent="0.25">
      <c r="A551" s="4" t="s">
        <v>28</v>
      </c>
      <c r="B551" s="4" t="s">
        <v>33</v>
      </c>
      <c r="C551" s="4" t="s">
        <v>23</v>
      </c>
      <c r="D551" s="4" t="s">
        <v>34</v>
      </c>
      <c r="E551" s="4" t="s">
        <v>25</v>
      </c>
      <c r="F551" s="4" t="s">
        <v>25</v>
      </c>
      <c r="G551" s="4" t="s">
        <v>25</v>
      </c>
      <c r="H551" s="4" t="s">
        <v>25</v>
      </c>
      <c r="I551" s="5">
        <v>44713</v>
      </c>
      <c r="J551" s="6">
        <v>0</v>
      </c>
      <c r="K551" s="6">
        <v>0</v>
      </c>
      <c r="L551" s="6">
        <v>7.5369999999999999</v>
      </c>
      <c r="M551" s="6">
        <v>7.5369999999999999</v>
      </c>
      <c r="N551" s="6">
        <v>7.5369999999999999</v>
      </c>
      <c r="O551" s="6">
        <v>7.5369999999999999</v>
      </c>
      <c r="P551" s="6">
        <v>11</v>
      </c>
      <c r="Q551" s="4" t="s">
        <v>26</v>
      </c>
      <c r="R551" s="4">
        <v>0</v>
      </c>
      <c r="S551" s="6">
        <v>0</v>
      </c>
      <c r="T551" s="6">
        <v>30</v>
      </c>
      <c r="U551" s="6">
        <v>79</v>
      </c>
      <c r="V551" s="6">
        <f>IF(ISERROR(VLOOKUP($S$551,'TAR FIN'!$A$1:$O$88,15,0)),0,VLOOKUP($S$551,'TAR FIN'!$A$1:$O$88,15,0))</f>
        <v>0</v>
      </c>
      <c r="W551" s="6">
        <f>IF(ISERROR(VLOOKUP($T$551,'TAR FIN'!$A$1:$O$88,15,0)),0,VLOOKUP($T$551,'TAR FIN'!$A$1:$O$88,15,0))</f>
        <v>425.75</v>
      </c>
      <c r="X551" s="6">
        <f>IF(ISERROR(VLOOKUP($U$551,'TAR FIN'!$A$1:$O$88,15,0)),0,VLOOKUP($U$551,'TAR FIN'!$A$1:$O$88,15,0))</f>
        <v>252.22</v>
      </c>
      <c r="Y551" s="6"/>
      <c r="Z551" s="6">
        <f ca="1">('TUSD BE'!$AM$48+'TUSD BF'!$AM$48+'TUSD CVA'!$AM$48)*1</f>
        <v>487.85699036910154</v>
      </c>
      <c r="AA551" s="6">
        <f>('TE BE'!$AB$38+'TE BF'!$AB$38+'TE CVA'!$AB$38)*1</f>
        <v>251.92449556687748</v>
      </c>
      <c r="AB551" s="6">
        <f>$K$551*$V$551</f>
        <v>0</v>
      </c>
      <c r="AC551" s="6">
        <f>$M$551*$W$551</f>
        <v>3208.8777500000001</v>
      </c>
      <c r="AD551" s="6">
        <f>$O$551*$X$551</f>
        <v>1900.9821400000001</v>
      </c>
      <c r="AE551" s="6">
        <f>$K$551*$Y$551</f>
        <v>0</v>
      </c>
      <c r="AF551" s="6">
        <f ca="1">$M$551*$Z$551</f>
        <v>3676.9781364119181</v>
      </c>
      <c r="AG551" s="6">
        <f>$O$551*$AA$551</f>
        <v>1898.7549230875557</v>
      </c>
    </row>
    <row r="552" spans="1:33" ht="11.25" customHeight="1" x14ac:dyDescent="0.25">
      <c r="A552" s="4" t="s">
        <v>21</v>
      </c>
      <c r="B552" s="4" t="s">
        <v>33</v>
      </c>
      <c r="C552" s="4" t="s">
        <v>23</v>
      </c>
      <c r="D552" s="4" t="s">
        <v>42</v>
      </c>
      <c r="E552" s="4" t="s">
        <v>25</v>
      </c>
      <c r="F552" s="4" t="s">
        <v>25</v>
      </c>
      <c r="G552" s="4" t="s">
        <v>25</v>
      </c>
      <c r="H552" s="4" t="s">
        <v>25</v>
      </c>
      <c r="I552" s="5">
        <v>44378</v>
      </c>
      <c r="J552" s="6">
        <v>0</v>
      </c>
      <c r="K552" s="6">
        <v>0</v>
      </c>
      <c r="L552" s="6">
        <v>195.035</v>
      </c>
      <c r="M552" s="6">
        <v>195.035</v>
      </c>
      <c r="N552" s="6">
        <v>195.035</v>
      </c>
      <c r="O552" s="6">
        <v>195.035</v>
      </c>
      <c r="P552" s="6">
        <v>366</v>
      </c>
      <c r="Q552" s="4" t="s">
        <v>26</v>
      </c>
      <c r="R552" s="4">
        <v>0</v>
      </c>
      <c r="S552" s="6">
        <v>0</v>
      </c>
      <c r="T552" s="6">
        <v>30</v>
      </c>
      <c r="U552" s="6">
        <v>79</v>
      </c>
      <c r="V552" s="6">
        <f>IF(ISERROR(VLOOKUP($S$552,'TAR FIN'!$A$1:$O$88,15,0)),0,VLOOKUP($S$552,'TAR FIN'!$A$1:$O$88,15,0))</f>
        <v>0</v>
      </c>
      <c r="W552" s="6">
        <f>IF(ISERROR(VLOOKUP($T$552,'TAR FIN'!$A$1:$O$88,15,0)),0,VLOOKUP($T$552,'TAR FIN'!$A$1:$O$88,15,0))</f>
        <v>425.75</v>
      </c>
      <c r="X552" s="6">
        <f>IF(ISERROR(VLOOKUP($U$552,'TAR FIN'!$A$1:$O$88,15,0)),0,VLOOKUP($U$552,'TAR FIN'!$A$1:$O$88,15,0))</f>
        <v>252.22</v>
      </c>
      <c r="Y552" s="6"/>
      <c r="Z552" s="6">
        <f ca="1">('TUSD BE'!$AM$48+'TUSD BF'!$AM$48+'TUSD CVA'!$AM$48)*1</f>
        <v>487.85699036910154</v>
      </c>
      <c r="AA552" s="6">
        <f>('TE BE'!$AB$38+'TE BF'!$AB$38+'TE CVA'!$AB$38)*1</f>
        <v>251.92449556687748</v>
      </c>
      <c r="AB552" s="6">
        <f>$K$552*$V$552</f>
        <v>0</v>
      </c>
      <c r="AC552" s="6">
        <f>$M$552*$W$552</f>
        <v>83036.151249999995</v>
      </c>
      <c r="AD552" s="6">
        <f>$O$552*$X$552</f>
        <v>49191.727699999996</v>
      </c>
      <c r="AE552" s="6">
        <f>$K$552*$Y$552</f>
        <v>0</v>
      </c>
      <c r="AF552" s="6">
        <f ca="1">$M$552*$Z$552</f>
        <v>95149.188116637713</v>
      </c>
      <c r="AG552" s="6">
        <f>$O$552*$AA$552</f>
        <v>49134.093992885952</v>
      </c>
    </row>
    <row r="553" spans="1:33" ht="11.25" customHeight="1" x14ac:dyDescent="0.25">
      <c r="A553" s="4" t="s">
        <v>28</v>
      </c>
      <c r="B553" s="4" t="s">
        <v>33</v>
      </c>
      <c r="C553" s="4" t="s">
        <v>23</v>
      </c>
      <c r="D553" s="4" t="s">
        <v>42</v>
      </c>
      <c r="E553" s="4" t="s">
        <v>25</v>
      </c>
      <c r="F553" s="4" t="s">
        <v>25</v>
      </c>
      <c r="G553" s="4" t="s">
        <v>25</v>
      </c>
      <c r="H553" s="4" t="s">
        <v>25</v>
      </c>
      <c r="I553" s="5">
        <v>44378</v>
      </c>
      <c r="J553" s="6">
        <v>0</v>
      </c>
      <c r="K553" s="6">
        <v>0</v>
      </c>
      <c r="L553" s="6">
        <v>2.0110000000000001</v>
      </c>
      <c r="M553" s="6">
        <v>2.0110000000000001</v>
      </c>
      <c r="N553" s="6">
        <v>2.0110000000000001</v>
      </c>
      <c r="O553" s="6">
        <v>2.0110000000000001</v>
      </c>
      <c r="P553" s="6">
        <v>2</v>
      </c>
      <c r="Q553" s="4" t="s">
        <v>26</v>
      </c>
      <c r="R553" s="4">
        <v>0</v>
      </c>
      <c r="S553" s="6">
        <v>0</v>
      </c>
      <c r="T553" s="6">
        <v>30</v>
      </c>
      <c r="U553" s="6">
        <v>79</v>
      </c>
      <c r="V553" s="6">
        <f>IF(ISERROR(VLOOKUP($S$553,'TAR FIN'!$A$1:$O$88,15,0)),0,VLOOKUP($S$553,'TAR FIN'!$A$1:$O$88,15,0))</f>
        <v>0</v>
      </c>
      <c r="W553" s="6">
        <f>IF(ISERROR(VLOOKUP($T$553,'TAR FIN'!$A$1:$O$88,15,0)),0,VLOOKUP($T$553,'TAR FIN'!$A$1:$O$88,15,0))</f>
        <v>425.75</v>
      </c>
      <c r="X553" s="6">
        <f>IF(ISERROR(VLOOKUP($U$553,'TAR FIN'!$A$1:$O$88,15,0)),0,VLOOKUP($U$553,'TAR FIN'!$A$1:$O$88,15,0))</f>
        <v>252.22</v>
      </c>
      <c r="Y553" s="6"/>
      <c r="Z553" s="6">
        <f ca="1">('TUSD BE'!$AM$48+'TUSD BF'!$AM$48+'TUSD CVA'!$AM$48)*1</f>
        <v>487.85699036910154</v>
      </c>
      <c r="AA553" s="6">
        <f>('TE BE'!$AB$38+'TE BF'!$AB$38+'TE CVA'!$AB$38)*1</f>
        <v>251.92449556687748</v>
      </c>
      <c r="AB553" s="6">
        <f>$K$553*$V$553</f>
        <v>0</v>
      </c>
      <c r="AC553" s="6">
        <f>$M$553*$W$553</f>
        <v>856.18325000000004</v>
      </c>
      <c r="AD553" s="6">
        <f>$O$553*$X$553</f>
        <v>507.21442000000002</v>
      </c>
      <c r="AE553" s="6">
        <f>$K$553*$Y$553</f>
        <v>0</v>
      </c>
      <c r="AF553" s="6">
        <f ca="1">$M$553*$Z$553</f>
        <v>981.08040763226325</v>
      </c>
      <c r="AG553" s="6">
        <f>$O$553*$AA$553</f>
        <v>506.62016058499063</v>
      </c>
    </row>
    <row r="554" spans="1:33" ht="11.25" customHeight="1" x14ac:dyDescent="0.25">
      <c r="A554" s="4" t="s">
        <v>21</v>
      </c>
      <c r="B554" s="4" t="s">
        <v>33</v>
      </c>
      <c r="C554" s="4" t="s">
        <v>23</v>
      </c>
      <c r="D554" s="4" t="s">
        <v>42</v>
      </c>
      <c r="E554" s="4" t="s">
        <v>25</v>
      </c>
      <c r="F554" s="4" t="s">
        <v>25</v>
      </c>
      <c r="G554" s="4" t="s">
        <v>25</v>
      </c>
      <c r="H554" s="4" t="s">
        <v>25</v>
      </c>
      <c r="I554" s="5">
        <v>44409</v>
      </c>
      <c r="J554" s="6">
        <v>0</v>
      </c>
      <c r="K554" s="6">
        <v>0</v>
      </c>
      <c r="L554" s="6">
        <v>187.249</v>
      </c>
      <c r="M554" s="6">
        <v>187.249</v>
      </c>
      <c r="N554" s="6">
        <v>187.249</v>
      </c>
      <c r="O554" s="6">
        <v>187.249</v>
      </c>
      <c r="P554" s="6">
        <v>366</v>
      </c>
      <c r="Q554" s="4" t="s">
        <v>26</v>
      </c>
      <c r="R554" s="4">
        <v>0</v>
      </c>
      <c r="S554" s="6">
        <v>0</v>
      </c>
      <c r="T554" s="6">
        <v>30</v>
      </c>
      <c r="U554" s="6">
        <v>79</v>
      </c>
      <c r="V554" s="6">
        <f>IF(ISERROR(VLOOKUP($S$554,'TAR FIN'!$A$1:$O$88,15,0)),0,VLOOKUP($S$554,'TAR FIN'!$A$1:$O$88,15,0))</f>
        <v>0</v>
      </c>
      <c r="W554" s="6">
        <f>IF(ISERROR(VLOOKUP($T$554,'TAR FIN'!$A$1:$O$88,15,0)),0,VLOOKUP($T$554,'TAR FIN'!$A$1:$O$88,15,0))</f>
        <v>425.75</v>
      </c>
      <c r="X554" s="6">
        <f>IF(ISERROR(VLOOKUP($U$554,'TAR FIN'!$A$1:$O$88,15,0)),0,VLOOKUP($U$554,'TAR FIN'!$A$1:$O$88,15,0))</f>
        <v>252.22</v>
      </c>
      <c r="Y554" s="6"/>
      <c r="Z554" s="6">
        <f ca="1">('TUSD BE'!$AM$48+'TUSD BF'!$AM$48+'TUSD CVA'!$AM$48)*1</f>
        <v>487.85699036910154</v>
      </c>
      <c r="AA554" s="6">
        <f>('TE BE'!$AB$38+'TE BF'!$AB$38+'TE CVA'!$AB$38)*1</f>
        <v>251.92449556687748</v>
      </c>
      <c r="AB554" s="6">
        <f>$K$554*$V$554</f>
        <v>0</v>
      </c>
      <c r="AC554" s="6">
        <f>$M$554*$W$554</f>
        <v>79721.261750000005</v>
      </c>
      <c r="AD554" s="6">
        <f>$O$554*$X$554</f>
        <v>47227.942779999998</v>
      </c>
      <c r="AE554" s="6">
        <f>$K$554*$Y$554</f>
        <v>0</v>
      </c>
      <c r="AF554" s="6">
        <f ca="1">$M$554*$Z$554</f>
        <v>91350.733589623895</v>
      </c>
      <c r="AG554" s="6">
        <f>$O$554*$AA$554</f>
        <v>47172.609870402237</v>
      </c>
    </row>
    <row r="555" spans="1:33" ht="11.25" customHeight="1" x14ac:dyDescent="0.25">
      <c r="A555" s="4" t="s">
        <v>28</v>
      </c>
      <c r="B555" s="4" t="s">
        <v>33</v>
      </c>
      <c r="C555" s="4" t="s">
        <v>23</v>
      </c>
      <c r="D555" s="4" t="s">
        <v>42</v>
      </c>
      <c r="E555" s="4" t="s">
        <v>25</v>
      </c>
      <c r="F555" s="4" t="s">
        <v>25</v>
      </c>
      <c r="G555" s="4" t="s">
        <v>25</v>
      </c>
      <c r="H555" s="4" t="s">
        <v>25</v>
      </c>
      <c r="I555" s="5">
        <v>44409</v>
      </c>
      <c r="J555" s="6">
        <v>0</v>
      </c>
      <c r="K555" s="6">
        <v>0</v>
      </c>
      <c r="L555" s="6">
        <v>0.872</v>
      </c>
      <c r="M555" s="6">
        <v>0.872</v>
      </c>
      <c r="N555" s="6">
        <v>0.872</v>
      </c>
      <c r="O555" s="6">
        <v>0.872</v>
      </c>
      <c r="P555" s="6">
        <v>2</v>
      </c>
      <c r="Q555" s="4" t="s">
        <v>26</v>
      </c>
      <c r="R555" s="4">
        <v>0</v>
      </c>
      <c r="S555" s="6">
        <v>0</v>
      </c>
      <c r="T555" s="6">
        <v>30</v>
      </c>
      <c r="U555" s="6">
        <v>79</v>
      </c>
      <c r="V555" s="6">
        <f>IF(ISERROR(VLOOKUP($S$555,'TAR FIN'!$A$1:$O$88,15,0)),0,VLOOKUP($S$555,'TAR FIN'!$A$1:$O$88,15,0))</f>
        <v>0</v>
      </c>
      <c r="W555" s="6">
        <f>IF(ISERROR(VLOOKUP($T$555,'TAR FIN'!$A$1:$O$88,15,0)),0,VLOOKUP($T$555,'TAR FIN'!$A$1:$O$88,15,0))</f>
        <v>425.75</v>
      </c>
      <c r="X555" s="6">
        <f>IF(ISERROR(VLOOKUP($U$555,'TAR FIN'!$A$1:$O$88,15,0)),0,VLOOKUP($U$555,'TAR FIN'!$A$1:$O$88,15,0))</f>
        <v>252.22</v>
      </c>
      <c r="Y555" s="6"/>
      <c r="Z555" s="6">
        <f ca="1">('TUSD BE'!$AM$48+'TUSD BF'!$AM$48+'TUSD CVA'!$AM$48)*1</f>
        <v>487.85699036910154</v>
      </c>
      <c r="AA555" s="6">
        <f>('TE BE'!$AB$38+'TE BF'!$AB$38+'TE CVA'!$AB$38)*1</f>
        <v>251.92449556687748</v>
      </c>
      <c r="AB555" s="6">
        <f>$K$555*$V$555</f>
        <v>0</v>
      </c>
      <c r="AC555" s="6">
        <f>$M$555*$W$555</f>
        <v>371.25400000000002</v>
      </c>
      <c r="AD555" s="6">
        <f>$O$555*$X$555</f>
        <v>219.93583999999998</v>
      </c>
      <c r="AE555" s="6">
        <f>$K$555*$Y$555</f>
        <v>0</v>
      </c>
      <c r="AF555" s="6">
        <f ca="1">$M$555*$Z$555</f>
        <v>425.41129560185652</v>
      </c>
      <c r="AG555" s="6">
        <f>$O$555*$AA$555</f>
        <v>219.67816013431715</v>
      </c>
    </row>
    <row r="556" spans="1:33" ht="11.25" customHeight="1" x14ac:dyDescent="0.25">
      <c r="A556" s="4" t="s">
        <v>21</v>
      </c>
      <c r="B556" s="4" t="s">
        <v>33</v>
      </c>
      <c r="C556" s="4" t="s">
        <v>23</v>
      </c>
      <c r="D556" s="4" t="s">
        <v>42</v>
      </c>
      <c r="E556" s="4" t="s">
        <v>25</v>
      </c>
      <c r="F556" s="4" t="s">
        <v>25</v>
      </c>
      <c r="G556" s="4" t="s">
        <v>25</v>
      </c>
      <c r="H556" s="4" t="s">
        <v>25</v>
      </c>
      <c r="I556" s="5">
        <v>44440</v>
      </c>
      <c r="J556" s="6">
        <v>0</v>
      </c>
      <c r="K556" s="6">
        <v>0</v>
      </c>
      <c r="L556" s="6">
        <v>169.28</v>
      </c>
      <c r="M556" s="6">
        <v>169.28</v>
      </c>
      <c r="N556" s="6">
        <v>169.28</v>
      </c>
      <c r="O556" s="6">
        <v>169.28</v>
      </c>
      <c r="P556" s="6">
        <v>366</v>
      </c>
      <c r="Q556" s="4" t="s">
        <v>26</v>
      </c>
      <c r="R556" s="4">
        <v>0</v>
      </c>
      <c r="S556" s="6">
        <v>0</v>
      </c>
      <c r="T556" s="6">
        <v>30</v>
      </c>
      <c r="U556" s="6">
        <v>79</v>
      </c>
      <c r="V556" s="6">
        <f>IF(ISERROR(VLOOKUP($S$556,'TAR FIN'!$A$1:$O$88,15,0)),0,VLOOKUP($S$556,'TAR FIN'!$A$1:$O$88,15,0))</f>
        <v>0</v>
      </c>
      <c r="W556" s="6">
        <f>IF(ISERROR(VLOOKUP($T$556,'TAR FIN'!$A$1:$O$88,15,0)),0,VLOOKUP($T$556,'TAR FIN'!$A$1:$O$88,15,0))</f>
        <v>425.75</v>
      </c>
      <c r="X556" s="6">
        <f>IF(ISERROR(VLOOKUP($U$556,'TAR FIN'!$A$1:$O$88,15,0)),0,VLOOKUP($U$556,'TAR FIN'!$A$1:$O$88,15,0))</f>
        <v>252.22</v>
      </c>
      <c r="Y556" s="6"/>
      <c r="Z556" s="6">
        <f ca="1">('TUSD BE'!$AM$48+'TUSD BF'!$AM$48+'TUSD CVA'!$AM$48)*1</f>
        <v>487.85699036910154</v>
      </c>
      <c r="AA556" s="6">
        <f>('TE BE'!$AB$38+'TE BF'!$AB$38+'TE CVA'!$AB$38)*1</f>
        <v>251.92449556687748</v>
      </c>
      <c r="AB556" s="6">
        <f>$K$556*$V$556</f>
        <v>0</v>
      </c>
      <c r="AC556" s="6">
        <f>$M$556*$W$556</f>
        <v>72070.960000000006</v>
      </c>
      <c r="AD556" s="6">
        <f>$O$556*$X$556</f>
        <v>42695.801599999999</v>
      </c>
      <c r="AE556" s="6">
        <f>$K$556*$Y$556</f>
        <v>0</v>
      </c>
      <c r="AF556" s="6">
        <f ca="1">$M$556*$Z$556</f>
        <v>82584.431329681509</v>
      </c>
      <c r="AG556" s="6">
        <f>$O$556*$AA$556</f>
        <v>42645.778609561021</v>
      </c>
    </row>
    <row r="557" spans="1:33" ht="11.25" customHeight="1" x14ac:dyDescent="0.25">
      <c r="A557" s="4" t="s">
        <v>28</v>
      </c>
      <c r="B557" s="4" t="s">
        <v>33</v>
      </c>
      <c r="C557" s="4" t="s">
        <v>23</v>
      </c>
      <c r="D557" s="4" t="s">
        <v>42</v>
      </c>
      <c r="E557" s="4" t="s">
        <v>25</v>
      </c>
      <c r="F557" s="4" t="s">
        <v>25</v>
      </c>
      <c r="G557" s="4" t="s">
        <v>25</v>
      </c>
      <c r="H557" s="4" t="s">
        <v>25</v>
      </c>
      <c r="I557" s="5">
        <v>44440</v>
      </c>
      <c r="J557" s="6">
        <v>0</v>
      </c>
      <c r="K557" s="6">
        <v>0</v>
      </c>
      <c r="L557" s="6">
        <v>0.41899999999999998</v>
      </c>
      <c r="M557" s="6">
        <v>0.41899999999999998</v>
      </c>
      <c r="N557" s="6">
        <v>0.41899999999999998</v>
      </c>
      <c r="O557" s="6">
        <v>0.41899999999999998</v>
      </c>
      <c r="P557" s="6">
        <v>2</v>
      </c>
      <c r="Q557" s="4" t="s">
        <v>26</v>
      </c>
      <c r="R557" s="4">
        <v>0</v>
      </c>
      <c r="S557" s="6">
        <v>0</v>
      </c>
      <c r="T557" s="6">
        <v>30</v>
      </c>
      <c r="U557" s="6">
        <v>79</v>
      </c>
      <c r="V557" s="6">
        <f>IF(ISERROR(VLOOKUP($S$557,'TAR FIN'!$A$1:$O$88,15,0)),0,VLOOKUP($S$557,'TAR FIN'!$A$1:$O$88,15,0))</f>
        <v>0</v>
      </c>
      <c r="W557" s="6">
        <f>IF(ISERROR(VLOOKUP($T$557,'TAR FIN'!$A$1:$O$88,15,0)),0,VLOOKUP($T$557,'TAR FIN'!$A$1:$O$88,15,0))</f>
        <v>425.75</v>
      </c>
      <c r="X557" s="6">
        <f>IF(ISERROR(VLOOKUP($U$557,'TAR FIN'!$A$1:$O$88,15,0)),0,VLOOKUP($U$557,'TAR FIN'!$A$1:$O$88,15,0))</f>
        <v>252.22</v>
      </c>
      <c r="Y557" s="6"/>
      <c r="Z557" s="6">
        <f ca="1">('TUSD BE'!$AM$48+'TUSD BF'!$AM$48+'TUSD CVA'!$AM$48)*1</f>
        <v>487.85699036910154</v>
      </c>
      <c r="AA557" s="6">
        <f>('TE BE'!$AB$38+'TE BF'!$AB$38+'TE CVA'!$AB$38)*1</f>
        <v>251.92449556687748</v>
      </c>
      <c r="AB557" s="6">
        <f>$K$557*$V$557</f>
        <v>0</v>
      </c>
      <c r="AC557" s="6">
        <f>$M$557*$W$557</f>
        <v>178.38925</v>
      </c>
      <c r="AD557" s="6">
        <f>$O$557*$X$557</f>
        <v>105.68017999999999</v>
      </c>
      <c r="AE557" s="6">
        <f>$K$557*$Y$557</f>
        <v>0</v>
      </c>
      <c r="AF557" s="6">
        <f ca="1">$M$557*$Z$557</f>
        <v>204.41207896465355</v>
      </c>
      <c r="AG557" s="6">
        <f>$O$557*$AA$557</f>
        <v>105.55636364252166</v>
      </c>
    </row>
    <row r="558" spans="1:33" ht="11.25" customHeight="1" x14ac:dyDescent="0.25">
      <c r="A558" s="4" t="s">
        <v>21</v>
      </c>
      <c r="B558" s="4" t="s">
        <v>33</v>
      </c>
      <c r="C558" s="4" t="s">
        <v>23</v>
      </c>
      <c r="D558" s="4" t="s">
        <v>42</v>
      </c>
      <c r="E558" s="4" t="s">
        <v>25</v>
      </c>
      <c r="F558" s="4" t="s">
        <v>25</v>
      </c>
      <c r="G558" s="4" t="s">
        <v>25</v>
      </c>
      <c r="H558" s="4" t="s">
        <v>25</v>
      </c>
      <c r="I558" s="5">
        <v>44470</v>
      </c>
      <c r="J558" s="6">
        <v>0</v>
      </c>
      <c r="K558" s="6">
        <v>0</v>
      </c>
      <c r="L558" s="6">
        <v>156.93600000000001</v>
      </c>
      <c r="M558" s="6">
        <v>156.93600000000001</v>
      </c>
      <c r="N558" s="6">
        <v>156.93600000000001</v>
      </c>
      <c r="O558" s="6">
        <v>156.93600000000001</v>
      </c>
      <c r="P558" s="6">
        <v>365</v>
      </c>
      <c r="Q558" s="4" t="s">
        <v>26</v>
      </c>
      <c r="R558" s="4">
        <v>0</v>
      </c>
      <c r="S558" s="6">
        <v>0</v>
      </c>
      <c r="T558" s="6">
        <v>30</v>
      </c>
      <c r="U558" s="6">
        <v>79</v>
      </c>
      <c r="V558" s="6">
        <f>IF(ISERROR(VLOOKUP($S$558,'TAR FIN'!$A$1:$O$88,15,0)),0,VLOOKUP($S$558,'TAR FIN'!$A$1:$O$88,15,0))</f>
        <v>0</v>
      </c>
      <c r="W558" s="6">
        <f>IF(ISERROR(VLOOKUP($T$558,'TAR FIN'!$A$1:$O$88,15,0)),0,VLOOKUP($T$558,'TAR FIN'!$A$1:$O$88,15,0))</f>
        <v>425.75</v>
      </c>
      <c r="X558" s="6">
        <f>IF(ISERROR(VLOOKUP($U$558,'TAR FIN'!$A$1:$O$88,15,0)),0,VLOOKUP($U$558,'TAR FIN'!$A$1:$O$88,15,0))</f>
        <v>252.22</v>
      </c>
      <c r="Y558" s="6"/>
      <c r="Z558" s="6">
        <f ca="1">('TUSD BE'!$AM$48+'TUSD BF'!$AM$48+'TUSD CVA'!$AM$48)*1</f>
        <v>487.85699036910154</v>
      </c>
      <c r="AA558" s="6">
        <f>('TE BE'!$AB$38+'TE BF'!$AB$38+'TE CVA'!$AB$38)*1</f>
        <v>251.92449556687748</v>
      </c>
      <c r="AB558" s="6">
        <f>$K$558*$V$558</f>
        <v>0</v>
      </c>
      <c r="AC558" s="6">
        <f>$M$558*$W$558</f>
        <v>66815.502000000008</v>
      </c>
      <c r="AD558" s="6">
        <f>$O$558*$X$558</f>
        <v>39582.397920000003</v>
      </c>
      <c r="AE558" s="6">
        <f>$K$558*$Y$558</f>
        <v>0</v>
      </c>
      <c r="AF558" s="6">
        <f ca="1">$M$558*$Z$558</f>
        <v>76562.324640565319</v>
      </c>
      <c r="AG558" s="6">
        <f>$O$558*$AA$558</f>
        <v>39536.022636283487</v>
      </c>
    </row>
    <row r="559" spans="1:33" ht="11.25" customHeight="1" x14ac:dyDescent="0.25">
      <c r="A559" s="4" t="s">
        <v>28</v>
      </c>
      <c r="B559" s="4" t="s">
        <v>33</v>
      </c>
      <c r="C559" s="4" t="s">
        <v>23</v>
      </c>
      <c r="D559" s="4" t="s">
        <v>42</v>
      </c>
      <c r="E559" s="4" t="s">
        <v>25</v>
      </c>
      <c r="F559" s="4" t="s">
        <v>25</v>
      </c>
      <c r="G559" s="4" t="s">
        <v>25</v>
      </c>
      <c r="H559" s="4" t="s">
        <v>25</v>
      </c>
      <c r="I559" s="5">
        <v>44470</v>
      </c>
      <c r="J559" s="6">
        <v>0</v>
      </c>
      <c r="K559" s="6">
        <v>0</v>
      </c>
      <c r="L559" s="6">
        <v>0.39100000000000001</v>
      </c>
      <c r="M559" s="6">
        <v>0.39100000000000001</v>
      </c>
      <c r="N559" s="6">
        <v>0.39100000000000001</v>
      </c>
      <c r="O559" s="6">
        <v>0.39100000000000001</v>
      </c>
      <c r="P559" s="6">
        <v>2</v>
      </c>
      <c r="Q559" s="4" t="s">
        <v>26</v>
      </c>
      <c r="R559" s="4">
        <v>0</v>
      </c>
      <c r="S559" s="6">
        <v>0</v>
      </c>
      <c r="T559" s="6">
        <v>30</v>
      </c>
      <c r="U559" s="6">
        <v>79</v>
      </c>
      <c r="V559" s="6">
        <f>IF(ISERROR(VLOOKUP($S$559,'TAR FIN'!$A$1:$O$88,15,0)),0,VLOOKUP($S$559,'TAR FIN'!$A$1:$O$88,15,0))</f>
        <v>0</v>
      </c>
      <c r="W559" s="6">
        <f>IF(ISERROR(VLOOKUP($T$559,'TAR FIN'!$A$1:$O$88,15,0)),0,VLOOKUP($T$559,'TAR FIN'!$A$1:$O$88,15,0))</f>
        <v>425.75</v>
      </c>
      <c r="X559" s="6">
        <f>IF(ISERROR(VLOOKUP($U$559,'TAR FIN'!$A$1:$O$88,15,0)),0,VLOOKUP($U$559,'TAR FIN'!$A$1:$O$88,15,0))</f>
        <v>252.22</v>
      </c>
      <c r="Y559" s="6"/>
      <c r="Z559" s="6">
        <f ca="1">('TUSD BE'!$AM$48+'TUSD BF'!$AM$48+'TUSD CVA'!$AM$48)*1</f>
        <v>487.85699036910154</v>
      </c>
      <c r="AA559" s="6">
        <f>('TE BE'!$AB$38+'TE BF'!$AB$38+'TE CVA'!$AB$38)*1</f>
        <v>251.92449556687748</v>
      </c>
      <c r="AB559" s="6">
        <f>$K$559*$V$559</f>
        <v>0</v>
      </c>
      <c r="AC559" s="6">
        <f>$M$559*$W$559</f>
        <v>166.46825000000001</v>
      </c>
      <c r="AD559" s="6">
        <f>$O$559*$X$559</f>
        <v>98.618020000000001</v>
      </c>
      <c r="AE559" s="6">
        <f>$K$559*$Y$559</f>
        <v>0</v>
      </c>
      <c r="AF559" s="6">
        <f ca="1">$M$559*$Z$559</f>
        <v>190.75208323431872</v>
      </c>
      <c r="AG559" s="6">
        <f>$O$559*$AA$559</f>
        <v>98.502477766649093</v>
      </c>
    </row>
    <row r="560" spans="1:33" ht="11.25" customHeight="1" x14ac:dyDescent="0.25">
      <c r="A560" s="4" t="s">
        <v>21</v>
      </c>
      <c r="B560" s="4" t="s">
        <v>33</v>
      </c>
      <c r="C560" s="4" t="s">
        <v>23</v>
      </c>
      <c r="D560" s="4" t="s">
        <v>42</v>
      </c>
      <c r="E560" s="4" t="s">
        <v>25</v>
      </c>
      <c r="F560" s="4" t="s">
        <v>25</v>
      </c>
      <c r="G560" s="4" t="s">
        <v>25</v>
      </c>
      <c r="H560" s="4" t="s">
        <v>25</v>
      </c>
      <c r="I560" s="5">
        <v>44501</v>
      </c>
      <c r="J560" s="6">
        <v>0</v>
      </c>
      <c r="K560" s="6">
        <v>0</v>
      </c>
      <c r="L560" s="6">
        <v>182.09200000000001</v>
      </c>
      <c r="M560" s="6">
        <v>182.09200000000001</v>
      </c>
      <c r="N560" s="6">
        <v>182.09200000000001</v>
      </c>
      <c r="O560" s="6">
        <v>182.09200000000001</v>
      </c>
      <c r="P560" s="6">
        <v>368</v>
      </c>
      <c r="Q560" s="4" t="s">
        <v>26</v>
      </c>
      <c r="R560" s="4">
        <v>0</v>
      </c>
      <c r="S560" s="6">
        <v>0</v>
      </c>
      <c r="T560" s="6">
        <v>30</v>
      </c>
      <c r="U560" s="6">
        <v>79</v>
      </c>
      <c r="V560" s="6">
        <f>IF(ISERROR(VLOOKUP($S$560,'TAR FIN'!$A$1:$O$88,15,0)),0,VLOOKUP($S$560,'TAR FIN'!$A$1:$O$88,15,0))</f>
        <v>0</v>
      </c>
      <c r="W560" s="6">
        <f>IF(ISERROR(VLOOKUP($T$560,'TAR FIN'!$A$1:$O$88,15,0)),0,VLOOKUP($T$560,'TAR FIN'!$A$1:$O$88,15,0))</f>
        <v>425.75</v>
      </c>
      <c r="X560" s="6">
        <f>IF(ISERROR(VLOOKUP($U$560,'TAR FIN'!$A$1:$O$88,15,0)),0,VLOOKUP($U$560,'TAR FIN'!$A$1:$O$88,15,0))</f>
        <v>252.22</v>
      </c>
      <c r="Y560" s="6"/>
      <c r="Z560" s="6">
        <f ca="1">('TUSD BE'!$AM$48+'TUSD BF'!$AM$48+'TUSD CVA'!$AM$48)*1</f>
        <v>487.85699036910154</v>
      </c>
      <c r="AA560" s="6">
        <f>('TE BE'!$AB$38+'TE BF'!$AB$38+'TE CVA'!$AB$38)*1</f>
        <v>251.92449556687748</v>
      </c>
      <c r="AB560" s="6">
        <f>$K$560*$V$560</f>
        <v>0</v>
      </c>
      <c r="AC560" s="6">
        <f>$M$560*$W$560</f>
        <v>77525.669000000009</v>
      </c>
      <c r="AD560" s="6">
        <f>$O$560*$X$560</f>
        <v>45927.24424</v>
      </c>
      <c r="AE560" s="6">
        <f>$K$560*$Y$560</f>
        <v>0</v>
      </c>
      <c r="AF560" s="6">
        <f ca="1">$M$560*$Z$560</f>
        <v>88834.855090290439</v>
      </c>
      <c r="AG560" s="6">
        <f>$O$560*$AA$560</f>
        <v>45873.43524676386</v>
      </c>
    </row>
    <row r="561" spans="1:33" ht="11.25" customHeight="1" x14ac:dyDescent="0.25">
      <c r="A561" s="4" t="s">
        <v>28</v>
      </c>
      <c r="B561" s="4" t="s">
        <v>33</v>
      </c>
      <c r="C561" s="4" t="s">
        <v>23</v>
      </c>
      <c r="D561" s="4" t="s">
        <v>42</v>
      </c>
      <c r="E561" s="4" t="s">
        <v>25</v>
      </c>
      <c r="F561" s="4" t="s">
        <v>25</v>
      </c>
      <c r="G561" s="4" t="s">
        <v>25</v>
      </c>
      <c r="H561" s="4" t="s">
        <v>25</v>
      </c>
      <c r="I561" s="5">
        <v>44501</v>
      </c>
      <c r="J561" s="6">
        <v>0</v>
      </c>
      <c r="K561" s="6">
        <v>0</v>
      </c>
      <c r="L561" s="6">
        <v>0.45200000000000001</v>
      </c>
      <c r="M561" s="6">
        <v>0.45200000000000001</v>
      </c>
      <c r="N561" s="6">
        <v>0.45200000000000001</v>
      </c>
      <c r="O561" s="6">
        <v>0.45200000000000001</v>
      </c>
      <c r="P561" s="6">
        <v>2</v>
      </c>
      <c r="Q561" s="4" t="s">
        <v>26</v>
      </c>
      <c r="R561" s="4">
        <v>0</v>
      </c>
      <c r="S561" s="6">
        <v>0</v>
      </c>
      <c r="T561" s="6">
        <v>30</v>
      </c>
      <c r="U561" s="6">
        <v>79</v>
      </c>
      <c r="V561" s="6">
        <f>IF(ISERROR(VLOOKUP($S$561,'TAR FIN'!$A$1:$O$88,15,0)),0,VLOOKUP($S$561,'TAR FIN'!$A$1:$O$88,15,0))</f>
        <v>0</v>
      </c>
      <c r="W561" s="6">
        <f>IF(ISERROR(VLOOKUP($T$561,'TAR FIN'!$A$1:$O$88,15,0)),0,VLOOKUP($T$561,'TAR FIN'!$A$1:$O$88,15,0))</f>
        <v>425.75</v>
      </c>
      <c r="X561" s="6">
        <f>IF(ISERROR(VLOOKUP($U$561,'TAR FIN'!$A$1:$O$88,15,0)),0,VLOOKUP($U$561,'TAR FIN'!$A$1:$O$88,15,0))</f>
        <v>252.22</v>
      </c>
      <c r="Y561" s="6"/>
      <c r="Z561" s="6">
        <f ca="1">('TUSD BE'!$AM$48+'TUSD BF'!$AM$48+'TUSD CVA'!$AM$48)*1</f>
        <v>487.85699036910154</v>
      </c>
      <c r="AA561" s="6">
        <f>('TE BE'!$AB$38+'TE BF'!$AB$38+'TE CVA'!$AB$38)*1</f>
        <v>251.92449556687748</v>
      </c>
      <c r="AB561" s="6">
        <f>$K$561*$V$561</f>
        <v>0</v>
      </c>
      <c r="AC561" s="6">
        <f>$M$561*$W$561</f>
        <v>192.43899999999999</v>
      </c>
      <c r="AD561" s="6">
        <f>$O$561*$X$561</f>
        <v>114.00344</v>
      </c>
      <c r="AE561" s="6">
        <f>$K$561*$Y$561</f>
        <v>0</v>
      </c>
      <c r="AF561" s="6">
        <f ca="1">$M$561*$Z$561</f>
        <v>220.51135964683391</v>
      </c>
      <c r="AG561" s="6">
        <f>$O$561*$AA$561</f>
        <v>113.86987199622862</v>
      </c>
    </row>
    <row r="562" spans="1:33" ht="11.25" customHeight="1" x14ac:dyDescent="0.25">
      <c r="A562" s="4" t="s">
        <v>21</v>
      </c>
      <c r="B562" s="4" t="s">
        <v>33</v>
      </c>
      <c r="C562" s="4" t="s">
        <v>23</v>
      </c>
      <c r="D562" s="4" t="s">
        <v>42</v>
      </c>
      <c r="E562" s="4" t="s">
        <v>25</v>
      </c>
      <c r="F562" s="4" t="s">
        <v>25</v>
      </c>
      <c r="G562" s="4" t="s">
        <v>25</v>
      </c>
      <c r="H562" s="4" t="s">
        <v>25</v>
      </c>
      <c r="I562" s="5">
        <v>44531</v>
      </c>
      <c r="J562" s="6">
        <v>0</v>
      </c>
      <c r="K562" s="6">
        <v>0</v>
      </c>
      <c r="L562" s="6">
        <v>196.46600000000001</v>
      </c>
      <c r="M562" s="6">
        <v>196.46600000000001</v>
      </c>
      <c r="N562" s="6">
        <v>196.46600000000001</v>
      </c>
      <c r="O562" s="6">
        <v>196.46600000000001</v>
      </c>
      <c r="P562" s="6">
        <v>366</v>
      </c>
      <c r="Q562" s="4" t="s">
        <v>26</v>
      </c>
      <c r="R562" s="4">
        <v>0</v>
      </c>
      <c r="S562" s="6">
        <v>0</v>
      </c>
      <c r="T562" s="6">
        <v>30</v>
      </c>
      <c r="U562" s="6">
        <v>79</v>
      </c>
      <c r="V562" s="6">
        <f>IF(ISERROR(VLOOKUP($S$562,'TAR FIN'!$A$1:$O$88,15,0)),0,VLOOKUP($S$562,'TAR FIN'!$A$1:$O$88,15,0))</f>
        <v>0</v>
      </c>
      <c r="W562" s="6">
        <f>IF(ISERROR(VLOOKUP($T$562,'TAR FIN'!$A$1:$O$88,15,0)),0,VLOOKUP($T$562,'TAR FIN'!$A$1:$O$88,15,0))</f>
        <v>425.75</v>
      </c>
      <c r="X562" s="6">
        <f>IF(ISERROR(VLOOKUP($U$562,'TAR FIN'!$A$1:$O$88,15,0)),0,VLOOKUP($U$562,'TAR FIN'!$A$1:$O$88,15,0))</f>
        <v>252.22</v>
      </c>
      <c r="Y562" s="6"/>
      <c r="Z562" s="6">
        <f ca="1">('TUSD BE'!$AM$48+'TUSD BF'!$AM$48+'TUSD CVA'!$AM$48)*1</f>
        <v>487.85699036910154</v>
      </c>
      <c r="AA562" s="6">
        <f>('TE BE'!$AB$38+'TE BF'!$AB$38+'TE CVA'!$AB$38)*1</f>
        <v>251.92449556687748</v>
      </c>
      <c r="AB562" s="6">
        <f>$K$562*$V$562</f>
        <v>0</v>
      </c>
      <c r="AC562" s="6">
        <f>$M$562*$W$562</f>
        <v>83645.3995</v>
      </c>
      <c r="AD562" s="6">
        <f>$O$562*$X$562</f>
        <v>49552.654520000004</v>
      </c>
      <c r="AE562" s="6">
        <f>$K$562*$Y$562</f>
        <v>0</v>
      </c>
      <c r="AF562" s="6">
        <f ca="1">$M$562*$Z$562</f>
        <v>95847.311469855907</v>
      </c>
      <c r="AG562" s="6">
        <f>$O$562*$AA$562</f>
        <v>49494.597946042151</v>
      </c>
    </row>
    <row r="563" spans="1:33" ht="11.25" customHeight="1" x14ac:dyDescent="0.25">
      <c r="A563" s="4" t="s">
        <v>28</v>
      </c>
      <c r="B563" s="4" t="s">
        <v>33</v>
      </c>
      <c r="C563" s="4" t="s">
        <v>23</v>
      </c>
      <c r="D563" s="4" t="s">
        <v>42</v>
      </c>
      <c r="E563" s="4" t="s">
        <v>25</v>
      </c>
      <c r="F563" s="4" t="s">
        <v>25</v>
      </c>
      <c r="G563" s="4" t="s">
        <v>25</v>
      </c>
      <c r="H563" s="4" t="s">
        <v>25</v>
      </c>
      <c r="I563" s="5">
        <v>44531</v>
      </c>
      <c r="J563" s="6">
        <v>0</v>
      </c>
      <c r="K563" s="6">
        <v>0</v>
      </c>
      <c r="L563" s="6">
        <v>0.56000000000000005</v>
      </c>
      <c r="M563" s="6">
        <v>0.56000000000000005</v>
      </c>
      <c r="N563" s="6">
        <v>0.56000000000000005</v>
      </c>
      <c r="O563" s="6">
        <v>0.56000000000000005</v>
      </c>
      <c r="P563" s="6">
        <v>2</v>
      </c>
      <c r="Q563" s="4" t="s">
        <v>26</v>
      </c>
      <c r="R563" s="4">
        <v>0</v>
      </c>
      <c r="S563" s="6">
        <v>0</v>
      </c>
      <c r="T563" s="6">
        <v>30</v>
      </c>
      <c r="U563" s="6">
        <v>79</v>
      </c>
      <c r="V563" s="6">
        <f>IF(ISERROR(VLOOKUP($S$563,'TAR FIN'!$A$1:$O$88,15,0)),0,VLOOKUP($S$563,'TAR FIN'!$A$1:$O$88,15,0))</f>
        <v>0</v>
      </c>
      <c r="W563" s="6">
        <f>IF(ISERROR(VLOOKUP($T$563,'TAR FIN'!$A$1:$O$88,15,0)),0,VLOOKUP($T$563,'TAR FIN'!$A$1:$O$88,15,0))</f>
        <v>425.75</v>
      </c>
      <c r="X563" s="6">
        <f>IF(ISERROR(VLOOKUP($U$563,'TAR FIN'!$A$1:$O$88,15,0)),0,VLOOKUP($U$563,'TAR FIN'!$A$1:$O$88,15,0))</f>
        <v>252.22</v>
      </c>
      <c r="Y563" s="6"/>
      <c r="Z563" s="6">
        <f ca="1">('TUSD BE'!$AM$48+'TUSD BF'!$AM$48+'TUSD CVA'!$AM$48)*1</f>
        <v>487.85699036910154</v>
      </c>
      <c r="AA563" s="6">
        <f>('TE BE'!$AB$38+'TE BF'!$AB$38+'TE CVA'!$AB$38)*1</f>
        <v>251.92449556687748</v>
      </c>
      <c r="AB563" s="6">
        <f>$K$563*$V$563</f>
        <v>0</v>
      </c>
      <c r="AC563" s="6">
        <f>$M$563*$W$563</f>
        <v>238.42000000000002</v>
      </c>
      <c r="AD563" s="6">
        <f>$O$563*$X$563</f>
        <v>141.2432</v>
      </c>
      <c r="AE563" s="6">
        <f>$K$563*$Y$563</f>
        <v>0</v>
      </c>
      <c r="AF563" s="6">
        <f ca="1">$M$563*$Z$563</f>
        <v>273.19991460669689</v>
      </c>
      <c r="AG563" s="6">
        <f>$O$563*$AA$563</f>
        <v>141.07771751745139</v>
      </c>
    </row>
    <row r="564" spans="1:33" ht="11.25" customHeight="1" x14ac:dyDescent="0.25">
      <c r="A564" s="4" t="s">
        <v>21</v>
      </c>
      <c r="B564" s="4" t="s">
        <v>33</v>
      </c>
      <c r="C564" s="4" t="s">
        <v>23</v>
      </c>
      <c r="D564" s="4" t="s">
        <v>42</v>
      </c>
      <c r="E564" s="4" t="s">
        <v>25</v>
      </c>
      <c r="F564" s="4" t="s">
        <v>25</v>
      </c>
      <c r="G564" s="4" t="s">
        <v>25</v>
      </c>
      <c r="H564" s="4" t="s">
        <v>25</v>
      </c>
      <c r="I564" s="5">
        <v>44562</v>
      </c>
      <c r="J564" s="6">
        <v>0</v>
      </c>
      <c r="K564" s="6">
        <v>0</v>
      </c>
      <c r="L564" s="6">
        <v>208.83699999999999</v>
      </c>
      <c r="M564" s="6">
        <v>208.83699999999999</v>
      </c>
      <c r="N564" s="6">
        <v>208.83699999999999</v>
      </c>
      <c r="O564" s="6">
        <v>208.83699999999999</v>
      </c>
      <c r="P564" s="6">
        <v>370</v>
      </c>
      <c r="Q564" s="4" t="s">
        <v>26</v>
      </c>
      <c r="R564" s="4">
        <v>0</v>
      </c>
      <c r="S564" s="6">
        <v>0</v>
      </c>
      <c r="T564" s="6">
        <v>30</v>
      </c>
      <c r="U564" s="6">
        <v>79</v>
      </c>
      <c r="V564" s="6">
        <f>IF(ISERROR(VLOOKUP($S$564,'TAR FIN'!$A$1:$O$88,15,0)),0,VLOOKUP($S$564,'TAR FIN'!$A$1:$O$88,15,0))</f>
        <v>0</v>
      </c>
      <c r="W564" s="6">
        <f>IF(ISERROR(VLOOKUP($T$564,'TAR FIN'!$A$1:$O$88,15,0)),0,VLOOKUP($T$564,'TAR FIN'!$A$1:$O$88,15,0))</f>
        <v>425.75</v>
      </c>
      <c r="X564" s="6">
        <f>IF(ISERROR(VLOOKUP($U$564,'TAR FIN'!$A$1:$O$88,15,0)),0,VLOOKUP($U$564,'TAR FIN'!$A$1:$O$88,15,0))</f>
        <v>252.22</v>
      </c>
      <c r="Y564" s="6"/>
      <c r="Z564" s="6">
        <f ca="1">('TUSD BE'!$AM$48+'TUSD BF'!$AM$48+'TUSD CVA'!$AM$48)*1</f>
        <v>487.85699036910154</v>
      </c>
      <c r="AA564" s="6">
        <f>('TE BE'!$AB$38+'TE BF'!$AB$38+'TE CVA'!$AB$38)*1</f>
        <v>251.92449556687748</v>
      </c>
      <c r="AB564" s="6">
        <f>$K$564*$V$564</f>
        <v>0</v>
      </c>
      <c r="AC564" s="6">
        <f>$M$564*$W$564</f>
        <v>88912.352749999991</v>
      </c>
      <c r="AD564" s="6">
        <f>$O$564*$X$564</f>
        <v>52672.868139999999</v>
      </c>
      <c r="AE564" s="6">
        <f>$K$564*$Y$564</f>
        <v>0</v>
      </c>
      <c r="AF564" s="6">
        <f ca="1">$M$564*$Z$564</f>
        <v>101882.59029771206</v>
      </c>
      <c r="AG564" s="6">
        <f>$O$564*$AA$564</f>
        <v>52611.155880699989</v>
      </c>
    </row>
    <row r="565" spans="1:33" ht="11.25" customHeight="1" x14ac:dyDescent="0.25">
      <c r="A565" s="4" t="s">
        <v>28</v>
      </c>
      <c r="B565" s="4" t="s">
        <v>33</v>
      </c>
      <c r="C565" s="4" t="s">
        <v>23</v>
      </c>
      <c r="D565" s="4" t="s">
        <v>42</v>
      </c>
      <c r="E565" s="4" t="s">
        <v>25</v>
      </c>
      <c r="F565" s="4" t="s">
        <v>25</v>
      </c>
      <c r="G565" s="4" t="s">
        <v>25</v>
      </c>
      <c r="H565" s="4" t="s">
        <v>25</v>
      </c>
      <c r="I565" s="5">
        <v>44562</v>
      </c>
      <c r="J565" s="6">
        <v>0</v>
      </c>
      <c r="K565" s="6">
        <v>0</v>
      </c>
      <c r="L565" s="6">
        <v>0.38700000000000001</v>
      </c>
      <c r="M565" s="6">
        <v>0.38700000000000001</v>
      </c>
      <c r="N565" s="6">
        <v>0.38700000000000001</v>
      </c>
      <c r="O565" s="6">
        <v>0.38700000000000001</v>
      </c>
      <c r="P565" s="6">
        <v>2</v>
      </c>
      <c r="Q565" s="4" t="s">
        <v>26</v>
      </c>
      <c r="R565" s="4">
        <v>0</v>
      </c>
      <c r="S565" s="6">
        <v>0</v>
      </c>
      <c r="T565" s="6">
        <v>30</v>
      </c>
      <c r="U565" s="6">
        <v>79</v>
      </c>
      <c r="V565" s="6">
        <f>IF(ISERROR(VLOOKUP($S$565,'TAR FIN'!$A$1:$O$88,15,0)),0,VLOOKUP($S$565,'TAR FIN'!$A$1:$O$88,15,0))</f>
        <v>0</v>
      </c>
      <c r="W565" s="6">
        <f>IF(ISERROR(VLOOKUP($T$565,'TAR FIN'!$A$1:$O$88,15,0)),0,VLOOKUP($T$565,'TAR FIN'!$A$1:$O$88,15,0))</f>
        <v>425.75</v>
      </c>
      <c r="X565" s="6">
        <f>IF(ISERROR(VLOOKUP($U$565,'TAR FIN'!$A$1:$O$88,15,0)),0,VLOOKUP($U$565,'TAR FIN'!$A$1:$O$88,15,0))</f>
        <v>252.22</v>
      </c>
      <c r="Y565" s="6"/>
      <c r="Z565" s="6">
        <f ca="1">('TUSD BE'!$AM$48+'TUSD BF'!$AM$48+'TUSD CVA'!$AM$48)*1</f>
        <v>487.85699036910154</v>
      </c>
      <c r="AA565" s="6">
        <f>('TE BE'!$AB$38+'TE BF'!$AB$38+'TE CVA'!$AB$38)*1</f>
        <v>251.92449556687748</v>
      </c>
      <c r="AB565" s="6">
        <f>$K$565*$V$565</f>
        <v>0</v>
      </c>
      <c r="AC565" s="6">
        <f>$M$565*$W$565</f>
        <v>164.76525000000001</v>
      </c>
      <c r="AD565" s="6">
        <f>$O$565*$X$565</f>
        <v>97.609139999999996</v>
      </c>
      <c r="AE565" s="6">
        <f>$K$565*$Y$565</f>
        <v>0</v>
      </c>
      <c r="AF565" s="6">
        <f ca="1">$M$565*$Z$565</f>
        <v>188.80065527284231</v>
      </c>
      <c r="AG565" s="6">
        <f>$O$565*$AA$565</f>
        <v>97.494779784381592</v>
      </c>
    </row>
    <row r="566" spans="1:33" ht="11.25" customHeight="1" x14ac:dyDescent="0.25">
      <c r="A566" s="4" t="s">
        <v>21</v>
      </c>
      <c r="B566" s="4" t="s">
        <v>33</v>
      </c>
      <c r="C566" s="4" t="s">
        <v>23</v>
      </c>
      <c r="D566" s="4" t="s">
        <v>42</v>
      </c>
      <c r="E566" s="4" t="s">
        <v>25</v>
      </c>
      <c r="F566" s="4" t="s">
        <v>25</v>
      </c>
      <c r="G566" s="4" t="s">
        <v>25</v>
      </c>
      <c r="H566" s="4" t="s">
        <v>25</v>
      </c>
      <c r="I566" s="5">
        <v>44593</v>
      </c>
      <c r="J566" s="6">
        <v>0</v>
      </c>
      <c r="K566" s="6">
        <v>0</v>
      </c>
      <c r="L566" s="6">
        <v>225.506</v>
      </c>
      <c r="M566" s="6">
        <v>225.506</v>
      </c>
      <c r="N566" s="6">
        <v>225.506</v>
      </c>
      <c r="O566" s="6">
        <v>225.506</v>
      </c>
      <c r="P566" s="6">
        <v>372</v>
      </c>
      <c r="Q566" s="4" t="s">
        <v>26</v>
      </c>
      <c r="R566" s="4">
        <v>0</v>
      </c>
      <c r="S566" s="6">
        <v>0</v>
      </c>
      <c r="T566" s="6">
        <v>30</v>
      </c>
      <c r="U566" s="6">
        <v>79</v>
      </c>
      <c r="V566" s="6">
        <f>IF(ISERROR(VLOOKUP($S$566,'TAR FIN'!$A$1:$O$88,15,0)),0,VLOOKUP($S$566,'TAR FIN'!$A$1:$O$88,15,0))</f>
        <v>0</v>
      </c>
      <c r="W566" s="6">
        <f>IF(ISERROR(VLOOKUP($T$566,'TAR FIN'!$A$1:$O$88,15,0)),0,VLOOKUP($T$566,'TAR FIN'!$A$1:$O$88,15,0))</f>
        <v>425.75</v>
      </c>
      <c r="X566" s="6">
        <f>IF(ISERROR(VLOOKUP($U$566,'TAR FIN'!$A$1:$O$88,15,0)),0,VLOOKUP($U$566,'TAR FIN'!$A$1:$O$88,15,0))</f>
        <v>252.22</v>
      </c>
      <c r="Y566" s="6"/>
      <c r="Z566" s="6">
        <f ca="1">('TUSD BE'!$AM$48+'TUSD BF'!$AM$48+'TUSD CVA'!$AM$48)*1</f>
        <v>487.85699036910154</v>
      </c>
      <c r="AA566" s="6">
        <f>('TE BE'!$AB$38+'TE BF'!$AB$38+'TE CVA'!$AB$38)*1</f>
        <v>251.92449556687748</v>
      </c>
      <c r="AB566" s="6">
        <f>$K$566*$V$566</f>
        <v>0</v>
      </c>
      <c r="AC566" s="6">
        <f>$M$566*$W$566</f>
        <v>96009.179499999998</v>
      </c>
      <c r="AD566" s="6">
        <f>$O$566*$X$566</f>
        <v>56877.123319999999</v>
      </c>
      <c r="AE566" s="6">
        <f>$K$566*$Y$566</f>
        <v>0</v>
      </c>
      <c r="AF566" s="6">
        <f ca="1">$M$566*$Z$566</f>
        <v>110014.67847017461</v>
      </c>
      <c r="AG566" s="6">
        <f>$O$566*$AA$566</f>
        <v>56810.485297304273</v>
      </c>
    </row>
    <row r="567" spans="1:33" ht="11.25" customHeight="1" x14ac:dyDescent="0.25">
      <c r="A567" s="4" t="s">
        <v>28</v>
      </c>
      <c r="B567" s="4" t="s">
        <v>33</v>
      </c>
      <c r="C567" s="4" t="s">
        <v>23</v>
      </c>
      <c r="D567" s="4" t="s">
        <v>42</v>
      </c>
      <c r="E567" s="4" t="s">
        <v>25</v>
      </c>
      <c r="F567" s="4" t="s">
        <v>25</v>
      </c>
      <c r="G567" s="4" t="s">
        <v>25</v>
      </c>
      <c r="H567" s="4" t="s">
        <v>25</v>
      </c>
      <c r="I567" s="5">
        <v>44593</v>
      </c>
      <c r="J567" s="6">
        <v>0</v>
      </c>
      <c r="K567" s="6">
        <v>0</v>
      </c>
      <c r="L567" s="6">
        <v>0.247</v>
      </c>
      <c r="M567" s="6">
        <v>0.247</v>
      </c>
      <c r="N567" s="6">
        <v>0.247</v>
      </c>
      <c r="O567" s="6">
        <v>0.247</v>
      </c>
      <c r="P567" s="6">
        <v>2</v>
      </c>
      <c r="Q567" s="4" t="s">
        <v>26</v>
      </c>
      <c r="R567" s="4">
        <v>0</v>
      </c>
      <c r="S567" s="6">
        <v>0</v>
      </c>
      <c r="T567" s="6">
        <v>30</v>
      </c>
      <c r="U567" s="6">
        <v>79</v>
      </c>
      <c r="V567" s="6">
        <f>IF(ISERROR(VLOOKUP($S$567,'TAR FIN'!$A$1:$O$88,15,0)),0,VLOOKUP($S$567,'TAR FIN'!$A$1:$O$88,15,0))</f>
        <v>0</v>
      </c>
      <c r="W567" s="6">
        <f>IF(ISERROR(VLOOKUP($T$567,'TAR FIN'!$A$1:$O$88,15,0)),0,VLOOKUP($T$567,'TAR FIN'!$A$1:$O$88,15,0))</f>
        <v>425.75</v>
      </c>
      <c r="X567" s="6">
        <f>IF(ISERROR(VLOOKUP($U$567,'TAR FIN'!$A$1:$O$88,15,0)),0,VLOOKUP($U$567,'TAR FIN'!$A$1:$O$88,15,0))</f>
        <v>252.22</v>
      </c>
      <c r="Y567" s="6"/>
      <c r="Z567" s="6">
        <f ca="1">('TUSD BE'!$AM$48+'TUSD BF'!$AM$48+'TUSD CVA'!$AM$48)*1</f>
        <v>487.85699036910154</v>
      </c>
      <c r="AA567" s="6">
        <f>('TE BE'!$AB$38+'TE BF'!$AB$38+'TE CVA'!$AB$38)*1</f>
        <v>251.92449556687748</v>
      </c>
      <c r="AB567" s="6">
        <f>$K$567*$V$567</f>
        <v>0</v>
      </c>
      <c r="AC567" s="6">
        <f>$M$567*$W$567</f>
        <v>105.16025</v>
      </c>
      <c r="AD567" s="6">
        <f>$O$567*$X$567</f>
        <v>62.298339999999996</v>
      </c>
      <c r="AE567" s="6">
        <f>$K$567*$Y$567</f>
        <v>0</v>
      </c>
      <c r="AF567" s="6">
        <f ca="1">$M$567*$Z$567</f>
        <v>120.50067662116808</v>
      </c>
      <c r="AG567" s="6">
        <f>$O$567*$AA$567</f>
        <v>62.225350405018737</v>
      </c>
    </row>
    <row r="568" spans="1:33" ht="11.25" customHeight="1" x14ac:dyDescent="0.25">
      <c r="A568" s="4" t="s">
        <v>21</v>
      </c>
      <c r="B568" s="4" t="s">
        <v>33</v>
      </c>
      <c r="C568" s="4" t="s">
        <v>23</v>
      </c>
      <c r="D568" s="4" t="s">
        <v>42</v>
      </c>
      <c r="E568" s="4" t="s">
        <v>25</v>
      </c>
      <c r="F568" s="4" t="s">
        <v>25</v>
      </c>
      <c r="G568" s="4" t="s">
        <v>25</v>
      </c>
      <c r="H568" s="4" t="s">
        <v>25</v>
      </c>
      <c r="I568" s="5">
        <v>44621</v>
      </c>
      <c r="J568" s="6">
        <v>0</v>
      </c>
      <c r="K568" s="6">
        <v>0</v>
      </c>
      <c r="L568" s="6">
        <v>237.785</v>
      </c>
      <c r="M568" s="6">
        <v>237.785</v>
      </c>
      <c r="N568" s="6">
        <v>237.785</v>
      </c>
      <c r="O568" s="6">
        <v>237.785</v>
      </c>
      <c r="P568" s="6">
        <v>379</v>
      </c>
      <c r="Q568" s="4" t="s">
        <v>26</v>
      </c>
      <c r="R568" s="4">
        <v>0</v>
      </c>
      <c r="S568" s="6">
        <v>0</v>
      </c>
      <c r="T568" s="6">
        <v>30</v>
      </c>
      <c r="U568" s="6">
        <v>79</v>
      </c>
      <c r="V568" s="6">
        <f>IF(ISERROR(VLOOKUP($S$568,'TAR FIN'!$A$1:$O$88,15,0)),0,VLOOKUP($S$568,'TAR FIN'!$A$1:$O$88,15,0))</f>
        <v>0</v>
      </c>
      <c r="W568" s="6">
        <f>IF(ISERROR(VLOOKUP($T$568,'TAR FIN'!$A$1:$O$88,15,0)),0,VLOOKUP($T$568,'TAR FIN'!$A$1:$O$88,15,0))</f>
        <v>425.75</v>
      </c>
      <c r="X568" s="6">
        <f>IF(ISERROR(VLOOKUP($U$568,'TAR FIN'!$A$1:$O$88,15,0)),0,VLOOKUP($U$568,'TAR FIN'!$A$1:$O$88,15,0))</f>
        <v>252.22</v>
      </c>
      <c r="Y568" s="6"/>
      <c r="Z568" s="6">
        <f ca="1">('TUSD BE'!$AM$48+'TUSD BF'!$AM$48+'TUSD CVA'!$AM$48)*1</f>
        <v>487.85699036910154</v>
      </c>
      <c r="AA568" s="6">
        <f>('TE BE'!$AB$38+'TE BF'!$AB$38+'TE CVA'!$AB$38)*1</f>
        <v>251.92449556687748</v>
      </c>
      <c r="AB568" s="6">
        <f>$K$568*$V$568</f>
        <v>0</v>
      </c>
      <c r="AC568" s="6">
        <f>$M$568*$W$568</f>
        <v>101236.96375</v>
      </c>
      <c r="AD568" s="6">
        <f>$O$568*$X$568</f>
        <v>59974.132700000002</v>
      </c>
      <c r="AE568" s="6">
        <f>$K$568*$Y$568</f>
        <v>0</v>
      </c>
      <c r="AF568" s="6">
        <f ca="1">$M$568*$Z$568</f>
        <v>116005.0744549168</v>
      </c>
      <c r="AG568" s="6">
        <f>$O$568*$AA$568</f>
        <v>59903.866178369964</v>
      </c>
    </row>
    <row r="569" spans="1:33" ht="11.25" customHeight="1" x14ac:dyDescent="0.25">
      <c r="A569" s="4" t="s">
        <v>28</v>
      </c>
      <c r="B569" s="4" t="s">
        <v>33</v>
      </c>
      <c r="C569" s="4" t="s">
        <v>23</v>
      </c>
      <c r="D569" s="4" t="s">
        <v>42</v>
      </c>
      <c r="E569" s="4" t="s">
        <v>25</v>
      </c>
      <c r="F569" s="4" t="s">
        <v>25</v>
      </c>
      <c r="G569" s="4" t="s">
        <v>25</v>
      </c>
      <c r="H569" s="4" t="s">
        <v>25</v>
      </c>
      <c r="I569" s="5">
        <v>44621</v>
      </c>
      <c r="J569" s="6">
        <v>0</v>
      </c>
      <c r="K569" s="6">
        <v>0</v>
      </c>
      <c r="L569" s="6">
        <v>3.319</v>
      </c>
      <c r="M569" s="6">
        <v>3.319</v>
      </c>
      <c r="N569" s="6">
        <v>3.319</v>
      </c>
      <c r="O569" s="6">
        <v>3.319</v>
      </c>
      <c r="P569" s="6">
        <v>3</v>
      </c>
      <c r="Q569" s="4" t="s">
        <v>26</v>
      </c>
      <c r="R569" s="4">
        <v>0</v>
      </c>
      <c r="S569" s="6">
        <v>0</v>
      </c>
      <c r="T569" s="6">
        <v>30</v>
      </c>
      <c r="U569" s="6">
        <v>79</v>
      </c>
      <c r="V569" s="6">
        <f>IF(ISERROR(VLOOKUP($S$569,'TAR FIN'!$A$1:$O$88,15,0)),0,VLOOKUP($S$569,'TAR FIN'!$A$1:$O$88,15,0))</f>
        <v>0</v>
      </c>
      <c r="W569" s="6">
        <f>IF(ISERROR(VLOOKUP($T$569,'TAR FIN'!$A$1:$O$88,15,0)),0,VLOOKUP($T$569,'TAR FIN'!$A$1:$O$88,15,0))</f>
        <v>425.75</v>
      </c>
      <c r="X569" s="6">
        <f>IF(ISERROR(VLOOKUP($U$569,'TAR FIN'!$A$1:$O$88,15,0)),0,VLOOKUP($U$569,'TAR FIN'!$A$1:$O$88,15,0))</f>
        <v>252.22</v>
      </c>
      <c r="Y569" s="6"/>
      <c r="Z569" s="6">
        <f ca="1">('TUSD BE'!$AM$48+'TUSD BF'!$AM$48+'TUSD CVA'!$AM$48)*1</f>
        <v>487.85699036910154</v>
      </c>
      <c r="AA569" s="6">
        <f>('TE BE'!$AB$38+'TE BF'!$AB$38+'TE CVA'!$AB$38)*1</f>
        <v>251.92449556687748</v>
      </c>
      <c r="AB569" s="6">
        <f>$K$569*$V$569</f>
        <v>0</v>
      </c>
      <c r="AC569" s="6">
        <f>$M$569*$W$569</f>
        <v>1413.0642499999999</v>
      </c>
      <c r="AD569" s="6">
        <f>$O$569*$X$569</f>
        <v>837.11817999999994</v>
      </c>
      <c r="AE569" s="6">
        <f>$K$569*$Y$569</f>
        <v>0</v>
      </c>
      <c r="AF569" s="6">
        <f ca="1">$M$569*$Z$569</f>
        <v>1619.1973510350481</v>
      </c>
      <c r="AG569" s="6">
        <f>$O$569*$AA$569</f>
        <v>836.1374007864664</v>
      </c>
    </row>
    <row r="570" spans="1:33" ht="11.25" customHeight="1" x14ac:dyDescent="0.25">
      <c r="A570" s="4" t="s">
        <v>21</v>
      </c>
      <c r="B570" s="4" t="s">
        <v>33</v>
      </c>
      <c r="C570" s="4" t="s">
        <v>23</v>
      </c>
      <c r="D570" s="4" t="s">
        <v>42</v>
      </c>
      <c r="E570" s="4" t="s">
        <v>25</v>
      </c>
      <c r="F570" s="4" t="s">
        <v>25</v>
      </c>
      <c r="G570" s="4" t="s">
        <v>25</v>
      </c>
      <c r="H570" s="4" t="s">
        <v>25</v>
      </c>
      <c r="I570" s="5">
        <v>44652</v>
      </c>
      <c r="J570" s="6">
        <v>0</v>
      </c>
      <c r="K570" s="6">
        <v>0</v>
      </c>
      <c r="L570" s="6">
        <v>196.91</v>
      </c>
      <c r="M570" s="6">
        <v>196.91</v>
      </c>
      <c r="N570" s="6">
        <v>196.91</v>
      </c>
      <c r="O570" s="6">
        <v>196.91</v>
      </c>
      <c r="P570" s="6">
        <v>379</v>
      </c>
      <c r="Q570" s="4" t="s">
        <v>26</v>
      </c>
      <c r="R570" s="4">
        <v>0</v>
      </c>
      <c r="S570" s="6">
        <v>0</v>
      </c>
      <c r="T570" s="6">
        <v>30</v>
      </c>
      <c r="U570" s="6">
        <v>79</v>
      </c>
      <c r="V570" s="6">
        <f>IF(ISERROR(VLOOKUP($S$570,'TAR FIN'!$A$1:$O$88,15,0)),0,VLOOKUP($S$570,'TAR FIN'!$A$1:$O$88,15,0))</f>
        <v>0</v>
      </c>
      <c r="W570" s="6">
        <f>IF(ISERROR(VLOOKUP($T$570,'TAR FIN'!$A$1:$O$88,15,0)),0,VLOOKUP($T$570,'TAR FIN'!$A$1:$O$88,15,0))</f>
        <v>425.75</v>
      </c>
      <c r="X570" s="6">
        <f>IF(ISERROR(VLOOKUP($U$570,'TAR FIN'!$A$1:$O$88,15,0)),0,VLOOKUP($U$570,'TAR FIN'!$A$1:$O$88,15,0))</f>
        <v>252.22</v>
      </c>
      <c r="Y570" s="6"/>
      <c r="Z570" s="6">
        <f ca="1">('TUSD BE'!$AM$48+'TUSD BF'!$AM$48+'TUSD CVA'!$AM$48)*1</f>
        <v>487.85699036910154</v>
      </c>
      <c r="AA570" s="6">
        <f>('TE BE'!$AB$38+'TE BF'!$AB$38+'TE CVA'!$AB$38)*1</f>
        <v>251.92449556687748</v>
      </c>
      <c r="AB570" s="6">
        <f>$K$570*$V$570</f>
        <v>0</v>
      </c>
      <c r="AC570" s="6">
        <f>$M$570*$W$570</f>
        <v>83834.432499999995</v>
      </c>
      <c r="AD570" s="6">
        <f>$O$570*$X$570</f>
        <v>49664.640200000002</v>
      </c>
      <c r="AE570" s="6">
        <f>$K$570*$Y$570</f>
        <v>0</v>
      </c>
      <c r="AF570" s="6">
        <f ca="1">$M$570*$Z$570</f>
        <v>96063.919973579788</v>
      </c>
      <c r="AG570" s="6">
        <f>$O$570*$AA$570</f>
        <v>49606.452422073846</v>
      </c>
    </row>
    <row r="571" spans="1:33" ht="11.25" customHeight="1" x14ac:dyDescent="0.25">
      <c r="A571" s="4" t="s">
        <v>27</v>
      </c>
      <c r="B571" s="4" t="s">
        <v>33</v>
      </c>
      <c r="C571" s="4" t="s">
        <v>23</v>
      </c>
      <c r="D571" s="4" t="s">
        <v>42</v>
      </c>
      <c r="E571" s="4" t="s">
        <v>25</v>
      </c>
      <c r="F571" s="4" t="s">
        <v>25</v>
      </c>
      <c r="G571" s="4" t="s">
        <v>25</v>
      </c>
      <c r="H571" s="4" t="s">
        <v>25</v>
      </c>
      <c r="I571" s="5">
        <v>44652</v>
      </c>
      <c r="J571" s="6">
        <v>0</v>
      </c>
      <c r="K571" s="6">
        <v>0</v>
      </c>
      <c r="L571" s="6">
        <v>-0.03</v>
      </c>
      <c r="M571" s="6">
        <v>-0.03</v>
      </c>
      <c r="N571" s="6">
        <v>-0.03</v>
      </c>
      <c r="O571" s="6">
        <v>-0.03</v>
      </c>
      <c r="P571" s="6">
        <v>0</v>
      </c>
      <c r="Q571" s="4" t="s">
        <v>26</v>
      </c>
      <c r="R571" s="4">
        <v>0</v>
      </c>
      <c r="S571" s="6">
        <v>0</v>
      </c>
      <c r="T571" s="6">
        <v>30</v>
      </c>
      <c r="U571" s="6">
        <v>79</v>
      </c>
      <c r="V571" s="6">
        <f>IF(ISERROR(VLOOKUP($S$571,'TAR FIN'!$A$1:$O$88,15,0)),0,VLOOKUP($S$571,'TAR FIN'!$A$1:$O$88,15,0))</f>
        <v>0</v>
      </c>
      <c r="W571" s="6">
        <f>IF(ISERROR(VLOOKUP($T$571,'TAR FIN'!$A$1:$O$88,15,0)),0,VLOOKUP($T$571,'TAR FIN'!$A$1:$O$88,15,0))</f>
        <v>425.75</v>
      </c>
      <c r="X571" s="6">
        <f>IF(ISERROR(VLOOKUP($U$571,'TAR FIN'!$A$1:$O$88,15,0)),0,VLOOKUP($U$571,'TAR FIN'!$A$1:$O$88,15,0))</f>
        <v>252.22</v>
      </c>
      <c r="Y571" s="6"/>
      <c r="Z571" s="6">
        <f ca="1">('TUSD BE'!$AM$48+'TUSD BF'!$AM$48+'TUSD CVA'!$AM$48)*1</f>
        <v>487.85699036910154</v>
      </c>
      <c r="AA571" s="6">
        <f>('TE BE'!$AB$38+'TE BF'!$AB$38+'TE CVA'!$AB$38)*1</f>
        <v>251.92449556687748</v>
      </c>
      <c r="AB571" s="6">
        <f>$K$571*$V$571</f>
        <v>0</v>
      </c>
      <c r="AC571" s="6">
        <f>$M$571*$W$571</f>
        <v>-12.772499999999999</v>
      </c>
      <c r="AD571" s="6">
        <f>$O$571*$X$571</f>
        <v>-7.5665999999999993</v>
      </c>
      <c r="AE571" s="6">
        <f>$K$571*$Y$571</f>
        <v>0</v>
      </c>
      <c r="AF571" s="6">
        <f ca="1">$M$571*$Z$571</f>
        <v>-14.635709711073046</v>
      </c>
      <c r="AG571" s="6">
        <f>$O$571*$AA$571</f>
        <v>-7.5577348670063245</v>
      </c>
    </row>
    <row r="572" spans="1:33" ht="11.25" customHeight="1" x14ac:dyDescent="0.25">
      <c r="A572" s="4" t="s">
        <v>28</v>
      </c>
      <c r="B572" s="4" t="s">
        <v>33</v>
      </c>
      <c r="C572" s="4" t="s">
        <v>23</v>
      </c>
      <c r="D572" s="4" t="s">
        <v>42</v>
      </c>
      <c r="E572" s="4" t="s">
        <v>25</v>
      </c>
      <c r="F572" s="4" t="s">
        <v>25</v>
      </c>
      <c r="G572" s="4" t="s">
        <v>25</v>
      </c>
      <c r="H572" s="4" t="s">
        <v>25</v>
      </c>
      <c r="I572" s="5">
        <v>44652</v>
      </c>
      <c r="J572" s="6">
        <v>0</v>
      </c>
      <c r="K572" s="6">
        <v>0</v>
      </c>
      <c r="L572" s="6">
        <v>2.5739999999999998</v>
      </c>
      <c r="M572" s="6">
        <v>2.5739999999999998</v>
      </c>
      <c r="N572" s="6">
        <v>2.5739999999999998</v>
      </c>
      <c r="O572" s="6">
        <v>2.5739999999999998</v>
      </c>
      <c r="P572" s="6">
        <v>3</v>
      </c>
      <c r="Q572" s="4" t="s">
        <v>26</v>
      </c>
      <c r="R572" s="4">
        <v>0</v>
      </c>
      <c r="S572" s="6">
        <v>0</v>
      </c>
      <c r="T572" s="6">
        <v>30</v>
      </c>
      <c r="U572" s="6">
        <v>79</v>
      </c>
      <c r="V572" s="6">
        <f>IF(ISERROR(VLOOKUP($S$572,'TAR FIN'!$A$1:$O$88,15,0)),0,VLOOKUP($S$572,'TAR FIN'!$A$1:$O$88,15,0))</f>
        <v>0</v>
      </c>
      <c r="W572" s="6">
        <f>IF(ISERROR(VLOOKUP($T$572,'TAR FIN'!$A$1:$O$88,15,0)),0,VLOOKUP($T$572,'TAR FIN'!$A$1:$O$88,15,0))</f>
        <v>425.75</v>
      </c>
      <c r="X572" s="6">
        <f>IF(ISERROR(VLOOKUP($U$572,'TAR FIN'!$A$1:$O$88,15,0)),0,VLOOKUP($U$572,'TAR FIN'!$A$1:$O$88,15,0))</f>
        <v>252.22</v>
      </c>
      <c r="Y572" s="6"/>
      <c r="Z572" s="6">
        <f ca="1">('TUSD BE'!$AM$48+'TUSD BF'!$AM$48+'TUSD CVA'!$AM$48)*1</f>
        <v>487.85699036910154</v>
      </c>
      <c r="AA572" s="6">
        <f>('TE BE'!$AB$38+'TE BF'!$AB$38+'TE CVA'!$AB$38)*1</f>
        <v>251.92449556687748</v>
      </c>
      <c r="AB572" s="6">
        <f>$K$572*$V$572</f>
        <v>0</v>
      </c>
      <c r="AC572" s="6">
        <f>$M$572*$W$572</f>
        <v>1095.8805</v>
      </c>
      <c r="AD572" s="6">
        <f>$O$572*$X$572</f>
        <v>649.21427999999992</v>
      </c>
      <c r="AE572" s="6">
        <f>$K$572*$Y$572</f>
        <v>0</v>
      </c>
      <c r="AF572" s="6">
        <f ca="1">$M$572*$Z$572</f>
        <v>1255.7438932100672</v>
      </c>
      <c r="AG572" s="6">
        <f>$O$572*$AA$572</f>
        <v>648.45365158914262</v>
      </c>
    </row>
    <row r="573" spans="1:33" ht="11.25" customHeight="1" x14ac:dyDescent="0.25">
      <c r="A573" s="4" t="s">
        <v>21</v>
      </c>
      <c r="B573" s="4" t="s">
        <v>33</v>
      </c>
      <c r="C573" s="4" t="s">
        <v>23</v>
      </c>
      <c r="D573" s="4" t="s">
        <v>42</v>
      </c>
      <c r="E573" s="4" t="s">
        <v>25</v>
      </c>
      <c r="F573" s="4" t="s">
        <v>25</v>
      </c>
      <c r="G573" s="4" t="s">
        <v>25</v>
      </c>
      <c r="H573" s="4" t="s">
        <v>25</v>
      </c>
      <c r="I573" s="5">
        <v>44682</v>
      </c>
      <c r="J573" s="6">
        <v>0</v>
      </c>
      <c r="K573" s="6">
        <v>0</v>
      </c>
      <c r="L573" s="6">
        <v>200.042</v>
      </c>
      <c r="M573" s="6">
        <v>200.042</v>
      </c>
      <c r="N573" s="6">
        <v>200.042</v>
      </c>
      <c r="O573" s="6">
        <v>200.042</v>
      </c>
      <c r="P573" s="6">
        <v>376</v>
      </c>
      <c r="Q573" s="4" t="s">
        <v>26</v>
      </c>
      <c r="R573" s="4">
        <v>0</v>
      </c>
      <c r="S573" s="6">
        <v>0</v>
      </c>
      <c r="T573" s="6">
        <v>30</v>
      </c>
      <c r="U573" s="6">
        <v>79</v>
      </c>
      <c r="V573" s="6">
        <f>IF(ISERROR(VLOOKUP($S$573,'TAR FIN'!$A$1:$O$88,15,0)),0,VLOOKUP($S$573,'TAR FIN'!$A$1:$O$88,15,0))</f>
        <v>0</v>
      </c>
      <c r="W573" s="6">
        <f>IF(ISERROR(VLOOKUP($T$573,'TAR FIN'!$A$1:$O$88,15,0)),0,VLOOKUP($T$573,'TAR FIN'!$A$1:$O$88,15,0))</f>
        <v>425.75</v>
      </c>
      <c r="X573" s="6">
        <f>IF(ISERROR(VLOOKUP($U$573,'TAR FIN'!$A$1:$O$88,15,0)),0,VLOOKUP($U$573,'TAR FIN'!$A$1:$O$88,15,0))</f>
        <v>252.22</v>
      </c>
      <c r="Y573" s="6"/>
      <c r="Z573" s="6">
        <f ca="1">('TUSD BE'!$AM$48+'TUSD BF'!$AM$48+'TUSD CVA'!$AM$48)*1</f>
        <v>487.85699036910154</v>
      </c>
      <c r="AA573" s="6">
        <f>('TE BE'!$AB$38+'TE BF'!$AB$38+'TE CVA'!$AB$38)*1</f>
        <v>251.92449556687748</v>
      </c>
      <c r="AB573" s="6">
        <f>$K$573*$V$573</f>
        <v>0</v>
      </c>
      <c r="AC573" s="6">
        <f>$M$573*$W$573</f>
        <v>85167.881500000003</v>
      </c>
      <c r="AD573" s="6">
        <f>$O$573*$X$573</f>
        <v>50454.593240000002</v>
      </c>
      <c r="AE573" s="6">
        <f>$K$573*$Y$573</f>
        <v>0</v>
      </c>
      <c r="AF573" s="6">
        <f ca="1">$M$573*$Z$573</f>
        <v>97591.888067415814</v>
      </c>
      <c r="AG573" s="6">
        <f>$O$573*$AA$573</f>
        <v>50395.479942189304</v>
      </c>
    </row>
    <row r="574" spans="1:33" ht="11.25" customHeight="1" x14ac:dyDescent="0.25">
      <c r="A574" s="4" t="s">
        <v>28</v>
      </c>
      <c r="B574" s="4" t="s">
        <v>33</v>
      </c>
      <c r="C574" s="4" t="s">
        <v>23</v>
      </c>
      <c r="D574" s="4" t="s">
        <v>42</v>
      </c>
      <c r="E574" s="4" t="s">
        <v>25</v>
      </c>
      <c r="F574" s="4" t="s">
        <v>25</v>
      </c>
      <c r="G574" s="4" t="s">
        <v>25</v>
      </c>
      <c r="H574" s="4" t="s">
        <v>25</v>
      </c>
      <c r="I574" s="5">
        <v>44682</v>
      </c>
      <c r="J574" s="6">
        <v>0</v>
      </c>
      <c r="K574" s="6">
        <v>0</v>
      </c>
      <c r="L574" s="6">
        <v>2.14</v>
      </c>
      <c r="M574" s="6">
        <v>2.14</v>
      </c>
      <c r="N574" s="6">
        <v>2.14</v>
      </c>
      <c r="O574" s="6">
        <v>2.14</v>
      </c>
      <c r="P574" s="6">
        <v>5</v>
      </c>
      <c r="Q574" s="4" t="s">
        <v>26</v>
      </c>
      <c r="R574" s="4">
        <v>0</v>
      </c>
      <c r="S574" s="6">
        <v>0</v>
      </c>
      <c r="T574" s="6">
        <v>30</v>
      </c>
      <c r="U574" s="6">
        <v>79</v>
      </c>
      <c r="V574" s="6">
        <f>IF(ISERROR(VLOOKUP($S$574,'TAR FIN'!$A$1:$O$88,15,0)),0,VLOOKUP($S$574,'TAR FIN'!$A$1:$O$88,15,0))</f>
        <v>0</v>
      </c>
      <c r="W574" s="6">
        <f>IF(ISERROR(VLOOKUP($T$574,'TAR FIN'!$A$1:$O$88,15,0)),0,VLOOKUP($T$574,'TAR FIN'!$A$1:$O$88,15,0))</f>
        <v>425.75</v>
      </c>
      <c r="X574" s="6">
        <f>IF(ISERROR(VLOOKUP($U$574,'TAR FIN'!$A$1:$O$88,15,0)),0,VLOOKUP($U$574,'TAR FIN'!$A$1:$O$88,15,0))</f>
        <v>252.22</v>
      </c>
      <c r="Y574" s="6"/>
      <c r="Z574" s="6">
        <f ca="1">('TUSD BE'!$AM$48+'TUSD BF'!$AM$48+'TUSD CVA'!$AM$48)*1</f>
        <v>487.85699036910154</v>
      </c>
      <c r="AA574" s="6">
        <f>('TE BE'!$AB$38+'TE BF'!$AB$38+'TE CVA'!$AB$38)*1</f>
        <v>251.92449556687748</v>
      </c>
      <c r="AB574" s="6">
        <f>$K$574*$V$574</f>
        <v>0</v>
      </c>
      <c r="AC574" s="6">
        <f>$M$574*$W$574</f>
        <v>911.10500000000002</v>
      </c>
      <c r="AD574" s="6">
        <f>$O$574*$X$574</f>
        <v>539.75080000000003</v>
      </c>
      <c r="AE574" s="6">
        <f>$K$574*$Y$574</f>
        <v>0</v>
      </c>
      <c r="AF574" s="6">
        <f ca="1">$M$574*$Z$574</f>
        <v>1044.0139593898773</v>
      </c>
      <c r="AG574" s="6">
        <f>$O$574*$AA$574</f>
        <v>539.11842051311783</v>
      </c>
    </row>
    <row r="575" spans="1:33" ht="11.25" customHeight="1" x14ac:dyDescent="0.25">
      <c r="A575" s="4" t="s">
        <v>21</v>
      </c>
      <c r="B575" s="4" t="s">
        <v>33</v>
      </c>
      <c r="C575" s="4" t="s">
        <v>23</v>
      </c>
      <c r="D575" s="4" t="s">
        <v>42</v>
      </c>
      <c r="E575" s="4" t="s">
        <v>25</v>
      </c>
      <c r="F575" s="4" t="s">
        <v>25</v>
      </c>
      <c r="G575" s="4" t="s">
        <v>25</v>
      </c>
      <c r="H575" s="4" t="s">
        <v>25</v>
      </c>
      <c r="I575" s="5">
        <v>44713</v>
      </c>
      <c r="J575" s="6">
        <v>0</v>
      </c>
      <c r="K575" s="6">
        <v>0</v>
      </c>
      <c r="L575" s="6">
        <v>212.386</v>
      </c>
      <c r="M575" s="6">
        <v>212.386</v>
      </c>
      <c r="N575" s="6">
        <v>212.386</v>
      </c>
      <c r="O575" s="6">
        <v>212.386</v>
      </c>
      <c r="P575" s="6">
        <v>379</v>
      </c>
      <c r="Q575" s="4" t="s">
        <v>26</v>
      </c>
      <c r="R575" s="4">
        <v>0</v>
      </c>
      <c r="S575" s="6">
        <v>0</v>
      </c>
      <c r="T575" s="6">
        <v>30</v>
      </c>
      <c r="U575" s="6">
        <v>79</v>
      </c>
      <c r="V575" s="6">
        <f>IF(ISERROR(VLOOKUP($S$575,'TAR FIN'!$A$1:$O$88,15,0)),0,VLOOKUP($S$575,'TAR FIN'!$A$1:$O$88,15,0))</f>
        <v>0</v>
      </c>
      <c r="W575" s="6">
        <f>IF(ISERROR(VLOOKUP($T$575,'TAR FIN'!$A$1:$O$88,15,0)),0,VLOOKUP($T$575,'TAR FIN'!$A$1:$O$88,15,0))</f>
        <v>425.75</v>
      </c>
      <c r="X575" s="6">
        <f>IF(ISERROR(VLOOKUP($U$575,'TAR FIN'!$A$1:$O$88,15,0)),0,VLOOKUP($U$575,'TAR FIN'!$A$1:$O$88,15,0))</f>
        <v>252.22</v>
      </c>
      <c r="Y575" s="6"/>
      <c r="Z575" s="6">
        <f ca="1">('TUSD BE'!$AM$48+'TUSD BF'!$AM$48+'TUSD CVA'!$AM$48)*1</f>
        <v>487.85699036910154</v>
      </c>
      <c r="AA575" s="6">
        <f>('TE BE'!$AB$38+'TE BF'!$AB$38+'TE CVA'!$AB$38)*1</f>
        <v>251.92449556687748</v>
      </c>
      <c r="AB575" s="6">
        <f>$K$575*$V$575</f>
        <v>0</v>
      </c>
      <c r="AC575" s="6">
        <f>$M$575*$W$575</f>
        <v>90423.339500000002</v>
      </c>
      <c r="AD575" s="6">
        <f>$O$575*$X$575</f>
        <v>53567.996919999998</v>
      </c>
      <c r="AE575" s="6">
        <f>$K$575*$Y$575</f>
        <v>0</v>
      </c>
      <c r="AF575" s="6">
        <f ca="1">$M$575*$Z$575</f>
        <v>103613.994756532</v>
      </c>
      <c r="AG575" s="6">
        <f>$O$575*$AA$575</f>
        <v>53505.235915466837</v>
      </c>
    </row>
    <row r="576" spans="1:33" ht="11.25" customHeight="1" x14ac:dyDescent="0.25">
      <c r="A576" s="4" t="s">
        <v>28</v>
      </c>
      <c r="B576" s="4" t="s">
        <v>33</v>
      </c>
      <c r="C576" s="4" t="s">
        <v>23</v>
      </c>
      <c r="D576" s="4" t="s">
        <v>42</v>
      </c>
      <c r="E576" s="4" t="s">
        <v>25</v>
      </c>
      <c r="F576" s="4" t="s">
        <v>25</v>
      </c>
      <c r="G576" s="4" t="s">
        <v>25</v>
      </c>
      <c r="H576" s="4" t="s">
        <v>25</v>
      </c>
      <c r="I576" s="5">
        <v>44713</v>
      </c>
      <c r="J576" s="6">
        <v>0</v>
      </c>
      <c r="K576" s="6">
        <v>0</v>
      </c>
      <c r="L576" s="6">
        <v>3.419</v>
      </c>
      <c r="M576" s="6">
        <v>3.419</v>
      </c>
      <c r="N576" s="6">
        <v>3.419</v>
      </c>
      <c r="O576" s="6">
        <v>3.419</v>
      </c>
      <c r="P576" s="6">
        <v>5</v>
      </c>
      <c r="Q576" s="4" t="s">
        <v>26</v>
      </c>
      <c r="R576" s="4">
        <v>0</v>
      </c>
      <c r="S576" s="6">
        <v>0</v>
      </c>
      <c r="T576" s="6">
        <v>30</v>
      </c>
      <c r="U576" s="6">
        <v>79</v>
      </c>
      <c r="V576" s="6">
        <f>IF(ISERROR(VLOOKUP($S$576,'TAR FIN'!$A$1:$O$88,15,0)),0,VLOOKUP($S$576,'TAR FIN'!$A$1:$O$88,15,0))</f>
        <v>0</v>
      </c>
      <c r="W576" s="6">
        <f>IF(ISERROR(VLOOKUP($T$576,'TAR FIN'!$A$1:$O$88,15,0)),0,VLOOKUP($T$576,'TAR FIN'!$A$1:$O$88,15,0))</f>
        <v>425.75</v>
      </c>
      <c r="X576" s="6">
        <f>IF(ISERROR(VLOOKUP($U$576,'TAR FIN'!$A$1:$O$88,15,0)),0,VLOOKUP($U$576,'TAR FIN'!$A$1:$O$88,15,0))</f>
        <v>252.22</v>
      </c>
      <c r="Y576" s="6"/>
      <c r="Z576" s="6">
        <f ca="1">('TUSD BE'!$AM$48+'TUSD BF'!$AM$48+'TUSD CVA'!$AM$48)*1</f>
        <v>487.85699036910154</v>
      </c>
      <c r="AA576" s="6">
        <f>('TE BE'!$AB$38+'TE BF'!$AB$38+'TE CVA'!$AB$38)*1</f>
        <v>251.92449556687748</v>
      </c>
      <c r="AB576" s="6">
        <f>$K$576*$V$576</f>
        <v>0</v>
      </c>
      <c r="AC576" s="6">
        <f>$M$576*$W$576</f>
        <v>1455.6392499999999</v>
      </c>
      <c r="AD576" s="6">
        <f>$O$576*$X$576</f>
        <v>862.34018000000003</v>
      </c>
      <c r="AE576" s="6">
        <f>$K$576*$Y$576</f>
        <v>0</v>
      </c>
      <c r="AF576" s="6">
        <f ca="1">$M$576*$Z$576</f>
        <v>1667.9830500719581</v>
      </c>
      <c r="AG576" s="6">
        <f>$O$576*$AA$576</f>
        <v>861.32985034315413</v>
      </c>
    </row>
    <row r="577" spans="1:33" ht="11.25" customHeight="1" x14ac:dyDescent="0.25">
      <c r="A577" s="4" t="s">
        <v>21</v>
      </c>
      <c r="B577" s="4" t="s">
        <v>33</v>
      </c>
      <c r="C577" s="4" t="s">
        <v>23</v>
      </c>
      <c r="D577" s="4" t="s">
        <v>46</v>
      </c>
      <c r="E577" s="4" t="s">
        <v>47</v>
      </c>
      <c r="F577" s="4" t="s">
        <v>25</v>
      </c>
      <c r="G577" s="4" t="s">
        <v>25</v>
      </c>
      <c r="H577" s="4" t="s">
        <v>25</v>
      </c>
      <c r="I577" s="5">
        <v>44378</v>
      </c>
      <c r="J577" s="6">
        <v>0</v>
      </c>
      <c r="K577" s="52">
        <v>0</v>
      </c>
      <c r="L577" s="6">
        <v>79.802999999999997</v>
      </c>
      <c r="M577" s="52">
        <v>79.802999999999997</v>
      </c>
      <c r="N577" s="6">
        <v>79.802999999999997</v>
      </c>
      <c r="O577" s="52">
        <v>79.802999999999997</v>
      </c>
      <c r="P577" s="6">
        <v>28</v>
      </c>
      <c r="Q577" s="4" t="s">
        <v>26</v>
      </c>
      <c r="R577" s="4">
        <v>0</v>
      </c>
      <c r="S577" s="6">
        <v>0</v>
      </c>
      <c r="T577" s="6">
        <v>30</v>
      </c>
      <c r="U577" s="6">
        <v>79</v>
      </c>
      <c r="V577" s="52">
        <f>IF(ISERROR(VLOOKUP($S$577,'TAR FIN'!$A$1:$O$88,15,0)),0,VLOOKUP($S$577,'TAR FIN'!$A$1:$O$88,15,0))</f>
        <v>0</v>
      </c>
      <c r="W577" s="52">
        <f>IF(ISERROR(VLOOKUP($T$577,'TAR FIN'!$A$1:$O$88,15,0)),0,VLOOKUP($T$577,'TAR FIN'!$A$1:$O$88,15,0))*(1-0.06)</f>
        <v>400.20499999999998</v>
      </c>
      <c r="X577" s="52">
        <f>IF(ISERROR(VLOOKUP($U$577,'TAR FIN'!$A$1:$O$88,15,0)),0,VLOOKUP($U$577,'TAR FIN'!$A$1:$O$88,15,0))*(1-0.06)</f>
        <v>237.08679999999998</v>
      </c>
      <c r="Y577" s="52"/>
      <c r="Z577" s="52">
        <f ca="1">('TUSD BE'!$AM$48+'TUSD BF'!$AM$48+'TUSD CVA'!$AM$48)*1*(1-0.03)</f>
        <v>473.22128065802849</v>
      </c>
      <c r="AA577" s="52">
        <f>('TE BE'!$AB$38+'TE BF'!$AB$38+'TE CVA'!$AB$38)*1*(1-0.03)</f>
        <v>244.36676069987115</v>
      </c>
      <c r="AB577" s="6">
        <f>$K$577*$V$577</f>
        <v>0</v>
      </c>
      <c r="AC577" s="6">
        <f>$M$577*$W$577</f>
        <v>31937.559614999998</v>
      </c>
      <c r="AD577" s="6">
        <f>$O$577*$X$577</f>
        <v>18920.237900399999</v>
      </c>
      <c r="AE577" s="6">
        <f>$K$577*$Y$577</f>
        <v>0</v>
      </c>
      <c r="AF577" s="6">
        <f ca="1">$M$577*$Z$577</f>
        <v>37764.477860352643</v>
      </c>
      <c r="AG577" s="6">
        <f>$O$577*$AA$577</f>
        <v>19501.200604131816</v>
      </c>
    </row>
    <row r="578" spans="1:33" ht="11.25" customHeight="1" x14ac:dyDescent="0.25">
      <c r="A578" s="4" t="s">
        <v>21</v>
      </c>
      <c r="B578" s="4" t="s">
        <v>33</v>
      </c>
      <c r="C578" s="4" t="s">
        <v>23</v>
      </c>
      <c r="D578" s="4" t="s">
        <v>46</v>
      </c>
      <c r="E578" s="4" t="s">
        <v>47</v>
      </c>
      <c r="F578" s="4" t="s">
        <v>25</v>
      </c>
      <c r="G578" s="4" t="s">
        <v>25</v>
      </c>
      <c r="H578" s="4" t="s">
        <v>25</v>
      </c>
      <c r="I578" s="5">
        <v>44409</v>
      </c>
      <c r="J578" s="6">
        <v>0</v>
      </c>
      <c r="K578" s="52">
        <v>0</v>
      </c>
      <c r="L578" s="6">
        <v>78.555999999999997</v>
      </c>
      <c r="M578" s="52">
        <v>78.555999999999997</v>
      </c>
      <c r="N578" s="6">
        <v>78.555999999999997</v>
      </c>
      <c r="O578" s="52">
        <v>78.555999999999997</v>
      </c>
      <c r="P578" s="6">
        <v>28</v>
      </c>
      <c r="Q578" s="4" t="s">
        <v>26</v>
      </c>
      <c r="R578" s="4">
        <v>0</v>
      </c>
      <c r="S578" s="6">
        <v>0</v>
      </c>
      <c r="T578" s="6">
        <v>30</v>
      </c>
      <c r="U578" s="6">
        <v>79</v>
      </c>
      <c r="V578" s="52">
        <f>IF(ISERROR(VLOOKUP($S$578,'TAR FIN'!$A$1:$O$88,15,0)),0,VLOOKUP($S$578,'TAR FIN'!$A$1:$O$88,15,0))</f>
        <v>0</v>
      </c>
      <c r="W578" s="52">
        <f>IF(ISERROR(VLOOKUP($T$578,'TAR FIN'!$A$1:$O$88,15,0)),0,VLOOKUP($T$578,'TAR FIN'!$A$1:$O$88,15,0))*(1-0.06)</f>
        <v>400.20499999999998</v>
      </c>
      <c r="X578" s="52">
        <f>IF(ISERROR(VLOOKUP($U$578,'TAR FIN'!$A$1:$O$88,15,0)),0,VLOOKUP($U$578,'TAR FIN'!$A$1:$O$88,15,0))*(1-0.06)</f>
        <v>237.08679999999998</v>
      </c>
      <c r="Y578" s="52"/>
      <c r="Z578" s="52">
        <f ca="1">('TUSD BE'!$AM$48+'TUSD BF'!$AM$48+'TUSD CVA'!$AM$48)*1*(1-0.03)</f>
        <v>473.22128065802849</v>
      </c>
      <c r="AA578" s="52">
        <f>('TE BE'!$AB$38+'TE BF'!$AB$38+'TE CVA'!$AB$38)*1*(1-0.03)</f>
        <v>244.36676069987115</v>
      </c>
      <c r="AB578" s="6">
        <f>$K$578*$V$578</f>
        <v>0</v>
      </c>
      <c r="AC578" s="6">
        <f>$M$578*$W$578</f>
        <v>31438.503979999998</v>
      </c>
      <c r="AD578" s="6">
        <f>$O$578*$X$578</f>
        <v>18624.590660799997</v>
      </c>
      <c r="AE578" s="6">
        <f>$K$578*$Y$578</f>
        <v>0</v>
      </c>
      <c r="AF578" s="6">
        <f ca="1">$M$578*$Z$578</f>
        <v>37174.370923372087</v>
      </c>
      <c r="AG578" s="6">
        <f>$O$578*$AA$578</f>
        <v>19196.475253539076</v>
      </c>
    </row>
    <row r="579" spans="1:33" ht="11.25" customHeight="1" x14ac:dyDescent="0.25">
      <c r="A579" s="4" t="s">
        <v>21</v>
      </c>
      <c r="B579" s="4" t="s">
        <v>33</v>
      </c>
      <c r="C579" s="4" t="s">
        <v>23</v>
      </c>
      <c r="D579" s="4" t="s">
        <v>46</v>
      </c>
      <c r="E579" s="4" t="s">
        <v>47</v>
      </c>
      <c r="F579" s="4" t="s">
        <v>25</v>
      </c>
      <c r="G579" s="4" t="s">
        <v>25</v>
      </c>
      <c r="H579" s="4" t="s">
        <v>25</v>
      </c>
      <c r="I579" s="5">
        <v>44440</v>
      </c>
      <c r="J579" s="6">
        <v>0</v>
      </c>
      <c r="K579" s="52">
        <v>0</v>
      </c>
      <c r="L579" s="6">
        <v>79.253</v>
      </c>
      <c r="M579" s="52">
        <v>79.253</v>
      </c>
      <c r="N579" s="6">
        <v>79.253</v>
      </c>
      <c r="O579" s="52">
        <v>79.253</v>
      </c>
      <c r="P579" s="6">
        <v>28</v>
      </c>
      <c r="Q579" s="4" t="s">
        <v>26</v>
      </c>
      <c r="R579" s="4">
        <v>0</v>
      </c>
      <c r="S579" s="6">
        <v>0</v>
      </c>
      <c r="T579" s="6">
        <v>30</v>
      </c>
      <c r="U579" s="6">
        <v>79</v>
      </c>
      <c r="V579" s="52">
        <f>IF(ISERROR(VLOOKUP($S$579,'TAR FIN'!$A$1:$O$88,15,0)),0,VLOOKUP($S$579,'TAR FIN'!$A$1:$O$88,15,0))</f>
        <v>0</v>
      </c>
      <c r="W579" s="52">
        <f>IF(ISERROR(VLOOKUP($T$579,'TAR FIN'!$A$1:$O$88,15,0)),0,VLOOKUP($T$579,'TAR FIN'!$A$1:$O$88,15,0))*(1-0.06)</f>
        <v>400.20499999999998</v>
      </c>
      <c r="X579" s="52">
        <f>IF(ISERROR(VLOOKUP($U$579,'TAR FIN'!$A$1:$O$88,15,0)),0,VLOOKUP($U$579,'TAR FIN'!$A$1:$O$88,15,0))*(1-0.06)</f>
        <v>237.08679999999998</v>
      </c>
      <c r="Y579" s="52"/>
      <c r="Z579" s="52">
        <f ca="1">('TUSD BE'!$AM$48+'TUSD BF'!$AM$48+'TUSD CVA'!$AM$48)*1*(1-0.03)</f>
        <v>473.22128065802849</v>
      </c>
      <c r="AA579" s="52">
        <f>('TE BE'!$AB$38+'TE BF'!$AB$38+'TE CVA'!$AB$38)*1*(1-0.03)</f>
        <v>244.36676069987115</v>
      </c>
      <c r="AB579" s="6">
        <f>$K$579*$V$579</f>
        <v>0</v>
      </c>
      <c r="AC579" s="6">
        <f>$M$579*$W$579</f>
        <v>31717.446864999998</v>
      </c>
      <c r="AD579" s="6">
        <f>$O$579*$X$579</f>
        <v>18789.840160399999</v>
      </c>
      <c r="AE579" s="6">
        <f>$K$579*$Y$579</f>
        <v>0</v>
      </c>
      <c r="AF579" s="6">
        <f ca="1">$M$579*$Z$579</f>
        <v>37504.206155990731</v>
      </c>
      <c r="AG579" s="6">
        <f>$O$579*$AA$579</f>
        <v>19366.798885746888</v>
      </c>
    </row>
    <row r="580" spans="1:33" ht="11.25" customHeight="1" x14ac:dyDescent="0.25">
      <c r="A580" s="4" t="s">
        <v>21</v>
      </c>
      <c r="B580" s="4" t="s">
        <v>33</v>
      </c>
      <c r="C580" s="4" t="s">
        <v>23</v>
      </c>
      <c r="D580" s="4" t="s">
        <v>46</v>
      </c>
      <c r="E580" s="4" t="s">
        <v>47</v>
      </c>
      <c r="F580" s="4" t="s">
        <v>25</v>
      </c>
      <c r="G580" s="4" t="s">
        <v>25</v>
      </c>
      <c r="H580" s="4" t="s">
        <v>25</v>
      </c>
      <c r="I580" s="5">
        <v>44470</v>
      </c>
      <c r="J580" s="6">
        <v>0</v>
      </c>
      <c r="K580" s="52">
        <v>0</v>
      </c>
      <c r="L580" s="6">
        <v>77.802999999999997</v>
      </c>
      <c r="M580" s="52">
        <v>77.802999999999997</v>
      </c>
      <c r="N580" s="6">
        <v>77.802999999999997</v>
      </c>
      <c r="O580" s="52">
        <v>77.802999999999997</v>
      </c>
      <c r="P580" s="6">
        <v>28</v>
      </c>
      <c r="Q580" s="4" t="s">
        <v>26</v>
      </c>
      <c r="R580" s="4">
        <v>0</v>
      </c>
      <c r="S580" s="6">
        <v>0</v>
      </c>
      <c r="T580" s="6">
        <v>30</v>
      </c>
      <c r="U580" s="6">
        <v>79</v>
      </c>
      <c r="V580" s="52">
        <f>IF(ISERROR(VLOOKUP($S$580,'TAR FIN'!$A$1:$O$88,15,0)),0,VLOOKUP($S$580,'TAR FIN'!$A$1:$O$88,15,0))</f>
        <v>0</v>
      </c>
      <c r="W580" s="52">
        <f>IF(ISERROR(VLOOKUP($T$580,'TAR FIN'!$A$1:$O$88,15,0)),0,VLOOKUP($T$580,'TAR FIN'!$A$1:$O$88,15,0))*(1-0.06)</f>
        <v>400.20499999999998</v>
      </c>
      <c r="X580" s="52">
        <f>IF(ISERROR(VLOOKUP($U$580,'TAR FIN'!$A$1:$O$88,15,0)),0,VLOOKUP($U$580,'TAR FIN'!$A$1:$O$88,15,0))*(1-0.06)</f>
        <v>237.08679999999998</v>
      </c>
      <c r="Y580" s="52"/>
      <c r="Z580" s="52">
        <f ca="1">('TUSD BE'!$AM$48+'TUSD BF'!$AM$48+'TUSD CVA'!$AM$48)*1*(1-0.03)</f>
        <v>473.22128065802849</v>
      </c>
      <c r="AA580" s="52">
        <f>('TE BE'!$AB$38+'TE BF'!$AB$38+'TE CVA'!$AB$38)*1*(1-0.03)</f>
        <v>244.36676069987115</v>
      </c>
      <c r="AB580" s="6">
        <f>$K$580*$V$580</f>
        <v>0</v>
      </c>
      <c r="AC580" s="6">
        <f>$M$580*$W$580</f>
        <v>31137.149614999998</v>
      </c>
      <c r="AD580" s="6">
        <f>$O$580*$X$580</f>
        <v>18446.064300399998</v>
      </c>
      <c r="AE580" s="6">
        <f>$K$580*$Y$580</f>
        <v>0</v>
      </c>
      <c r="AF580" s="6">
        <f ca="1">$M$580*$Z$580</f>
        <v>36818.035299036586</v>
      </c>
      <c r="AG580" s="6">
        <f>$O$580*$AA$580</f>
        <v>19012.467082732073</v>
      </c>
    </row>
    <row r="581" spans="1:33" ht="11.25" customHeight="1" x14ac:dyDescent="0.25">
      <c r="A581" s="4" t="s">
        <v>21</v>
      </c>
      <c r="B581" s="4" t="s">
        <v>33</v>
      </c>
      <c r="C581" s="4" t="s">
        <v>23</v>
      </c>
      <c r="D581" s="4" t="s">
        <v>46</v>
      </c>
      <c r="E581" s="4" t="s">
        <v>47</v>
      </c>
      <c r="F581" s="4" t="s">
        <v>25</v>
      </c>
      <c r="G581" s="4" t="s">
        <v>25</v>
      </c>
      <c r="H581" s="4" t="s">
        <v>25</v>
      </c>
      <c r="I581" s="5">
        <v>44501</v>
      </c>
      <c r="J581" s="6">
        <v>0</v>
      </c>
      <c r="K581" s="52">
        <v>0</v>
      </c>
      <c r="L581" s="6">
        <v>81.462000000000003</v>
      </c>
      <c r="M581" s="52">
        <v>81.462000000000003</v>
      </c>
      <c r="N581" s="6">
        <v>81.462000000000003</v>
      </c>
      <c r="O581" s="52">
        <v>81.462000000000003</v>
      </c>
      <c r="P581" s="6">
        <v>28</v>
      </c>
      <c r="Q581" s="4" t="s">
        <v>26</v>
      </c>
      <c r="R581" s="4">
        <v>0</v>
      </c>
      <c r="S581" s="6">
        <v>0</v>
      </c>
      <c r="T581" s="6">
        <v>30</v>
      </c>
      <c r="U581" s="6">
        <v>79</v>
      </c>
      <c r="V581" s="52">
        <f>IF(ISERROR(VLOOKUP($S$581,'TAR FIN'!$A$1:$O$88,15,0)),0,VLOOKUP($S$581,'TAR FIN'!$A$1:$O$88,15,0))</f>
        <v>0</v>
      </c>
      <c r="W581" s="52">
        <f>IF(ISERROR(VLOOKUP($T$581,'TAR FIN'!$A$1:$O$88,15,0)),0,VLOOKUP($T$581,'TAR FIN'!$A$1:$O$88,15,0))*(1-0.06)</f>
        <v>400.20499999999998</v>
      </c>
      <c r="X581" s="52">
        <f>IF(ISERROR(VLOOKUP($U$581,'TAR FIN'!$A$1:$O$88,15,0)),0,VLOOKUP($U$581,'TAR FIN'!$A$1:$O$88,15,0))*(1-0.06)</f>
        <v>237.08679999999998</v>
      </c>
      <c r="Y581" s="52"/>
      <c r="Z581" s="52">
        <f ca="1">('TUSD BE'!$AM$48+'TUSD BF'!$AM$48+'TUSD CVA'!$AM$48)*1*(1-0.03)</f>
        <v>473.22128065802849</v>
      </c>
      <c r="AA581" s="52">
        <f>('TE BE'!$AB$38+'TE BF'!$AB$38+'TE CVA'!$AB$38)*1*(1-0.03)</f>
        <v>244.36676069987115</v>
      </c>
      <c r="AB581" s="6">
        <f>$K$581*$V$581</f>
        <v>0</v>
      </c>
      <c r="AC581" s="6">
        <f>$M$581*$W$581</f>
        <v>32601.49971</v>
      </c>
      <c r="AD581" s="6">
        <f>$O$581*$X$581</f>
        <v>19313.564901599999</v>
      </c>
      <c r="AE581" s="6">
        <f>$K$581*$Y$581</f>
        <v>0</v>
      </c>
      <c r="AF581" s="6">
        <f ca="1">$M$581*$Z$581</f>
        <v>38549.551964964317</v>
      </c>
      <c r="AG581" s="6">
        <f>$O$581*$AA$581</f>
        <v>19906.605060132904</v>
      </c>
    </row>
    <row r="582" spans="1:33" ht="11.25" customHeight="1" x14ac:dyDescent="0.25">
      <c r="A582" s="4" t="s">
        <v>21</v>
      </c>
      <c r="B582" s="4" t="s">
        <v>33</v>
      </c>
      <c r="C582" s="4" t="s">
        <v>23</v>
      </c>
      <c r="D582" s="4" t="s">
        <v>46</v>
      </c>
      <c r="E582" s="4" t="s">
        <v>47</v>
      </c>
      <c r="F582" s="4" t="s">
        <v>25</v>
      </c>
      <c r="G582" s="4" t="s">
        <v>25</v>
      </c>
      <c r="H582" s="4" t="s">
        <v>25</v>
      </c>
      <c r="I582" s="5">
        <v>44531</v>
      </c>
      <c r="J582" s="6">
        <v>0</v>
      </c>
      <c r="K582" s="52">
        <v>0</v>
      </c>
      <c r="L582" s="6">
        <v>85.683000000000007</v>
      </c>
      <c r="M582" s="52">
        <v>85.683000000000007</v>
      </c>
      <c r="N582" s="6">
        <v>85.683000000000007</v>
      </c>
      <c r="O582" s="52">
        <v>85.683000000000007</v>
      </c>
      <c r="P582" s="6">
        <v>28</v>
      </c>
      <c r="Q582" s="4" t="s">
        <v>26</v>
      </c>
      <c r="R582" s="4">
        <v>0</v>
      </c>
      <c r="S582" s="6">
        <v>0</v>
      </c>
      <c r="T582" s="6">
        <v>30</v>
      </c>
      <c r="U582" s="6">
        <v>79</v>
      </c>
      <c r="V582" s="52">
        <f>IF(ISERROR(VLOOKUP($S$582,'TAR FIN'!$A$1:$O$88,15,0)),0,VLOOKUP($S$582,'TAR FIN'!$A$1:$O$88,15,0))</f>
        <v>0</v>
      </c>
      <c r="W582" s="52">
        <f>IF(ISERROR(VLOOKUP($T$582,'TAR FIN'!$A$1:$O$88,15,0)),0,VLOOKUP($T$582,'TAR FIN'!$A$1:$O$88,15,0))*(1-0.06)</f>
        <v>400.20499999999998</v>
      </c>
      <c r="X582" s="52">
        <f>IF(ISERROR(VLOOKUP($U$582,'TAR FIN'!$A$1:$O$88,15,0)),0,VLOOKUP($U$582,'TAR FIN'!$A$1:$O$88,15,0))*(1-0.06)</f>
        <v>237.08679999999998</v>
      </c>
      <c r="Y582" s="52"/>
      <c r="Z582" s="52">
        <f ca="1">('TUSD BE'!$AM$48+'TUSD BF'!$AM$48+'TUSD CVA'!$AM$48)*1*(1-0.03)</f>
        <v>473.22128065802849</v>
      </c>
      <c r="AA582" s="52">
        <f>('TE BE'!$AB$38+'TE BF'!$AB$38+'TE CVA'!$AB$38)*1*(1-0.03)</f>
        <v>244.36676069987115</v>
      </c>
      <c r="AB582" s="6">
        <f>$K$582*$V$582</f>
        <v>0</v>
      </c>
      <c r="AC582" s="6">
        <f>$M$582*$W$582</f>
        <v>34290.765015000004</v>
      </c>
      <c r="AD582" s="6">
        <f>$O$582*$X$582</f>
        <v>20314.308284400002</v>
      </c>
      <c r="AE582" s="6">
        <f>$K$582*$Y$582</f>
        <v>0</v>
      </c>
      <c r="AF582" s="6">
        <f ca="1">$M$582*$Z$582</f>
        <v>40547.018990621858</v>
      </c>
      <c r="AG582" s="6">
        <f>$O$582*$AA$582</f>
        <v>20938.077157047061</v>
      </c>
    </row>
    <row r="583" spans="1:33" ht="11.25" customHeight="1" x14ac:dyDescent="0.25">
      <c r="A583" s="4" t="s">
        <v>21</v>
      </c>
      <c r="B583" s="4" t="s">
        <v>33</v>
      </c>
      <c r="C583" s="4" t="s">
        <v>23</v>
      </c>
      <c r="D583" s="4" t="s">
        <v>46</v>
      </c>
      <c r="E583" s="4" t="s">
        <v>47</v>
      </c>
      <c r="F583" s="4" t="s">
        <v>25</v>
      </c>
      <c r="G583" s="4" t="s">
        <v>25</v>
      </c>
      <c r="H583" s="4" t="s">
        <v>25</v>
      </c>
      <c r="I583" s="5">
        <v>44562</v>
      </c>
      <c r="J583" s="6">
        <v>0</v>
      </c>
      <c r="K583" s="52">
        <v>0</v>
      </c>
      <c r="L583" s="6">
        <v>89</v>
      </c>
      <c r="M583" s="52">
        <v>89</v>
      </c>
      <c r="N583" s="6">
        <v>89</v>
      </c>
      <c r="O583" s="52">
        <v>89</v>
      </c>
      <c r="P583" s="6">
        <v>28</v>
      </c>
      <c r="Q583" s="4" t="s">
        <v>26</v>
      </c>
      <c r="R583" s="4">
        <v>0</v>
      </c>
      <c r="S583" s="6">
        <v>0</v>
      </c>
      <c r="T583" s="6">
        <v>30</v>
      </c>
      <c r="U583" s="6">
        <v>79</v>
      </c>
      <c r="V583" s="52">
        <f>IF(ISERROR(VLOOKUP($S$583,'TAR FIN'!$A$1:$O$88,15,0)),0,VLOOKUP($S$583,'TAR FIN'!$A$1:$O$88,15,0))</f>
        <v>0</v>
      </c>
      <c r="W583" s="52">
        <f>IF(ISERROR(VLOOKUP($T$583,'TAR FIN'!$A$1:$O$88,15,0)),0,VLOOKUP($T$583,'TAR FIN'!$A$1:$O$88,15,0))*(1-0.06)</f>
        <v>400.20499999999998</v>
      </c>
      <c r="X583" s="52">
        <f>IF(ISERROR(VLOOKUP($U$583,'TAR FIN'!$A$1:$O$88,15,0)),0,VLOOKUP($U$583,'TAR FIN'!$A$1:$O$88,15,0))*(1-0.06)</f>
        <v>237.08679999999998</v>
      </c>
      <c r="Y583" s="52"/>
      <c r="Z583" s="52">
        <f ca="1">('TUSD BE'!$AM$48+'TUSD BF'!$AM$48+'TUSD CVA'!$AM$48)*1*(1-0.03)</f>
        <v>473.22128065802849</v>
      </c>
      <c r="AA583" s="52">
        <f>('TE BE'!$AB$38+'TE BF'!$AB$38+'TE CVA'!$AB$38)*1*(1-0.03)</f>
        <v>244.36676069987115</v>
      </c>
      <c r="AB583" s="6">
        <f>$K$583*$V$583</f>
        <v>0</v>
      </c>
      <c r="AC583" s="6">
        <f>$M$583*$W$583</f>
        <v>35618.244999999995</v>
      </c>
      <c r="AD583" s="6">
        <f>$O$583*$X$583</f>
        <v>21100.725199999997</v>
      </c>
      <c r="AE583" s="6">
        <f>$K$583*$Y$583</f>
        <v>0</v>
      </c>
      <c r="AF583" s="6">
        <f ca="1">$M$583*$Z$583</f>
        <v>42116.693978564537</v>
      </c>
      <c r="AG583" s="6">
        <f>$O$583*$AA$583</f>
        <v>21748.641702288533</v>
      </c>
    </row>
    <row r="584" spans="1:33" ht="11.25" customHeight="1" x14ac:dyDescent="0.25">
      <c r="A584" s="4" t="s">
        <v>21</v>
      </c>
      <c r="B584" s="4" t="s">
        <v>33</v>
      </c>
      <c r="C584" s="4" t="s">
        <v>23</v>
      </c>
      <c r="D584" s="4" t="s">
        <v>46</v>
      </c>
      <c r="E584" s="4" t="s">
        <v>47</v>
      </c>
      <c r="F584" s="4" t="s">
        <v>25</v>
      </c>
      <c r="G584" s="4" t="s">
        <v>25</v>
      </c>
      <c r="H584" s="4" t="s">
        <v>25</v>
      </c>
      <c r="I584" s="5">
        <v>44593</v>
      </c>
      <c r="J584" s="6">
        <v>0</v>
      </c>
      <c r="K584" s="52">
        <v>0</v>
      </c>
      <c r="L584" s="6">
        <v>93.42</v>
      </c>
      <c r="M584" s="52">
        <v>93.42</v>
      </c>
      <c r="N584" s="6">
        <v>93.42</v>
      </c>
      <c r="O584" s="52">
        <v>93.42</v>
      </c>
      <c r="P584" s="6">
        <v>28</v>
      </c>
      <c r="Q584" s="4" t="s">
        <v>26</v>
      </c>
      <c r="R584" s="4">
        <v>0</v>
      </c>
      <c r="S584" s="6">
        <v>0</v>
      </c>
      <c r="T584" s="6">
        <v>30</v>
      </c>
      <c r="U584" s="6">
        <v>79</v>
      </c>
      <c r="V584" s="52">
        <f>IF(ISERROR(VLOOKUP($S$584,'TAR FIN'!$A$1:$O$88,15,0)),0,VLOOKUP($S$584,'TAR FIN'!$A$1:$O$88,15,0))</f>
        <v>0</v>
      </c>
      <c r="W584" s="52">
        <f>IF(ISERROR(VLOOKUP($T$584,'TAR FIN'!$A$1:$O$88,15,0)),0,VLOOKUP($T$584,'TAR FIN'!$A$1:$O$88,15,0))*(1-0.06)</f>
        <v>400.20499999999998</v>
      </c>
      <c r="X584" s="52">
        <f>IF(ISERROR(VLOOKUP($U$584,'TAR FIN'!$A$1:$O$88,15,0)),0,VLOOKUP($U$584,'TAR FIN'!$A$1:$O$88,15,0))*(1-0.06)</f>
        <v>237.08679999999998</v>
      </c>
      <c r="Y584" s="52"/>
      <c r="Z584" s="52">
        <f ca="1">('TUSD BE'!$AM$48+'TUSD BF'!$AM$48+'TUSD CVA'!$AM$48)*1*(1-0.03)</f>
        <v>473.22128065802849</v>
      </c>
      <c r="AA584" s="52">
        <f>('TE BE'!$AB$38+'TE BF'!$AB$38+'TE CVA'!$AB$38)*1*(1-0.03)</f>
        <v>244.36676069987115</v>
      </c>
      <c r="AB584" s="6">
        <f>$K$584*$V$584</f>
        <v>0</v>
      </c>
      <c r="AC584" s="6">
        <f>$M$584*$W$584</f>
        <v>37387.151100000003</v>
      </c>
      <c r="AD584" s="6">
        <f>$O$584*$X$584</f>
        <v>22148.648856</v>
      </c>
      <c r="AE584" s="6">
        <f>$K$584*$Y$584</f>
        <v>0</v>
      </c>
      <c r="AF584" s="6">
        <f ca="1">$M$584*$Z$584</f>
        <v>44208.332039073022</v>
      </c>
      <c r="AG584" s="6">
        <f>$O$584*$AA$584</f>
        <v>22828.742784581962</v>
      </c>
    </row>
    <row r="585" spans="1:33" ht="11.25" customHeight="1" x14ac:dyDescent="0.25">
      <c r="A585" s="4" t="s">
        <v>21</v>
      </c>
      <c r="B585" s="4" t="s">
        <v>33</v>
      </c>
      <c r="C585" s="4" t="s">
        <v>23</v>
      </c>
      <c r="D585" s="4" t="s">
        <v>46</v>
      </c>
      <c r="E585" s="4" t="s">
        <v>47</v>
      </c>
      <c r="F585" s="4" t="s">
        <v>25</v>
      </c>
      <c r="G585" s="4" t="s">
        <v>25</v>
      </c>
      <c r="H585" s="4" t="s">
        <v>25</v>
      </c>
      <c r="I585" s="5">
        <v>44621</v>
      </c>
      <c r="J585" s="6">
        <v>0</v>
      </c>
      <c r="K585" s="52">
        <v>0</v>
      </c>
      <c r="L585" s="6">
        <v>84.638000000000005</v>
      </c>
      <c r="M585" s="52">
        <v>84.638000000000005</v>
      </c>
      <c r="N585" s="6">
        <v>84.638000000000005</v>
      </c>
      <c r="O585" s="52">
        <v>84.638000000000005</v>
      </c>
      <c r="P585" s="6">
        <v>28</v>
      </c>
      <c r="Q585" s="4" t="s">
        <v>26</v>
      </c>
      <c r="R585" s="4">
        <v>0</v>
      </c>
      <c r="S585" s="6">
        <v>0</v>
      </c>
      <c r="T585" s="6">
        <v>30</v>
      </c>
      <c r="U585" s="6">
        <v>79</v>
      </c>
      <c r="V585" s="52">
        <f>IF(ISERROR(VLOOKUP($S$585,'TAR FIN'!$A$1:$O$88,15,0)),0,VLOOKUP($S$585,'TAR FIN'!$A$1:$O$88,15,0))</f>
        <v>0</v>
      </c>
      <c r="W585" s="52">
        <f>IF(ISERROR(VLOOKUP($T$585,'TAR FIN'!$A$1:$O$88,15,0)),0,VLOOKUP($T$585,'TAR FIN'!$A$1:$O$88,15,0))*(1-0.06)</f>
        <v>400.20499999999998</v>
      </c>
      <c r="X585" s="52">
        <f>IF(ISERROR(VLOOKUP($U$585,'TAR FIN'!$A$1:$O$88,15,0)),0,VLOOKUP($U$585,'TAR FIN'!$A$1:$O$88,15,0))*(1-0.06)</f>
        <v>237.08679999999998</v>
      </c>
      <c r="Y585" s="52"/>
      <c r="Z585" s="52">
        <f ca="1">('TUSD BE'!$AM$48+'TUSD BF'!$AM$48+'TUSD CVA'!$AM$48)*1*(1-0.03)</f>
        <v>473.22128065802849</v>
      </c>
      <c r="AA585" s="52">
        <f>('TE BE'!$AB$38+'TE BF'!$AB$38+'TE CVA'!$AB$38)*1*(1-0.03)</f>
        <v>244.36676069987115</v>
      </c>
      <c r="AB585" s="6">
        <f>$K$585*$V$585</f>
        <v>0</v>
      </c>
      <c r="AC585" s="6">
        <f>$M$585*$W$585</f>
        <v>33872.550790000001</v>
      </c>
      <c r="AD585" s="6">
        <f>$O$585*$X$585</f>
        <v>20066.552578399998</v>
      </c>
      <c r="AE585" s="6">
        <f>$K$585*$Y$585</f>
        <v>0</v>
      </c>
      <c r="AF585" s="6">
        <f ca="1">$M$585*$Z$585</f>
        <v>40052.502752334221</v>
      </c>
      <c r="AG585" s="6">
        <f>$O$585*$AA$585</f>
        <v>20682.713892115695</v>
      </c>
    </row>
    <row r="586" spans="1:33" ht="11.25" customHeight="1" x14ac:dyDescent="0.25">
      <c r="A586" s="4" t="s">
        <v>21</v>
      </c>
      <c r="B586" s="4" t="s">
        <v>33</v>
      </c>
      <c r="C586" s="4" t="s">
        <v>23</v>
      </c>
      <c r="D586" s="4" t="s">
        <v>46</v>
      </c>
      <c r="E586" s="4" t="s">
        <v>47</v>
      </c>
      <c r="F586" s="4" t="s">
        <v>25</v>
      </c>
      <c r="G586" s="4" t="s">
        <v>25</v>
      </c>
      <c r="H586" s="4" t="s">
        <v>25</v>
      </c>
      <c r="I586" s="5">
        <v>44652</v>
      </c>
      <c r="J586" s="6">
        <v>0</v>
      </c>
      <c r="K586" s="52">
        <v>0</v>
      </c>
      <c r="L586" s="6">
        <v>90.352999999999994</v>
      </c>
      <c r="M586" s="52">
        <v>90.352999999999994</v>
      </c>
      <c r="N586" s="6">
        <v>90.352999999999994</v>
      </c>
      <c r="O586" s="52">
        <v>90.352999999999994</v>
      </c>
      <c r="P586" s="6">
        <v>28</v>
      </c>
      <c r="Q586" s="4" t="s">
        <v>26</v>
      </c>
      <c r="R586" s="4">
        <v>0</v>
      </c>
      <c r="S586" s="6">
        <v>0</v>
      </c>
      <c r="T586" s="6">
        <v>30</v>
      </c>
      <c r="U586" s="6">
        <v>79</v>
      </c>
      <c r="V586" s="52">
        <f>IF(ISERROR(VLOOKUP($S$586,'TAR FIN'!$A$1:$O$88,15,0)),0,VLOOKUP($S$586,'TAR FIN'!$A$1:$O$88,15,0))</f>
        <v>0</v>
      </c>
      <c r="W586" s="52">
        <f>IF(ISERROR(VLOOKUP($T$586,'TAR FIN'!$A$1:$O$88,15,0)),0,VLOOKUP($T$586,'TAR FIN'!$A$1:$O$88,15,0))*(1-0.06)</f>
        <v>400.20499999999998</v>
      </c>
      <c r="X586" s="52">
        <f>IF(ISERROR(VLOOKUP($U$586,'TAR FIN'!$A$1:$O$88,15,0)),0,VLOOKUP($U$586,'TAR FIN'!$A$1:$O$88,15,0))*(1-0.06)</f>
        <v>237.08679999999998</v>
      </c>
      <c r="Y586" s="52"/>
      <c r="Z586" s="52">
        <f ca="1">('TUSD BE'!$AM$48+'TUSD BF'!$AM$48+'TUSD CVA'!$AM$48)*1*(1-0.03)</f>
        <v>473.22128065802849</v>
      </c>
      <c r="AA586" s="52">
        <f>('TE BE'!$AB$38+'TE BF'!$AB$38+'TE CVA'!$AB$38)*1*(1-0.03)</f>
        <v>244.36676069987115</v>
      </c>
      <c r="AB586" s="6">
        <f>$K$586*$V$586</f>
        <v>0</v>
      </c>
      <c r="AC586" s="6">
        <f>$M$586*$W$586</f>
        <v>36159.722364999994</v>
      </c>
      <c r="AD586" s="6">
        <f>$O$586*$X$586</f>
        <v>21421.503640399998</v>
      </c>
      <c r="AE586" s="6">
        <f>$K$586*$Y$586</f>
        <v>0</v>
      </c>
      <c r="AF586" s="6">
        <f ca="1">$M$586*$Z$586</f>
        <v>42756.962371294845</v>
      </c>
      <c r="AG586" s="6">
        <f>$O$586*$AA$586</f>
        <v>22079.269929515456</v>
      </c>
    </row>
    <row r="587" spans="1:33" ht="11.25" customHeight="1" x14ac:dyDescent="0.25">
      <c r="A587" s="4" t="s">
        <v>21</v>
      </c>
      <c r="B587" s="4" t="s">
        <v>33</v>
      </c>
      <c r="C587" s="4" t="s">
        <v>23</v>
      </c>
      <c r="D587" s="4" t="s">
        <v>46</v>
      </c>
      <c r="E587" s="4" t="s">
        <v>47</v>
      </c>
      <c r="F587" s="4" t="s">
        <v>25</v>
      </c>
      <c r="G587" s="4" t="s">
        <v>25</v>
      </c>
      <c r="H587" s="4" t="s">
        <v>25</v>
      </c>
      <c r="I587" s="5">
        <v>44682</v>
      </c>
      <c r="J587" s="6">
        <v>0</v>
      </c>
      <c r="K587" s="52">
        <v>0</v>
      </c>
      <c r="L587" s="6">
        <v>86.266000000000005</v>
      </c>
      <c r="M587" s="52">
        <v>86.266000000000005</v>
      </c>
      <c r="N587" s="6">
        <v>86.266000000000005</v>
      </c>
      <c r="O587" s="52">
        <v>86.266000000000005</v>
      </c>
      <c r="P587" s="6">
        <v>28</v>
      </c>
      <c r="Q587" s="4" t="s">
        <v>26</v>
      </c>
      <c r="R587" s="4">
        <v>0</v>
      </c>
      <c r="S587" s="6">
        <v>0</v>
      </c>
      <c r="T587" s="6">
        <v>30</v>
      </c>
      <c r="U587" s="6">
        <v>79</v>
      </c>
      <c r="V587" s="52">
        <f>IF(ISERROR(VLOOKUP($S$587,'TAR FIN'!$A$1:$O$88,15,0)),0,VLOOKUP($S$587,'TAR FIN'!$A$1:$O$88,15,0))</f>
        <v>0</v>
      </c>
      <c r="W587" s="52">
        <f>IF(ISERROR(VLOOKUP($T$587,'TAR FIN'!$A$1:$O$88,15,0)),0,VLOOKUP($T$587,'TAR FIN'!$A$1:$O$88,15,0))*(1-0.06)</f>
        <v>400.20499999999998</v>
      </c>
      <c r="X587" s="52">
        <f>IF(ISERROR(VLOOKUP($U$587,'TAR FIN'!$A$1:$O$88,15,0)),0,VLOOKUP($U$587,'TAR FIN'!$A$1:$O$88,15,0))*(1-0.06)</f>
        <v>237.08679999999998</v>
      </c>
      <c r="Y587" s="52"/>
      <c r="Z587" s="52">
        <f ca="1">('TUSD BE'!$AM$48+'TUSD BF'!$AM$48+'TUSD CVA'!$AM$48)*1*(1-0.03)</f>
        <v>473.22128065802849</v>
      </c>
      <c r="AA587" s="52">
        <f>('TE BE'!$AB$38+'TE BF'!$AB$38+'TE CVA'!$AB$38)*1*(1-0.03)</f>
        <v>244.36676069987115</v>
      </c>
      <c r="AB587" s="6">
        <f>$K$587*$V$587</f>
        <v>0</v>
      </c>
      <c r="AC587" s="6">
        <f>$M$587*$W$587</f>
        <v>34524.08453</v>
      </c>
      <c r="AD587" s="6">
        <f>$O$587*$X$587</f>
        <v>20452.5298888</v>
      </c>
      <c r="AE587" s="6">
        <f>$K$587*$Y$587</f>
        <v>0</v>
      </c>
      <c r="AF587" s="6">
        <f ca="1">$M$587*$Z$587</f>
        <v>40822.906997245489</v>
      </c>
      <c r="AG587" s="6">
        <f>$O$587*$AA$587</f>
        <v>21080.542978535086</v>
      </c>
    </row>
    <row r="588" spans="1:33" ht="11.25" customHeight="1" x14ac:dyDescent="0.25">
      <c r="A588" s="4" t="s">
        <v>21</v>
      </c>
      <c r="B588" s="4" t="s">
        <v>33</v>
      </c>
      <c r="C588" s="4" t="s">
        <v>23</v>
      </c>
      <c r="D588" s="4" t="s">
        <v>46</v>
      </c>
      <c r="E588" s="4" t="s">
        <v>47</v>
      </c>
      <c r="F588" s="4" t="s">
        <v>25</v>
      </c>
      <c r="G588" s="4" t="s">
        <v>25</v>
      </c>
      <c r="H588" s="4" t="s">
        <v>25</v>
      </c>
      <c r="I588" s="5">
        <v>44713</v>
      </c>
      <c r="J588" s="6">
        <v>0</v>
      </c>
      <c r="K588" s="52">
        <v>0</v>
      </c>
      <c r="L588" s="6">
        <v>86.858999999999995</v>
      </c>
      <c r="M588" s="52">
        <v>86.858999999999995</v>
      </c>
      <c r="N588" s="6">
        <v>86.858999999999995</v>
      </c>
      <c r="O588" s="52">
        <v>86.858999999999995</v>
      </c>
      <c r="P588" s="6">
        <v>28</v>
      </c>
      <c r="Q588" s="4" t="s">
        <v>26</v>
      </c>
      <c r="R588" s="4">
        <v>0</v>
      </c>
      <c r="S588" s="6">
        <v>0</v>
      </c>
      <c r="T588" s="6">
        <v>30</v>
      </c>
      <c r="U588" s="6">
        <v>79</v>
      </c>
      <c r="V588" s="52">
        <f>IF(ISERROR(VLOOKUP($S$588,'TAR FIN'!$A$1:$O$88,15,0)),0,VLOOKUP($S$588,'TAR FIN'!$A$1:$O$88,15,0))</f>
        <v>0</v>
      </c>
      <c r="W588" s="52">
        <f>IF(ISERROR(VLOOKUP($T$588,'TAR FIN'!$A$1:$O$88,15,0)),0,VLOOKUP($T$588,'TAR FIN'!$A$1:$O$88,15,0))*(1-0.06)</f>
        <v>400.20499999999998</v>
      </c>
      <c r="X588" s="52">
        <f>IF(ISERROR(VLOOKUP($U$588,'TAR FIN'!$A$1:$O$88,15,0)),0,VLOOKUP($U$588,'TAR FIN'!$A$1:$O$88,15,0))*(1-0.06)</f>
        <v>237.08679999999998</v>
      </c>
      <c r="Y588" s="52"/>
      <c r="Z588" s="52">
        <f ca="1">('TUSD BE'!$AM$48+'TUSD BF'!$AM$48+'TUSD CVA'!$AM$48)*1*(1-0.03)</f>
        <v>473.22128065802849</v>
      </c>
      <c r="AA588" s="52">
        <f>('TE BE'!$AB$38+'TE BF'!$AB$38+'TE CVA'!$AB$38)*1*(1-0.03)</f>
        <v>244.36676069987115</v>
      </c>
      <c r="AB588" s="6">
        <f>$K$588*$V$588</f>
        <v>0</v>
      </c>
      <c r="AC588" s="6">
        <f>$M$588*$W$588</f>
        <v>34761.406094999998</v>
      </c>
      <c r="AD588" s="6">
        <f>$O$588*$X$588</f>
        <v>20593.122361199996</v>
      </c>
      <c r="AE588" s="6">
        <f>$K$588*$Y$588</f>
        <v>0</v>
      </c>
      <c r="AF588" s="6">
        <f ca="1">$M$588*$Z$588</f>
        <v>41103.527216675691</v>
      </c>
      <c r="AG588" s="6">
        <f>$O$588*$AA$588</f>
        <v>21225.452467630108</v>
      </c>
    </row>
    <row r="589" spans="1:33" ht="11.25" customHeight="1" x14ac:dyDescent="0.25">
      <c r="A589" s="4" t="s">
        <v>21</v>
      </c>
      <c r="B589" s="4" t="s">
        <v>43</v>
      </c>
      <c r="C589" s="4" t="s">
        <v>23</v>
      </c>
      <c r="D589" s="4" t="s">
        <v>44</v>
      </c>
      <c r="E589" s="4" t="s">
        <v>45</v>
      </c>
      <c r="F589" s="4" t="s">
        <v>25</v>
      </c>
      <c r="G589" s="4" t="s">
        <v>25</v>
      </c>
      <c r="H589" s="4" t="s">
        <v>25</v>
      </c>
      <c r="I589" s="5">
        <v>44378</v>
      </c>
      <c r="J589" s="6">
        <v>0</v>
      </c>
      <c r="K589" s="6">
        <v>0</v>
      </c>
      <c r="L589" s="6">
        <v>416.529</v>
      </c>
      <c r="M589" s="6">
        <v>416.529</v>
      </c>
      <c r="N589" s="6">
        <v>416.529</v>
      </c>
      <c r="O589" s="6">
        <v>416.529</v>
      </c>
      <c r="P589" s="6">
        <v>66</v>
      </c>
      <c r="Q589" s="4" t="s">
        <v>26</v>
      </c>
      <c r="R589" s="4">
        <v>0</v>
      </c>
      <c r="S589" s="6">
        <v>0</v>
      </c>
      <c r="T589" s="6">
        <v>34</v>
      </c>
      <c r="U589" s="6">
        <v>66</v>
      </c>
      <c r="V589" s="6">
        <f>IF(ISERROR(VLOOKUP($S$589,'TAR FIN'!$A$1:$O$88,15,0)),0,VLOOKUP($S$589,'TAR FIN'!$A$1:$O$88,15,0))</f>
        <v>0</v>
      </c>
      <c r="W589" s="6">
        <f>IF(ISERROR(VLOOKUP($T$589,'TAR FIN'!$A$1:$O$88,15,0)),0,VLOOKUP($T$589,'TAR FIN'!$A$1:$O$88,15,0))</f>
        <v>234.16</v>
      </c>
      <c r="X589" s="6">
        <f>IF(ISERROR(VLOOKUP($U$589,'TAR FIN'!$A$1:$O$88,15,0)),0,VLOOKUP($U$589,'TAR FIN'!$A$1:$O$88,15,0))</f>
        <v>138.72</v>
      </c>
      <c r="Y589" s="6"/>
      <c r="Z589" s="6">
        <f ca="1">('TUSD BE'!$AM$50+'TUSD BF'!$AM$50+'TUSD CVA'!$AM$50)*1</f>
        <v>268.32134470300582</v>
      </c>
      <c r="AA589" s="6">
        <f>('TE BE'!$AB$40+'TE BF'!$AB$40+'TE CVA'!$AB$40)*1</f>
        <v>138.55847256178262</v>
      </c>
      <c r="AB589" s="6">
        <f>$K$589*$V$589</f>
        <v>0</v>
      </c>
      <c r="AC589" s="6">
        <f>$M$589*$W$589</f>
        <v>97534.430639999991</v>
      </c>
      <c r="AD589" s="6">
        <f>$O$589*$X$589</f>
        <v>57780.902880000001</v>
      </c>
      <c r="AE589" s="6">
        <f>$K$589*$Y$589</f>
        <v>0</v>
      </c>
      <c r="AF589" s="6">
        <f ca="1">$M$589*$Z$589</f>
        <v>111763.62138779831</v>
      </c>
      <c r="AG589" s="6">
        <f>$O$589*$AA$589</f>
        <v>57713.62201768675</v>
      </c>
    </row>
    <row r="590" spans="1:33" ht="11.25" customHeight="1" x14ac:dyDescent="0.25">
      <c r="A590" s="4" t="s">
        <v>21</v>
      </c>
      <c r="B590" s="4" t="s">
        <v>43</v>
      </c>
      <c r="C590" s="4" t="s">
        <v>23</v>
      </c>
      <c r="D590" s="4" t="s">
        <v>44</v>
      </c>
      <c r="E590" s="4" t="s">
        <v>45</v>
      </c>
      <c r="F590" s="4" t="s">
        <v>25</v>
      </c>
      <c r="G590" s="4" t="s">
        <v>25</v>
      </c>
      <c r="H590" s="4" t="s">
        <v>25</v>
      </c>
      <c r="I590" s="5">
        <v>44409</v>
      </c>
      <c r="J590" s="6">
        <v>0</v>
      </c>
      <c r="K590" s="6">
        <v>0</v>
      </c>
      <c r="L590" s="6">
        <v>380.58699999999999</v>
      </c>
      <c r="M590" s="6">
        <v>380.58699999999999</v>
      </c>
      <c r="N590" s="6">
        <v>380.58699999999999</v>
      </c>
      <c r="O590" s="6">
        <v>380.58699999999999</v>
      </c>
      <c r="P590" s="6">
        <v>66</v>
      </c>
      <c r="Q590" s="4" t="s">
        <v>26</v>
      </c>
      <c r="R590" s="4">
        <v>0</v>
      </c>
      <c r="S590" s="6">
        <v>0</v>
      </c>
      <c r="T590" s="6">
        <v>34</v>
      </c>
      <c r="U590" s="6">
        <v>66</v>
      </c>
      <c r="V590" s="6">
        <f>IF(ISERROR(VLOOKUP($S$590,'TAR FIN'!$A$1:$O$88,15,0)),0,VLOOKUP($S$590,'TAR FIN'!$A$1:$O$88,15,0))</f>
        <v>0</v>
      </c>
      <c r="W590" s="6">
        <f>IF(ISERROR(VLOOKUP($T$590,'TAR FIN'!$A$1:$O$88,15,0)),0,VLOOKUP($T$590,'TAR FIN'!$A$1:$O$88,15,0))</f>
        <v>234.16</v>
      </c>
      <c r="X590" s="6">
        <f>IF(ISERROR(VLOOKUP($U$590,'TAR FIN'!$A$1:$O$88,15,0)),0,VLOOKUP($U$590,'TAR FIN'!$A$1:$O$88,15,0))</f>
        <v>138.72</v>
      </c>
      <c r="Y590" s="6"/>
      <c r="Z590" s="6">
        <f ca="1">('TUSD BE'!$AM$50+'TUSD BF'!$AM$50+'TUSD CVA'!$AM$50)*1</f>
        <v>268.32134470300582</v>
      </c>
      <c r="AA590" s="6">
        <f>('TE BE'!$AB$40+'TE BF'!$AB$40+'TE CVA'!$AB$40)*1</f>
        <v>138.55847256178262</v>
      </c>
      <c r="AB590" s="6">
        <f>$K$590*$V$590</f>
        <v>0</v>
      </c>
      <c r="AC590" s="6">
        <f>$M$590*$W$590</f>
        <v>89118.251919999995</v>
      </c>
      <c r="AD590" s="6">
        <f>$O$590*$X$590</f>
        <v>52795.028639999997</v>
      </c>
      <c r="AE590" s="6">
        <f>$K$590*$Y$590</f>
        <v>0</v>
      </c>
      <c r="AF590" s="6">
        <f ca="1">$M$590*$Z$590</f>
        <v>102119.61561648287</v>
      </c>
      <c r="AG590" s="6">
        <f>$O$590*$AA$590</f>
        <v>52733.553396871161</v>
      </c>
    </row>
    <row r="591" spans="1:33" ht="11.25" customHeight="1" x14ac:dyDescent="0.25">
      <c r="A591" s="4" t="s">
        <v>21</v>
      </c>
      <c r="B591" s="4" t="s">
        <v>43</v>
      </c>
      <c r="C591" s="4" t="s">
        <v>23</v>
      </c>
      <c r="D591" s="4" t="s">
        <v>44</v>
      </c>
      <c r="E591" s="4" t="s">
        <v>45</v>
      </c>
      <c r="F591" s="4" t="s">
        <v>25</v>
      </c>
      <c r="G591" s="4" t="s">
        <v>25</v>
      </c>
      <c r="H591" s="4" t="s">
        <v>25</v>
      </c>
      <c r="I591" s="5">
        <v>44440</v>
      </c>
      <c r="J591" s="6">
        <v>0</v>
      </c>
      <c r="K591" s="6">
        <v>0</v>
      </c>
      <c r="L591" s="6">
        <v>380.05599999999998</v>
      </c>
      <c r="M591" s="6">
        <v>380.05599999999998</v>
      </c>
      <c r="N591" s="6">
        <v>380.05599999999998</v>
      </c>
      <c r="O591" s="6">
        <v>380.05599999999998</v>
      </c>
      <c r="P591" s="6">
        <v>66</v>
      </c>
      <c r="Q591" s="4" t="s">
        <v>26</v>
      </c>
      <c r="R591" s="4">
        <v>0</v>
      </c>
      <c r="S591" s="6">
        <v>0</v>
      </c>
      <c r="T591" s="6">
        <v>34</v>
      </c>
      <c r="U591" s="6">
        <v>66</v>
      </c>
      <c r="V591" s="6">
        <f>IF(ISERROR(VLOOKUP($S$591,'TAR FIN'!$A$1:$O$88,15,0)),0,VLOOKUP($S$591,'TAR FIN'!$A$1:$O$88,15,0))</f>
        <v>0</v>
      </c>
      <c r="W591" s="6">
        <f>IF(ISERROR(VLOOKUP($T$591,'TAR FIN'!$A$1:$O$88,15,0)),0,VLOOKUP($T$591,'TAR FIN'!$A$1:$O$88,15,0))</f>
        <v>234.16</v>
      </c>
      <c r="X591" s="6">
        <f>IF(ISERROR(VLOOKUP($U$591,'TAR FIN'!$A$1:$O$88,15,0)),0,VLOOKUP($U$591,'TAR FIN'!$A$1:$O$88,15,0))</f>
        <v>138.72</v>
      </c>
      <c r="Y591" s="6"/>
      <c r="Z591" s="6">
        <f ca="1">('TUSD BE'!$AM$50+'TUSD BF'!$AM$50+'TUSD CVA'!$AM$50)*1</f>
        <v>268.32134470300582</v>
      </c>
      <c r="AA591" s="6">
        <f>('TE BE'!$AB$40+'TE BF'!$AB$40+'TE CVA'!$AB$40)*1</f>
        <v>138.55847256178262</v>
      </c>
      <c r="AB591" s="6">
        <f>$K$591*$V$591</f>
        <v>0</v>
      </c>
      <c r="AC591" s="6">
        <f>$M$591*$W$591</f>
        <v>88993.912960000001</v>
      </c>
      <c r="AD591" s="6">
        <f>$O$591*$X$591</f>
        <v>52721.368319999994</v>
      </c>
      <c r="AE591" s="6">
        <f>$K$591*$Y$591</f>
        <v>0</v>
      </c>
      <c r="AF591" s="6">
        <f ca="1">$M$591*$Z$591</f>
        <v>101977.13698244558</v>
      </c>
      <c r="AG591" s="6">
        <f>$O$591*$AA$591</f>
        <v>52659.978847940853</v>
      </c>
    </row>
    <row r="592" spans="1:33" ht="11.25" customHeight="1" x14ac:dyDescent="0.25">
      <c r="A592" s="4" t="s">
        <v>21</v>
      </c>
      <c r="B592" s="4" t="s">
        <v>43</v>
      </c>
      <c r="C592" s="4" t="s">
        <v>23</v>
      </c>
      <c r="D592" s="4" t="s">
        <v>44</v>
      </c>
      <c r="E592" s="4" t="s">
        <v>45</v>
      </c>
      <c r="F592" s="4" t="s">
        <v>25</v>
      </c>
      <c r="G592" s="4" t="s">
        <v>25</v>
      </c>
      <c r="H592" s="4" t="s">
        <v>25</v>
      </c>
      <c r="I592" s="5">
        <v>44470</v>
      </c>
      <c r="J592" s="6">
        <v>0</v>
      </c>
      <c r="K592" s="6">
        <v>0</v>
      </c>
      <c r="L592" s="6">
        <v>378.35599999999999</v>
      </c>
      <c r="M592" s="6">
        <v>378.35599999999999</v>
      </c>
      <c r="N592" s="6">
        <v>378.35599999999999</v>
      </c>
      <c r="O592" s="6">
        <v>378.35599999999999</v>
      </c>
      <c r="P592" s="6">
        <v>66</v>
      </c>
      <c r="Q592" s="4" t="s">
        <v>26</v>
      </c>
      <c r="R592" s="4">
        <v>0</v>
      </c>
      <c r="S592" s="6">
        <v>0</v>
      </c>
      <c r="T592" s="6">
        <v>34</v>
      </c>
      <c r="U592" s="6">
        <v>66</v>
      </c>
      <c r="V592" s="6">
        <f>IF(ISERROR(VLOOKUP($S$592,'TAR FIN'!$A$1:$O$88,15,0)),0,VLOOKUP($S$592,'TAR FIN'!$A$1:$O$88,15,0))</f>
        <v>0</v>
      </c>
      <c r="W592" s="6">
        <f>IF(ISERROR(VLOOKUP($T$592,'TAR FIN'!$A$1:$O$88,15,0)),0,VLOOKUP($T$592,'TAR FIN'!$A$1:$O$88,15,0))</f>
        <v>234.16</v>
      </c>
      <c r="X592" s="6">
        <f>IF(ISERROR(VLOOKUP($U$592,'TAR FIN'!$A$1:$O$88,15,0)),0,VLOOKUP($U$592,'TAR FIN'!$A$1:$O$88,15,0))</f>
        <v>138.72</v>
      </c>
      <c r="Y592" s="6"/>
      <c r="Z592" s="6">
        <f ca="1">('TUSD BE'!$AM$50+'TUSD BF'!$AM$50+'TUSD CVA'!$AM$50)*1</f>
        <v>268.32134470300582</v>
      </c>
      <c r="AA592" s="6">
        <f>('TE BE'!$AB$40+'TE BF'!$AB$40+'TE CVA'!$AB$40)*1</f>
        <v>138.55847256178262</v>
      </c>
      <c r="AB592" s="6">
        <f>$K$592*$V$592</f>
        <v>0</v>
      </c>
      <c r="AC592" s="6">
        <f>$M$592*$W$592</f>
        <v>88595.840960000001</v>
      </c>
      <c r="AD592" s="6">
        <f>$O$592*$X$592</f>
        <v>52485.544320000001</v>
      </c>
      <c r="AE592" s="6">
        <f>$K$592*$Y$592</f>
        <v>0</v>
      </c>
      <c r="AF592" s="6">
        <f ca="1">$M$592*$Z$592</f>
        <v>101520.99069645046</v>
      </c>
      <c r="AG592" s="6">
        <f>$O$592*$AA$592</f>
        <v>52424.429444585825</v>
      </c>
    </row>
    <row r="593" spans="1:33" ht="11.25" customHeight="1" x14ac:dyDescent="0.25">
      <c r="A593" s="4" t="s">
        <v>21</v>
      </c>
      <c r="B593" s="4" t="s">
        <v>43</v>
      </c>
      <c r="C593" s="4" t="s">
        <v>23</v>
      </c>
      <c r="D593" s="4" t="s">
        <v>44</v>
      </c>
      <c r="E593" s="4" t="s">
        <v>45</v>
      </c>
      <c r="F593" s="4" t="s">
        <v>25</v>
      </c>
      <c r="G593" s="4" t="s">
        <v>25</v>
      </c>
      <c r="H593" s="4" t="s">
        <v>25</v>
      </c>
      <c r="I593" s="5">
        <v>44501</v>
      </c>
      <c r="J593" s="6">
        <v>0</v>
      </c>
      <c r="K593" s="6">
        <v>0</v>
      </c>
      <c r="L593" s="6">
        <v>377.95699999999999</v>
      </c>
      <c r="M593" s="6">
        <v>377.95699999999999</v>
      </c>
      <c r="N593" s="6">
        <v>377.95699999999999</v>
      </c>
      <c r="O593" s="6">
        <v>377.95699999999999</v>
      </c>
      <c r="P593" s="6">
        <v>66</v>
      </c>
      <c r="Q593" s="4" t="s">
        <v>26</v>
      </c>
      <c r="R593" s="4">
        <v>0</v>
      </c>
      <c r="S593" s="6">
        <v>0</v>
      </c>
      <c r="T593" s="6">
        <v>34</v>
      </c>
      <c r="U593" s="6">
        <v>66</v>
      </c>
      <c r="V593" s="6">
        <f>IF(ISERROR(VLOOKUP($S$593,'TAR FIN'!$A$1:$O$88,15,0)),0,VLOOKUP($S$593,'TAR FIN'!$A$1:$O$88,15,0))</f>
        <v>0</v>
      </c>
      <c r="W593" s="6">
        <f>IF(ISERROR(VLOOKUP($T$593,'TAR FIN'!$A$1:$O$88,15,0)),0,VLOOKUP($T$593,'TAR FIN'!$A$1:$O$88,15,0))</f>
        <v>234.16</v>
      </c>
      <c r="X593" s="6">
        <f>IF(ISERROR(VLOOKUP($U$593,'TAR FIN'!$A$1:$O$88,15,0)),0,VLOOKUP($U$593,'TAR FIN'!$A$1:$O$88,15,0))</f>
        <v>138.72</v>
      </c>
      <c r="Y593" s="6"/>
      <c r="Z593" s="6">
        <f ca="1">('TUSD BE'!$AM$50+'TUSD BF'!$AM$50+'TUSD CVA'!$AM$50)*1</f>
        <v>268.32134470300582</v>
      </c>
      <c r="AA593" s="6">
        <f>('TE BE'!$AB$40+'TE BF'!$AB$40+'TE CVA'!$AB$40)*1</f>
        <v>138.55847256178262</v>
      </c>
      <c r="AB593" s="6">
        <f>$K$593*$V$593</f>
        <v>0</v>
      </c>
      <c r="AC593" s="6">
        <f>$M$593*$W$593</f>
        <v>88502.411120000004</v>
      </c>
      <c r="AD593" s="6">
        <f>$O$593*$X$593</f>
        <v>52430.195039999999</v>
      </c>
      <c r="AE593" s="6">
        <f>$K$593*$Y$593</f>
        <v>0</v>
      </c>
      <c r="AF593" s="6">
        <f ca="1">$M$593*$Z$593</f>
        <v>101413.93047991396</v>
      </c>
      <c r="AG593" s="6">
        <f>$O$593*$AA$593</f>
        <v>52369.14461403367</v>
      </c>
    </row>
    <row r="594" spans="1:33" ht="11.25" customHeight="1" x14ac:dyDescent="0.25">
      <c r="A594" s="4" t="s">
        <v>21</v>
      </c>
      <c r="B594" s="4" t="s">
        <v>43</v>
      </c>
      <c r="C594" s="4" t="s">
        <v>23</v>
      </c>
      <c r="D594" s="4" t="s">
        <v>44</v>
      </c>
      <c r="E594" s="4" t="s">
        <v>45</v>
      </c>
      <c r="F594" s="4" t="s">
        <v>25</v>
      </c>
      <c r="G594" s="4" t="s">
        <v>25</v>
      </c>
      <c r="H594" s="4" t="s">
        <v>25</v>
      </c>
      <c r="I594" s="5">
        <v>44531</v>
      </c>
      <c r="J594" s="6">
        <v>0</v>
      </c>
      <c r="K594" s="6">
        <v>0</v>
      </c>
      <c r="L594" s="6">
        <v>387.53300000000002</v>
      </c>
      <c r="M594" s="6">
        <v>387.53300000000002</v>
      </c>
      <c r="N594" s="6">
        <v>387.53300000000002</v>
      </c>
      <c r="O594" s="6">
        <v>387.53300000000002</v>
      </c>
      <c r="P594" s="6">
        <v>66</v>
      </c>
      <c r="Q594" s="4" t="s">
        <v>26</v>
      </c>
      <c r="R594" s="4">
        <v>0</v>
      </c>
      <c r="S594" s="6">
        <v>0</v>
      </c>
      <c r="T594" s="6">
        <v>34</v>
      </c>
      <c r="U594" s="6">
        <v>66</v>
      </c>
      <c r="V594" s="6">
        <f>IF(ISERROR(VLOOKUP($S$594,'TAR FIN'!$A$1:$O$88,15,0)),0,VLOOKUP($S$594,'TAR FIN'!$A$1:$O$88,15,0))</f>
        <v>0</v>
      </c>
      <c r="W594" s="6">
        <f>IF(ISERROR(VLOOKUP($T$594,'TAR FIN'!$A$1:$O$88,15,0)),0,VLOOKUP($T$594,'TAR FIN'!$A$1:$O$88,15,0))</f>
        <v>234.16</v>
      </c>
      <c r="X594" s="6">
        <f>IF(ISERROR(VLOOKUP($U$594,'TAR FIN'!$A$1:$O$88,15,0)),0,VLOOKUP($U$594,'TAR FIN'!$A$1:$O$88,15,0))</f>
        <v>138.72</v>
      </c>
      <c r="Y594" s="6"/>
      <c r="Z594" s="6">
        <f ca="1">('TUSD BE'!$AM$50+'TUSD BF'!$AM$50+'TUSD CVA'!$AM$50)*1</f>
        <v>268.32134470300582</v>
      </c>
      <c r="AA594" s="6">
        <f>('TE BE'!$AB$40+'TE BF'!$AB$40+'TE CVA'!$AB$40)*1</f>
        <v>138.55847256178262</v>
      </c>
      <c r="AB594" s="6">
        <f>$K$594*$V$594</f>
        <v>0</v>
      </c>
      <c r="AC594" s="6">
        <f>$M$594*$W$594</f>
        <v>90744.727280000006</v>
      </c>
      <c r="AD594" s="6">
        <f>$O$594*$X$594</f>
        <v>53758.57776</v>
      </c>
      <c r="AE594" s="6">
        <f>$K$594*$Y$594</f>
        <v>0</v>
      </c>
      <c r="AF594" s="6">
        <f ca="1">$M$594*$Z$594</f>
        <v>103983.37567678996</v>
      </c>
      <c r="AG594" s="6">
        <f>$O$594*$AA$594</f>
        <v>53695.980547285304</v>
      </c>
    </row>
    <row r="595" spans="1:33" ht="11.25" customHeight="1" x14ac:dyDescent="0.25">
      <c r="A595" s="4" t="s">
        <v>21</v>
      </c>
      <c r="B595" s="4" t="s">
        <v>43</v>
      </c>
      <c r="C595" s="4" t="s">
        <v>23</v>
      </c>
      <c r="D595" s="4" t="s">
        <v>44</v>
      </c>
      <c r="E595" s="4" t="s">
        <v>45</v>
      </c>
      <c r="F595" s="4" t="s">
        <v>25</v>
      </c>
      <c r="G595" s="4" t="s">
        <v>25</v>
      </c>
      <c r="H595" s="4" t="s">
        <v>25</v>
      </c>
      <c r="I595" s="5">
        <v>44562</v>
      </c>
      <c r="J595" s="6">
        <v>0</v>
      </c>
      <c r="K595" s="6">
        <v>0</v>
      </c>
      <c r="L595" s="6">
        <v>391.65499999999997</v>
      </c>
      <c r="M595" s="6">
        <v>391.65499999999997</v>
      </c>
      <c r="N595" s="6">
        <v>391.65499999999997</v>
      </c>
      <c r="O595" s="6">
        <v>391.65499999999997</v>
      </c>
      <c r="P595" s="6">
        <v>66</v>
      </c>
      <c r="Q595" s="4" t="s">
        <v>26</v>
      </c>
      <c r="R595" s="4">
        <v>0</v>
      </c>
      <c r="S595" s="6">
        <v>0</v>
      </c>
      <c r="T595" s="6">
        <v>34</v>
      </c>
      <c r="U595" s="6">
        <v>66</v>
      </c>
      <c r="V595" s="6">
        <f>IF(ISERROR(VLOOKUP($S$595,'TAR FIN'!$A$1:$O$88,15,0)),0,VLOOKUP($S$595,'TAR FIN'!$A$1:$O$88,15,0))</f>
        <v>0</v>
      </c>
      <c r="W595" s="6">
        <f>IF(ISERROR(VLOOKUP($T$595,'TAR FIN'!$A$1:$O$88,15,0)),0,VLOOKUP($T$595,'TAR FIN'!$A$1:$O$88,15,0))</f>
        <v>234.16</v>
      </c>
      <c r="X595" s="6">
        <f>IF(ISERROR(VLOOKUP($U$595,'TAR FIN'!$A$1:$O$88,15,0)),0,VLOOKUP($U$595,'TAR FIN'!$A$1:$O$88,15,0))</f>
        <v>138.72</v>
      </c>
      <c r="Y595" s="6"/>
      <c r="Z595" s="6">
        <f ca="1">('TUSD BE'!$AM$50+'TUSD BF'!$AM$50+'TUSD CVA'!$AM$50)*1</f>
        <v>268.32134470300582</v>
      </c>
      <c r="AA595" s="6">
        <f>('TE BE'!$AB$40+'TE BF'!$AB$40+'TE CVA'!$AB$40)*1</f>
        <v>138.55847256178262</v>
      </c>
      <c r="AB595" s="6">
        <f>$K$595*$V$595</f>
        <v>0</v>
      </c>
      <c r="AC595" s="6">
        <f>$M$595*$W$595</f>
        <v>91709.934799999988</v>
      </c>
      <c r="AD595" s="6">
        <f>$O$595*$X$595</f>
        <v>54330.381599999993</v>
      </c>
      <c r="AE595" s="6">
        <f>$K$595*$Y$595</f>
        <v>0</v>
      </c>
      <c r="AF595" s="6">
        <f ca="1">$M$595*$Z$595</f>
        <v>105089.39625965574</v>
      </c>
      <c r="AG595" s="6">
        <f>$O$595*$AA$595</f>
        <v>54267.118571184968</v>
      </c>
    </row>
    <row r="596" spans="1:33" ht="11.25" customHeight="1" x14ac:dyDescent="0.25">
      <c r="A596" s="4" t="s">
        <v>21</v>
      </c>
      <c r="B596" s="4" t="s">
        <v>43</v>
      </c>
      <c r="C596" s="4" t="s">
        <v>23</v>
      </c>
      <c r="D596" s="4" t="s">
        <v>44</v>
      </c>
      <c r="E596" s="4" t="s">
        <v>45</v>
      </c>
      <c r="F596" s="4" t="s">
        <v>25</v>
      </c>
      <c r="G596" s="4" t="s">
        <v>25</v>
      </c>
      <c r="H596" s="4" t="s">
        <v>25</v>
      </c>
      <c r="I596" s="5">
        <v>44593</v>
      </c>
      <c r="J596" s="6">
        <v>0</v>
      </c>
      <c r="K596" s="6">
        <v>0</v>
      </c>
      <c r="L596" s="6">
        <v>416.22199999999998</v>
      </c>
      <c r="M596" s="6">
        <v>416.22199999999998</v>
      </c>
      <c r="N596" s="6">
        <v>416.22199999999998</v>
      </c>
      <c r="O596" s="6">
        <v>416.22199999999998</v>
      </c>
      <c r="P596" s="6">
        <v>38</v>
      </c>
      <c r="Q596" s="4" t="s">
        <v>26</v>
      </c>
      <c r="R596" s="4">
        <v>0</v>
      </c>
      <c r="S596" s="6">
        <v>0</v>
      </c>
      <c r="T596" s="6">
        <v>34</v>
      </c>
      <c r="U596" s="6">
        <v>66</v>
      </c>
      <c r="V596" s="6">
        <f>IF(ISERROR(VLOOKUP($S$596,'TAR FIN'!$A$1:$O$88,15,0)),0,VLOOKUP($S$596,'TAR FIN'!$A$1:$O$88,15,0))</f>
        <v>0</v>
      </c>
      <c r="W596" s="6">
        <f>IF(ISERROR(VLOOKUP($T$596,'TAR FIN'!$A$1:$O$88,15,0)),0,VLOOKUP($T$596,'TAR FIN'!$A$1:$O$88,15,0))</f>
        <v>234.16</v>
      </c>
      <c r="X596" s="6">
        <f>IF(ISERROR(VLOOKUP($U$596,'TAR FIN'!$A$1:$O$88,15,0)),0,VLOOKUP($U$596,'TAR FIN'!$A$1:$O$88,15,0))</f>
        <v>138.72</v>
      </c>
      <c r="Y596" s="6"/>
      <c r="Z596" s="6">
        <f ca="1">('TUSD BE'!$AM$50+'TUSD BF'!$AM$50+'TUSD CVA'!$AM$50)*1</f>
        <v>268.32134470300582</v>
      </c>
      <c r="AA596" s="6">
        <f>('TE BE'!$AB$40+'TE BF'!$AB$40+'TE CVA'!$AB$40)*1</f>
        <v>138.55847256178262</v>
      </c>
      <c r="AB596" s="6">
        <f>$K$596*$V$596</f>
        <v>0</v>
      </c>
      <c r="AC596" s="6">
        <f>$M$596*$W$596</f>
        <v>97462.543519999992</v>
      </c>
      <c r="AD596" s="6">
        <f>$O$596*$X$596</f>
        <v>57738.315839999996</v>
      </c>
      <c r="AE596" s="6">
        <f>$K$596*$Y$596</f>
        <v>0</v>
      </c>
      <c r="AF596" s="6">
        <f ca="1">$M$596*$Z$596</f>
        <v>111681.24673497448</v>
      </c>
      <c r="AG596" s="6">
        <f>$O$596*$AA$596</f>
        <v>57671.084566610283</v>
      </c>
    </row>
    <row r="597" spans="1:33" ht="11.25" customHeight="1" x14ac:dyDescent="0.25">
      <c r="A597" s="4" t="s">
        <v>21</v>
      </c>
      <c r="B597" s="4" t="s">
        <v>43</v>
      </c>
      <c r="C597" s="4" t="s">
        <v>23</v>
      </c>
      <c r="D597" s="4" t="s">
        <v>44</v>
      </c>
      <c r="E597" s="4" t="s">
        <v>45</v>
      </c>
      <c r="F597" s="4" t="s">
        <v>25</v>
      </c>
      <c r="G597" s="4" t="s">
        <v>25</v>
      </c>
      <c r="H597" s="4" t="s">
        <v>25</v>
      </c>
      <c r="I597" s="5">
        <v>44621</v>
      </c>
      <c r="J597" s="6">
        <v>0</v>
      </c>
      <c r="K597" s="6">
        <v>0</v>
      </c>
      <c r="L597" s="6">
        <v>933.61500000000001</v>
      </c>
      <c r="M597" s="6">
        <v>933.61500000000001</v>
      </c>
      <c r="N597" s="6">
        <v>933.61500000000001</v>
      </c>
      <c r="O597" s="6">
        <v>933.61500000000001</v>
      </c>
      <c r="P597" s="6">
        <v>39</v>
      </c>
      <c r="Q597" s="4" t="s">
        <v>26</v>
      </c>
      <c r="R597" s="4">
        <v>0</v>
      </c>
      <c r="S597" s="6">
        <v>0</v>
      </c>
      <c r="T597" s="6">
        <v>34</v>
      </c>
      <c r="U597" s="6">
        <v>66</v>
      </c>
      <c r="V597" s="6">
        <f>IF(ISERROR(VLOOKUP($S$597,'TAR FIN'!$A$1:$O$88,15,0)),0,VLOOKUP($S$597,'TAR FIN'!$A$1:$O$88,15,0))</f>
        <v>0</v>
      </c>
      <c r="W597" s="6">
        <f>IF(ISERROR(VLOOKUP($T$597,'TAR FIN'!$A$1:$O$88,15,0)),0,VLOOKUP($T$597,'TAR FIN'!$A$1:$O$88,15,0))</f>
        <v>234.16</v>
      </c>
      <c r="X597" s="6">
        <f>IF(ISERROR(VLOOKUP($U$597,'TAR FIN'!$A$1:$O$88,15,0)),0,VLOOKUP($U$597,'TAR FIN'!$A$1:$O$88,15,0))</f>
        <v>138.72</v>
      </c>
      <c r="Y597" s="6"/>
      <c r="Z597" s="6">
        <f ca="1">('TUSD BE'!$AM$50+'TUSD BF'!$AM$50+'TUSD CVA'!$AM$50)*1</f>
        <v>268.32134470300582</v>
      </c>
      <c r="AA597" s="6">
        <f>('TE BE'!$AB$40+'TE BF'!$AB$40+'TE CVA'!$AB$40)*1</f>
        <v>138.55847256178262</v>
      </c>
      <c r="AB597" s="6">
        <f>$K$597*$V$597</f>
        <v>0</v>
      </c>
      <c r="AC597" s="6">
        <f>$M$597*$W$597</f>
        <v>218615.28839999999</v>
      </c>
      <c r="AD597" s="6">
        <f>$O$597*$X$597</f>
        <v>129511.07279999999</v>
      </c>
      <c r="AE597" s="6">
        <f>$K$597*$Y$597</f>
        <v>0</v>
      </c>
      <c r="AF597" s="6">
        <f ca="1">$M$597*$Z$597</f>
        <v>250508.83223489678</v>
      </c>
      <c r="AG597" s="6">
        <f>$O$597*$AA$597</f>
        <v>129360.26836076868</v>
      </c>
    </row>
    <row r="598" spans="1:33" ht="11.25" customHeight="1" x14ac:dyDescent="0.25">
      <c r="A598" s="4" t="s">
        <v>21</v>
      </c>
      <c r="B598" s="4" t="s">
        <v>43</v>
      </c>
      <c r="C598" s="4" t="s">
        <v>23</v>
      </c>
      <c r="D598" s="4" t="s">
        <v>44</v>
      </c>
      <c r="E598" s="4" t="s">
        <v>45</v>
      </c>
      <c r="F598" s="4" t="s">
        <v>25</v>
      </c>
      <c r="G598" s="4" t="s">
        <v>25</v>
      </c>
      <c r="H598" s="4" t="s">
        <v>25</v>
      </c>
      <c r="I598" s="5">
        <v>44652</v>
      </c>
      <c r="J598" s="6">
        <v>0</v>
      </c>
      <c r="K598" s="6">
        <v>0</v>
      </c>
      <c r="L598" s="6">
        <v>415.815</v>
      </c>
      <c r="M598" s="6">
        <v>415.815</v>
      </c>
      <c r="N598" s="6">
        <v>415.815</v>
      </c>
      <c r="O598" s="6">
        <v>415.815</v>
      </c>
      <c r="P598" s="6">
        <v>39</v>
      </c>
      <c r="Q598" s="4" t="s">
        <v>26</v>
      </c>
      <c r="R598" s="4">
        <v>0</v>
      </c>
      <c r="S598" s="6">
        <v>0</v>
      </c>
      <c r="T598" s="6">
        <v>34</v>
      </c>
      <c r="U598" s="6">
        <v>66</v>
      </c>
      <c r="V598" s="6">
        <f>IF(ISERROR(VLOOKUP($S$598,'TAR FIN'!$A$1:$O$88,15,0)),0,VLOOKUP($S$598,'TAR FIN'!$A$1:$O$88,15,0))</f>
        <v>0</v>
      </c>
      <c r="W598" s="6">
        <f>IF(ISERROR(VLOOKUP($T$598,'TAR FIN'!$A$1:$O$88,15,0)),0,VLOOKUP($T$598,'TAR FIN'!$A$1:$O$88,15,0))</f>
        <v>234.16</v>
      </c>
      <c r="X598" s="6">
        <f>IF(ISERROR(VLOOKUP($U$598,'TAR FIN'!$A$1:$O$88,15,0)),0,VLOOKUP($U$598,'TAR FIN'!$A$1:$O$88,15,0))</f>
        <v>138.72</v>
      </c>
      <c r="Y598" s="6"/>
      <c r="Z598" s="6">
        <f ca="1">('TUSD BE'!$AM$50+'TUSD BF'!$AM$50+'TUSD CVA'!$AM$50)*1</f>
        <v>268.32134470300582</v>
      </c>
      <c r="AA598" s="6">
        <f>('TE BE'!$AB$40+'TE BF'!$AB$40+'TE CVA'!$AB$40)*1</f>
        <v>138.55847256178262</v>
      </c>
      <c r="AB598" s="6">
        <f>$K$598*$V$598</f>
        <v>0</v>
      </c>
      <c r="AC598" s="6">
        <f>$M$598*$W$598</f>
        <v>97367.240399999995</v>
      </c>
      <c r="AD598" s="6">
        <f>$O$598*$X$598</f>
        <v>57681.856800000001</v>
      </c>
      <c r="AE598" s="6">
        <f>$K$598*$Y$598</f>
        <v>0</v>
      </c>
      <c r="AF598" s="6">
        <f ca="1">$M$598*$Z$598</f>
        <v>111572.03994768036</v>
      </c>
      <c r="AG598" s="6">
        <f>$O$598*$AA$598</f>
        <v>57614.691268277638</v>
      </c>
    </row>
    <row r="599" spans="1:33" ht="11.25" customHeight="1" x14ac:dyDescent="0.25">
      <c r="A599" s="4" t="s">
        <v>27</v>
      </c>
      <c r="B599" s="4" t="s">
        <v>43</v>
      </c>
      <c r="C599" s="4" t="s">
        <v>23</v>
      </c>
      <c r="D599" s="4" t="s">
        <v>44</v>
      </c>
      <c r="E599" s="4" t="s">
        <v>45</v>
      </c>
      <c r="F599" s="4" t="s">
        <v>25</v>
      </c>
      <c r="G599" s="4" t="s">
        <v>25</v>
      </c>
      <c r="H599" s="4" t="s">
        <v>25</v>
      </c>
      <c r="I599" s="5">
        <v>44652</v>
      </c>
      <c r="J599" s="6">
        <v>0</v>
      </c>
      <c r="K599" s="6">
        <v>0</v>
      </c>
      <c r="L599" s="6">
        <v>-519.51099999999997</v>
      </c>
      <c r="M599" s="6">
        <v>-519.51099999999997</v>
      </c>
      <c r="N599" s="6">
        <v>-519.51099999999997</v>
      </c>
      <c r="O599" s="6">
        <v>-519.51099999999997</v>
      </c>
      <c r="P599" s="6">
        <v>0</v>
      </c>
      <c r="Q599" s="4" t="s">
        <v>26</v>
      </c>
      <c r="R599" s="4">
        <v>0</v>
      </c>
      <c r="S599" s="6">
        <v>0</v>
      </c>
      <c r="T599" s="6">
        <v>34</v>
      </c>
      <c r="U599" s="6">
        <v>66</v>
      </c>
      <c r="V599" s="6">
        <f>IF(ISERROR(VLOOKUP($S$599,'TAR FIN'!$A$1:$O$88,15,0)),0,VLOOKUP($S$599,'TAR FIN'!$A$1:$O$88,15,0))</f>
        <v>0</v>
      </c>
      <c r="W599" s="6">
        <f>IF(ISERROR(VLOOKUP($T$599,'TAR FIN'!$A$1:$O$88,15,0)),0,VLOOKUP($T$599,'TAR FIN'!$A$1:$O$88,15,0))</f>
        <v>234.16</v>
      </c>
      <c r="X599" s="6">
        <f>IF(ISERROR(VLOOKUP($U$599,'TAR FIN'!$A$1:$O$88,15,0)),0,VLOOKUP($U$599,'TAR FIN'!$A$1:$O$88,15,0))</f>
        <v>138.72</v>
      </c>
      <c r="Y599" s="6"/>
      <c r="Z599" s="6">
        <f ca="1">('TUSD BE'!$AM$50+'TUSD BF'!$AM$50+'TUSD CVA'!$AM$50)*1</f>
        <v>268.32134470300582</v>
      </c>
      <c r="AA599" s="6">
        <f>('TE BE'!$AB$40+'TE BF'!$AB$40+'TE CVA'!$AB$40)*1</f>
        <v>138.55847256178262</v>
      </c>
      <c r="AB599" s="6">
        <f>$K$599*$V$599</f>
        <v>0</v>
      </c>
      <c r="AC599" s="6">
        <f>$M$599*$W$599</f>
        <v>-121648.69575999999</v>
      </c>
      <c r="AD599" s="6">
        <f>$O$599*$X$599</f>
        <v>-72066.565919999994</v>
      </c>
      <c r="AE599" s="6">
        <f>$K$599*$Y$599</f>
        <v>0</v>
      </c>
      <c r="AF599" s="6">
        <f ca="1">$M$599*$Z$599</f>
        <v>-139395.89010800325</v>
      </c>
      <c r="AG599" s="6">
        <f>$O$599*$AA$599</f>
        <v>-71982.650639044252</v>
      </c>
    </row>
    <row r="600" spans="1:33" ht="11.25" customHeight="1" x14ac:dyDescent="0.25">
      <c r="A600" s="4" t="s">
        <v>21</v>
      </c>
      <c r="B600" s="4" t="s">
        <v>43</v>
      </c>
      <c r="C600" s="4" t="s">
        <v>23</v>
      </c>
      <c r="D600" s="4" t="s">
        <v>44</v>
      </c>
      <c r="E600" s="4" t="s">
        <v>45</v>
      </c>
      <c r="F600" s="4" t="s">
        <v>25</v>
      </c>
      <c r="G600" s="4" t="s">
        <v>25</v>
      </c>
      <c r="H600" s="4" t="s">
        <v>25</v>
      </c>
      <c r="I600" s="5">
        <v>44682</v>
      </c>
      <c r="J600" s="6">
        <v>0</v>
      </c>
      <c r="K600" s="6">
        <v>0</v>
      </c>
      <c r="L600" s="6">
        <v>447.61700000000002</v>
      </c>
      <c r="M600" s="6">
        <v>447.61700000000002</v>
      </c>
      <c r="N600" s="6">
        <v>447.61700000000002</v>
      </c>
      <c r="O600" s="6">
        <v>447.61700000000002</v>
      </c>
      <c r="P600" s="6">
        <v>38</v>
      </c>
      <c r="Q600" s="4" t="s">
        <v>26</v>
      </c>
      <c r="R600" s="4">
        <v>0</v>
      </c>
      <c r="S600" s="6">
        <v>0</v>
      </c>
      <c r="T600" s="6">
        <v>34</v>
      </c>
      <c r="U600" s="6">
        <v>66</v>
      </c>
      <c r="V600" s="6">
        <f>IF(ISERROR(VLOOKUP($S$600,'TAR FIN'!$A$1:$O$88,15,0)),0,VLOOKUP($S$600,'TAR FIN'!$A$1:$O$88,15,0))</f>
        <v>0</v>
      </c>
      <c r="W600" s="6">
        <f>IF(ISERROR(VLOOKUP($T$600,'TAR FIN'!$A$1:$O$88,15,0)),0,VLOOKUP($T$600,'TAR FIN'!$A$1:$O$88,15,0))</f>
        <v>234.16</v>
      </c>
      <c r="X600" s="6">
        <f>IF(ISERROR(VLOOKUP($U$600,'TAR FIN'!$A$1:$O$88,15,0)),0,VLOOKUP($U$600,'TAR FIN'!$A$1:$O$88,15,0))</f>
        <v>138.72</v>
      </c>
      <c r="Y600" s="6"/>
      <c r="Z600" s="6">
        <f ca="1">('TUSD BE'!$AM$50+'TUSD BF'!$AM$50+'TUSD CVA'!$AM$50)*1</f>
        <v>268.32134470300582</v>
      </c>
      <c r="AA600" s="6">
        <f>('TE BE'!$AB$40+'TE BF'!$AB$40+'TE CVA'!$AB$40)*1</f>
        <v>138.55847256178262</v>
      </c>
      <c r="AB600" s="6">
        <f>$K$600*$V$600</f>
        <v>0</v>
      </c>
      <c r="AC600" s="6">
        <f>$M$600*$W$600</f>
        <v>104813.99672000001</v>
      </c>
      <c r="AD600" s="6">
        <f>$O$600*$X$600</f>
        <v>62093.430240000002</v>
      </c>
      <c r="AE600" s="6">
        <f>$K$600*$Y$600</f>
        <v>0</v>
      </c>
      <c r="AF600" s="6">
        <f ca="1">$M$600*$Z$600</f>
        <v>120105.19535192536</v>
      </c>
      <c r="AG600" s="6">
        <f>$O$600*$AA$600</f>
        <v>62021.127812687453</v>
      </c>
    </row>
    <row r="601" spans="1:33" ht="11.25" customHeight="1" x14ac:dyDescent="0.25">
      <c r="A601" s="4" t="s">
        <v>21</v>
      </c>
      <c r="B601" s="4" t="s">
        <v>43</v>
      </c>
      <c r="C601" s="4" t="s">
        <v>23</v>
      </c>
      <c r="D601" s="4" t="s">
        <v>44</v>
      </c>
      <c r="E601" s="4" t="s">
        <v>45</v>
      </c>
      <c r="F601" s="4" t="s">
        <v>25</v>
      </c>
      <c r="G601" s="4" t="s">
        <v>25</v>
      </c>
      <c r="H601" s="4" t="s">
        <v>25</v>
      </c>
      <c r="I601" s="5">
        <v>44713</v>
      </c>
      <c r="J601" s="6">
        <v>0</v>
      </c>
      <c r="K601" s="6">
        <v>0</v>
      </c>
      <c r="L601" s="6">
        <v>433.98200000000003</v>
      </c>
      <c r="M601" s="6">
        <v>433.98200000000003</v>
      </c>
      <c r="N601" s="6">
        <v>433.98200000000003</v>
      </c>
      <c r="O601" s="6">
        <v>433.98200000000003</v>
      </c>
      <c r="P601" s="6">
        <v>38</v>
      </c>
      <c r="Q601" s="4" t="s">
        <v>26</v>
      </c>
      <c r="R601" s="4">
        <v>0</v>
      </c>
      <c r="S601" s="6">
        <v>0</v>
      </c>
      <c r="T601" s="6">
        <v>34</v>
      </c>
      <c r="U601" s="6">
        <v>66</v>
      </c>
      <c r="V601" s="6">
        <f>IF(ISERROR(VLOOKUP($S$601,'TAR FIN'!$A$1:$O$88,15,0)),0,VLOOKUP($S$601,'TAR FIN'!$A$1:$O$88,15,0))</f>
        <v>0</v>
      </c>
      <c r="W601" s="6">
        <f>IF(ISERROR(VLOOKUP($T$601,'TAR FIN'!$A$1:$O$88,15,0)),0,VLOOKUP($T$601,'TAR FIN'!$A$1:$O$88,15,0))</f>
        <v>234.16</v>
      </c>
      <c r="X601" s="6">
        <f>IF(ISERROR(VLOOKUP($U$601,'TAR FIN'!$A$1:$O$88,15,0)),0,VLOOKUP($U$601,'TAR FIN'!$A$1:$O$88,15,0))</f>
        <v>138.72</v>
      </c>
      <c r="Y601" s="6"/>
      <c r="Z601" s="6">
        <f ca="1">('TUSD BE'!$AM$50+'TUSD BF'!$AM$50+'TUSD CVA'!$AM$50)*1</f>
        <v>268.32134470300582</v>
      </c>
      <c r="AA601" s="6">
        <f>('TE BE'!$AB$40+'TE BF'!$AB$40+'TE CVA'!$AB$40)*1</f>
        <v>138.55847256178262</v>
      </c>
      <c r="AB601" s="6">
        <f>$K$601*$V$601</f>
        <v>0</v>
      </c>
      <c r="AC601" s="6">
        <f>$M$601*$W$601</f>
        <v>101621.22512</v>
      </c>
      <c r="AD601" s="6">
        <f>$O$601*$X$601</f>
        <v>60201.983040000006</v>
      </c>
      <c r="AE601" s="6">
        <f>$K$601*$Y$601</f>
        <v>0</v>
      </c>
      <c r="AF601" s="6">
        <f ca="1">$M$601*$Z$601</f>
        <v>116446.63381689988</v>
      </c>
      <c r="AG601" s="6">
        <f>$O$601*$AA$601</f>
        <v>60131.883039307548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0451-DB33-45C9-A663-FE5D9AF770B3}">
  <sheetPr codeName="Planilha17"/>
  <dimension ref="A1:AJ602"/>
  <sheetViews>
    <sheetView showGridLines="0" topLeftCell="AH1" workbookViewId="0">
      <selection activeCell="AQ21" sqref="AQ21"/>
    </sheetView>
  </sheetViews>
  <sheetFormatPr defaultColWidth="9.140625"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855468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6" width="10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H1" s="34" t="s">
        <v>560</v>
      </c>
      <c r="AI1" s="34" t="s">
        <v>566</v>
      </c>
      <c r="AJ1" s="34" t="s">
        <v>567</v>
      </c>
    </row>
    <row r="2" spans="1:36" ht="11.25" customHeight="1" x14ac:dyDescent="0.25">
      <c r="A2" s="4" t="s">
        <v>28</v>
      </c>
      <c r="B2" s="4" t="s">
        <v>35</v>
      </c>
      <c r="C2" s="4" t="s">
        <v>52</v>
      </c>
      <c r="D2" s="4" t="s">
        <v>41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44593</v>
      </c>
      <c r="J2" s="6">
        <v>75</v>
      </c>
      <c r="K2" s="52">
        <v>75</v>
      </c>
      <c r="L2" s="6">
        <v>0</v>
      </c>
      <c r="M2" s="52">
        <v>0</v>
      </c>
      <c r="N2" s="6">
        <v>0</v>
      </c>
      <c r="O2" s="52">
        <v>0</v>
      </c>
      <c r="P2" s="6">
        <v>0</v>
      </c>
      <c r="Q2" s="4" t="s">
        <v>26</v>
      </c>
      <c r="R2" s="4">
        <v>0</v>
      </c>
      <c r="S2" s="4">
        <v>16</v>
      </c>
      <c r="T2" s="4">
        <v>0</v>
      </c>
      <c r="U2" s="4">
        <v>0</v>
      </c>
      <c r="V2" s="52">
        <f>IF(ISERROR(VLOOKUP($S$2,'TAR FIN'!$A$1:$O$88,15,0)),0,VLOOKUP($S$2,'TAR FIN'!$A$1:$O$88,15,0))*(1-0.04)</f>
        <v>43.603200000000001</v>
      </c>
      <c r="W2" s="52">
        <f>IF(ISERROR(VLOOKUP($T$2,'TAR FIN'!$A$1:$O$88,15,0)),0,VLOOKUP($T$2,'TAR FIN'!$A$1:$O$88,15,0))*(1-0.04)</f>
        <v>0</v>
      </c>
      <c r="X2" s="52">
        <f>IF(ISERROR(VLOOKUP($U$2,'TAR FIN'!$A$1:$O$88,15,0)),0,VLOOKUP($U$2,'TAR FIN'!$A$1:$O$88,15,0))*(1-0.04)</f>
        <v>0</v>
      </c>
      <c r="Y2" s="52">
        <f ca="1">('TUSD BE'!$AM$6+'TUSD BF'!$AM$6+'TUSD CVA'!$AM$6)*1*(1-0.02)</f>
        <v>50.510684974163915</v>
      </c>
      <c r="Z2" s="52">
        <f ca="1">('TUSD BE'!$AM$7+'TUSD BF'!$AM$7+'TUSD CVA'!$AM$7)*1*(1-0.02)</f>
        <v>100.66205186369288</v>
      </c>
      <c r="AA2" s="52">
        <f>('TE BE'!$AB$6+'TE BF'!$AB$6+'TE CVA'!$AB$6)*1*(1-0.02)</f>
        <v>246.88600565553992</v>
      </c>
      <c r="AB2" s="52">
        <f>(SUBSIDIO!$J$2*SUBSIDIO!$V$2)*(0.04)/(1-0.04)</f>
        <v>136.26000000000002</v>
      </c>
      <c r="AC2" s="52">
        <f>((SUBSIDIO!$L$2*SUBSIDIO!$W$2)+(SUBSIDIO!$N$2*SUBSIDIO!$X$2))*(0.04)/(1-0.04)</f>
        <v>0</v>
      </c>
      <c r="AD2" s="52">
        <f ca="1">(SUBSIDIO!$J$2*SUBSIDIO!$Y$2)*(0.02)/(1-0.02)</f>
        <v>77.312272919638659</v>
      </c>
      <c r="AE2" s="52">
        <f ca="1">((SUBSIDIO!$L$2*SUBSIDIO!$Z$2)+(SUBSIDIO!$N$2*SUBSIDIO!$AA$2))*(0.02)/(1-0.02)</f>
        <v>0</v>
      </c>
      <c r="AF2" s="4" t="s">
        <v>561</v>
      </c>
      <c r="AH2" s="35" t="s">
        <v>562</v>
      </c>
      <c r="AI2" s="36">
        <f t="shared" ref="AI2:AI9" si="0">SUMIF($AF$2:$AF$602,AH2,$AB$2:$AB$602)+SUMIF($AF$2:$AF$602,AH2,$AC$2:$AC$602)</f>
        <v>174391.04753999997</v>
      </c>
      <c r="AJ2" s="36">
        <f t="shared" ref="AJ2:AJ9" ca="1" si="1">SUMIF($AF$2:$AF$602,AH2,$AD$2:$AD$602)+SUMIF($AF$2:$AF$602,AH2,$AE$2:$AE$602)</f>
        <v>197940.51084737276</v>
      </c>
    </row>
    <row r="3" spans="1:36" ht="11.25" customHeight="1" x14ac:dyDescent="0.25">
      <c r="A3" s="4" t="s">
        <v>28</v>
      </c>
      <c r="B3" s="4" t="s">
        <v>35</v>
      </c>
      <c r="C3" s="4" t="s">
        <v>52</v>
      </c>
      <c r="D3" s="4" t="s">
        <v>41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44621</v>
      </c>
      <c r="J3" s="6">
        <v>69</v>
      </c>
      <c r="K3" s="52">
        <v>69</v>
      </c>
      <c r="L3" s="6">
        <v>0</v>
      </c>
      <c r="M3" s="52">
        <v>0</v>
      </c>
      <c r="N3" s="6">
        <v>0</v>
      </c>
      <c r="O3" s="52">
        <v>0</v>
      </c>
      <c r="P3" s="6">
        <v>0</v>
      </c>
      <c r="Q3" s="4" t="s">
        <v>26</v>
      </c>
      <c r="R3" s="4">
        <v>0</v>
      </c>
      <c r="S3" s="4">
        <v>16</v>
      </c>
      <c r="T3" s="4">
        <v>0</v>
      </c>
      <c r="U3" s="4">
        <v>0</v>
      </c>
      <c r="V3" s="52">
        <f>IF(ISERROR(VLOOKUP($S$3,'TAR FIN'!$A$1:$O$88,15,0)),0,VLOOKUP($S$3,'TAR FIN'!$A$1:$O$88,15,0))*(1-0.04)</f>
        <v>43.603200000000001</v>
      </c>
      <c r="W3" s="52">
        <f>IF(ISERROR(VLOOKUP($T$3,'TAR FIN'!$A$1:$O$88,15,0)),0,VLOOKUP($T$3,'TAR FIN'!$A$1:$O$88,15,0))*(1-0.04)</f>
        <v>0</v>
      </c>
      <c r="X3" s="52">
        <f>IF(ISERROR(VLOOKUP($U$3,'TAR FIN'!$A$1:$O$88,15,0)),0,VLOOKUP($U$3,'TAR FIN'!$A$1:$O$88,15,0))*(1-0.04)</f>
        <v>0</v>
      </c>
      <c r="Y3" s="52">
        <f ca="1">('TUSD BE'!$AM$6+'TUSD BF'!$AM$6+'TUSD CVA'!$AM$6)*1*(1-0.02)</f>
        <v>50.510684974163915</v>
      </c>
      <c r="Z3" s="52">
        <f ca="1">('TUSD BE'!$AM$7+'TUSD BF'!$AM$7+'TUSD CVA'!$AM$7)*1*(1-0.02)</f>
        <v>100.66205186369288</v>
      </c>
      <c r="AA3" s="52">
        <f>('TE BE'!$AB$6+'TE BF'!$AB$6+'TE CVA'!$AB$6)*1*(1-0.02)</f>
        <v>246.88600565553992</v>
      </c>
      <c r="AB3" s="52">
        <f>(SUBSIDIO!$J$3*SUBSIDIO!$V$3)*(0.04)/(1-0.04)</f>
        <v>125.35920000000002</v>
      </c>
      <c r="AC3" s="52">
        <f>((SUBSIDIO!$L$3*SUBSIDIO!$W$3)+(SUBSIDIO!$N$3*SUBSIDIO!$X$3))*(0.04)/(1-0.04)</f>
        <v>0</v>
      </c>
      <c r="AD3" s="52">
        <f ca="1">(SUBSIDIO!$J$3*SUBSIDIO!$Y$3)*(0.02)/(1-0.02)</f>
        <v>71.127291086067558</v>
      </c>
      <c r="AE3" s="52">
        <f ca="1">((SUBSIDIO!$L$3*SUBSIDIO!$Z$3)+(SUBSIDIO!$N$3*SUBSIDIO!$AA$3))*(0.02)/(1-0.02)</f>
        <v>0</v>
      </c>
      <c r="AF3" s="4" t="s">
        <v>561</v>
      </c>
      <c r="AH3" s="35" t="s">
        <v>568</v>
      </c>
      <c r="AI3" s="36">
        <f t="shared" si="0"/>
        <v>0</v>
      </c>
      <c r="AJ3" s="36">
        <f t="shared" si="1"/>
        <v>0</v>
      </c>
    </row>
    <row r="4" spans="1:36" ht="11.25" customHeight="1" x14ac:dyDescent="0.25">
      <c r="A4" s="4" t="s">
        <v>28</v>
      </c>
      <c r="B4" s="4" t="s">
        <v>35</v>
      </c>
      <c r="C4" s="4" t="s">
        <v>52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44621</v>
      </c>
      <c r="J4" s="6">
        <v>-5</v>
      </c>
      <c r="K4" s="52">
        <v>-5</v>
      </c>
      <c r="L4" s="6">
        <v>0</v>
      </c>
      <c r="M4" s="52">
        <v>0</v>
      </c>
      <c r="N4" s="6">
        <v>0</v>
      </c>
      <c r="O4" s="52">
        <v>0</v>
      </c>
      <c r="P4" s="6">
        <v>0</v>
      </c>
      <c r="Q4" s="4" t="s">
        <v>26</v>
      </c>
      <c r="R4" s="4">
        <v>0</v>
      </c>
      <c r="S4" s="4">
        <v>16</v>
      </c>
      <c r="T4" s="4">
        <v>0</v>
      </c>
      <c r="U4" s="4">
        <v>0</v>
      </c>
      <c r="V4" s="52">
        <f>IF(ISERROR(VLOOKUP($S$4,'TAR FIN'!$A$1:$O$88,15,0)),0,VLOOKUP($S$4,'TAR FIN'!$A$1:$O$88,15,0))*(1-0.04)</f>
        <v>43.603200000000001</v>
      </c>
      <c r="W4" s="52">
        <f>IF(ISERROR(VLOOKUP($T$4,'TAR FIN'!$A$1:$O$88,15,0)),0,VLOOKUP($T$4,'TAR FIN'!$A$1:$O$88,15,0))*(1-0.04)</f>
        <v>0</v>
      </c>
      <c r="X4" s="52">
        <f>IF(ISERROR(VLOOKUP($U$4,'TAR FIN'!$A$1:$O$88,15,0)),0,VLOOKUP($U$4,'TAR FIN'!$A$1:$O$88,15,0))*(1-0.04)</f>
        <v>0</v>
      </c>
      <c r="Y4" s="52">
        <f ca="1">('TUSD BE'!$AM$6+'TUSD BF'!$AM$6+'TUSD CVA'!$AM$6)*1*(1-0.02)</f>
        <v>50.510684974163915</v>
      </c>
      <c r="Z4" s="52">
        <f ca="1">('TUSD BE'!$AM$7+'TUSD BF'!$AM$7+'TUSD CVA'!$AM$7)*1*(1-0.02)</f>
        <v>100.66205186369288</v>
      </c>
      <c r="AA4" s="52">
        <f>('TE BE'!$AB$6+'TE BF'!$AB$6+'TE CVA'!$AB$6)*1*(1-0.02)</f>
        <v>246.88600565553992</v>
      </c>
      <c r="AB4" s="52">
        <f>(SUBSIDIO!$J$4*SUBSIDIO!$V$4)*(0.04)/(1-0.04)</f>
        <v>-9.0840000000000014</v>
      </c>
      <c r="AC4" s="52">
        <f>((SUBSIDIO!$L$4*SUBSIDIO!$W$4)+(SUBSIDIO!$N$4*SUBSIDIO!$X$4))*(0.04)/(1-0.04)</f>
        <v>0</v>
      </c>
      <c r="AD4" s="52">
        <f ca="1">(SUBSIDIO!$J$4*SUBSIDIO!$Y$4)*(0.02)/(1-0.02)</f>
        <v>-5.1541515279759098</v>
      </c>
      <c r="AE4" s="52">
        <f ca="1">((SUBSIDIO!$L$4*SUBSIDIO!$Z$4)+(SUBSIDIO!$N$4*SUBSIDIO!$AA$4))*(0.02)/(1-0.02)</f>
        <v>0</v>
      </c>
      <c r="AF4" s="4" t="s">
        <v>561</v>
      </c>
      <c r="AH4" s="35" t="s">
        <v>569</v>
      </c>
      <c r="AI4" s="36">
        <f t="shared" si="0"/>
        <v>0</v>
      </c>
      <c r="AJ4" s="36">
        <f t="shared" si="1"/>
        <v>0</v>
      </c>
    </row>
    <row r="5" spans="1:36" ht="11.25" customHeight="1" x14ac:dyDescent="0.25">
      <c r="A5" s="4" t="s">
        <v>28</v>
      </c>
      <c r="B5" s="4" t="s">
        <v>35</v>
      </c>
      <c r="C5" s="4" t="s">
        <v>52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44652</v>
      </c>
      <c r="J5" s="6">
        <v>65</v>
      </c>
      <c r="K5" s="52">
        <v>65</v>
      </c>
      <c r="L5" s="6">
        <v>0</v>
      </c>
      <c r="M5" s="52">
        <v>0</v>
      </c>
      <c r="N5" s="6">
        <v>0</v>
      </c>
      <c r="O5" s="52">
        <v>0</v>
      </c>
      <c r="P5" s="6">
        <v>0</v>
      </c>
      <c r="Q5" s="4" t="s">
        <v>26</v>
      </c>
      <c r="R5" s="4">
        <v>0</v>
      </c>
      <c r="S5" s="4">
        <v>16</v>
      </c>
      <c r="T5" s="4">
        <v>0</v>
      </c>
      <c r="U5" s="4">
        <v>0</v>
      </c>
      <c r="V5" s="52">
        <f>IF(ISERROR(VLOOKUP($S$5,'TAR FIN'!$A$1:$O$88,15,0)),0,VLOOKUP($S$5,'TAR FIN'!$A$1:$O$88,15,0))*(1-0.04)</f>
        <v>43.603200000000001</v>
      </c>
      <c r="W5" s="52">
        <f>IF(ISERROR(VLOOKUP($T$5,'TAR FIN'!$A$1:$O$88,15,0)),0,VLOOKUP($T$5,'TAR FIN'!$A$1:$O$88,15,0))*(1-0.04)</f>
        <v>0</v>
      </c>
      <c r="X5" s="52">
        <f>IF(ISERROR(VLOOKUP($U$5,'TAR FIN'!$A$1:$O$88,15,0)),0,VLOOKUP($U$5,'TAR FIN'!$A$1:$O$88,15,0))*(1-0.04)</f>
        <v>0</v>
      </c>
      <c r="Y5" s="52">
        <f ca="1">('TUSD BE'!$AM$6+'TUSD BF'!$AM$6+'TUSD CVA'!$AM$6)*1*(1-0.02)</f>
        <v>50.510684974163915</v>
      </c>
      <c r="Z5" s="52">
        <f ca="1">('TUSD BE'!$AM$7+'TUSD BF'!$AM$7+'TUSD CVA'!$AM$7)*1*(1-0.02)</f>
        <v>100.66205186369288</v>
      </c>
      <c r="AA5" s="52">
        <f>('TE BE'!$AB$6+'TE BF'!$AB$6+'TE CVA'!$AB$6)*1*(1-0.02)</f>
        <v>246.88600565553992</v>
      </c>
      <c r="AB5" s="52">
        <f>(SUBSIDIO!$J$5*SUBSIDIO!$V$5)*(0.04)/(1-0.04)</f>
        <v>118.09200000000001</v>
      </c>
      <c r="AC5" s="52">
        <f>((SUBSIDIO!$L$5*SUBSIDIO!$W$5)+(SUBSIDIO!$N$5*SUBSIDIO!$X$5))*(0.04)/(1-0.04)</f>
        <v>0</v>
      </c>
      <c r="AD5" s="52">
        <f ca="1">(SUBSIDIO!$J$5*SUBSIDIO!$Y$5)*(0.02)/(1-0.02)</f>
        <v>67.003969863686834</v>
      </c>
      <c r="AE5" s="52">
        <f ca="1">((SUBSIDIO!$L$5*SUBSIDIO!$Z$5)+(SUBSIDIO!$N$5*SUBSIDIO!$AA$5))*(0.02)/(1-0.02)</f>
        <v>0</v>
      </c>
      <c r="AF5" s="4" t="s">
        <v>561</v>
      </c>
      <c r="AH5" s="35" t="s">
        <v>565</v>
      </c>
      <c r="AI5" s="36">
        <f t="shared" si="0"/>
        <v>41210.921707199996</v>
      </c>
      <c r="AJ5" s="36">
        <f t="shared" ca="1" si="1"/>
        <v>22484.089928273901</v>
      </c>
    </row>
    <row r="6" spans="1:36" ht="11.25" customHeight="1" x14ac:dyDescent="0.25">
      <c r="A6" s="4" t="s">
        <v>28</v>
      </c>
      <c r="B6" s="4" t="s">
        <v>35</v>
      </c>
      <c r="C6" s="4" t="s">
        <v>52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44682</v>
      </c>
      <c r="J6" s="6">
        <v>93</v>
      </c>
      <c r="K6" s="52">
        <v>93</v>
      </c>
      <c r="L6" s="6">
        <v>10.872999999999999</v>
      </c>
      <c r="M6" s="52">
        <v>10.872999999999999</v>
      </c>
      <c r="N6" s="6">
        <v>10.872999999999999</v>
      </c>
      <c r="O6" s="52">
        <v>10.872999999999999</v>
      </c>
      <c r="P6" s="6">
        <v>0</v>
      </c>
      <c r="Q6" s="4" t="s">
        <v>26</v>
      </c>
      <c r="R6" s="4">
        <v>0</v>
      </c>
      <c r="S6" s="4">
        <v>16</v>
      </c>
      <c r="T6" s="4">
        <v>9</v>
      </c>
      <c r="U6" s="4">
        <v>28</v>
      </c>
      <c r="V6" s="52">
        <f>IF(ISERROR(VLOOKUP($S$6,'TAR FIN'!$A$1:$O$88,15,0)),0,VLOOKUP($S$6,'TAR FIN'!$A$1:$O$88,15,0))*(1-0.04)</f>
        <v>43.603200000000001</v>
      </c>
      <c r="W6" s="52">
        <f>IF(ISERROR(VLOOKUP($T$6,'TAR FIN'!$A$1:$O$88,15,0)),0,VLOOKUP($T$6,'TAR FIN'!$A$1:$O$88,15,0))*(1-0.04)</f>
        <v>76.147199999999984</v>
      </c>
      <c r="X6" s="52">
        <f>IF(ISERROR(VLOOKUP($U$6,'TAR FIN'!$A$1:$O$88,15,0)),0,VLOOKUP($U$6,'TAR FIN'!$A$1:$O$88,15,0))*(1-0.04)</f>
        <v>242.13119999999998</v>
      </c>
      <c r="Y6" s="52">
        <f ca="1">('TUSD BE'!$AM$6+'TUSD BF'!$AM$6+'TUSD CVA'!$AM$6)*1*(1-0.02)</f>
        <v>50.510684974163915</v>
      </c>
      <c r="Z6" s="52">
        <f ca="1">('TUSD BE'!$AM$7+'TUSD BF'!$AM$7+'TUSD CVA'!$AM$7)*1*(1-0.02)</f>
        <v>100.66205186369288</v>
      </c>
      <c r="AA6" s="52">
        <f>('TE BE'!$AB$6+'TE BF'!$AB$6+'TE CVA'!$AB$6)*1*(1-0.02)</f>
        <v>246.88600565553992</v>
      </c>
      <c r="AB6" s="52">
        <f>(SUBSIDIO!$J$6*SUBSIDIO!$V$6)*(0.04)/(1-0.04)</f>
        <v>168.9624</v>
      </c>
      <c r="AC6" s="52">
        <f>((SUBSIDIO!$L$6*SUBSIDIO!$W$6)+(SUBSIDIO!$N$6*SUBSIDIO!$X$6))*(0.04)/(1-0.04)</f>
        <v>144.19337679999998</v>
      </c>
      <c r="AD6" s="52">
        <f ca="1">(SUBSIDIO!$J$6*SUBSIDIO!$Y$6)*(0.02)/(1-0.02)</f>
        <v>95.867218420351932</v>
      </c>
      <c r="AE6" s="52">
        <f ca="1">((SUBSIDIO!$L$6*SUBSIDIO!$Z$6)+(SUBSIDIO!$N$6*SUBSIDIO!$AA$6))*(0.02)/(1-0.02)</f>
        <v>77.120204681767717</v>
      </c>
      <c r="AF6" s="4" t="s">
        <v>561</v>
      </c>
      <c r="AH6" s="35" t="s">
        <v>561</v>
      </c>
      <c r="AI6" s="36">
        <f t="shared" si="0"/>
        <v>3957471.4343268001</v>
      </c>
      <c r="AJ6" s="36">
        <f t="shared" ca="1" si="1"/>
        <v>2160693.0765542602</v>
      </c>
    </row>
    <row r="7" spans="1:36" ht="11.25" customHeight="1" x14ac:dyDescent="0.25">
      <c r="A7" s="4" t="s">
        <v>28</v>
      </c>
      <c r="B7" s="4" t="s">
        <v>35</v>
      </c>
      <c r="C7" s="4" t="s">
        <v>52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44713</v>
      </c>
      <c r="J7" s="6">
        <v>56</v>
      </c>
      <c r="K7" s="52">
        <v>56</v>
      </c>
      <c r="L7" s="6">
        <v>7.7039999999999997</v>
      </c>
      <c r="M7" s="52">
        <v>7.7039999999999997</v>
      </c>
      <c r="N7" s="6">
        <v>7.7039999999999997</v>
      </c>
      <c r="O7" s="52">
        <v>7.7039999999999997</v>
      </c>
      <c r="P7" s="6">
        <v>0</v>
      </c>
      <c r="Q7" s="4" t="s">
        <v>26</v>
      </c>
      <c r="R7" s="4">
        <v>0</v>
      </c>
      <c r="S7" s="4">
        <v>16</v>
      </c>
      <c r="T7" s="4">
        <v>9</v>
      </c>
      <c r="U7" s="4">
        <v>28</v>
      </c>
      <c r="V7" s="52">
        <f>IF(ISERROR(VLOOKUP($S$7,'TAR FIN'!$A$1:$O$88,15,0)),0,VLOOKUP($S$7,'TAR FIN'!$A$1:$O$88,15,0))*(1-0.04)</f>
        <v>43.603200000000001</v>
      </c>
      <c r="W7" s="52">
        <f>IF(ISERROR(VLOOKUP($T$7,'TAR FIN'!$A$1:$O$88,15,0)),0,VLOOKUP($T$7,'TAR FIN'!$A$1:$O$88,15,0))*(1-0.04)</f>
        <v>76.147199999999984</v>
      </c>
      <c r="X7" s="52">
        <f>IF(ISERROR(VLOOKUP($U$7,'TAR FIN'!$A$1:$O$88,15,0)),0,VLOOKUP($U$7,'TAR FIN'!$A$1:$O$88,15,0))*(1-0.04)</f>
        <v>242.13119999999998</v>
      </c>
      <c r="Y7" s="52">
        <f ca="1">('TUSD BE'!$AM$6+'TUSD BF'!$AM$6+'TUSD CVA'!$AM$6)*1*(1-0.02)</f>
        <v>50.510684974163915</v>
      </c>
      <c r="Z7" s="52">
        <f ca="1">('TUSD BE'!$AM$7+'TUSD BF'!$AM$7+'TUSD CVA'!$AM$7)*1*(1-0.02)</f>
        <v>100.66205186369288</v>
      </c>
      <c r="AA7" s="52">
        <f>('TE BE'!$AB$6+'TE BF'!$AB$6+'TE CVA'!$AB$6)*1*(1-0.02)</f>
        <v>246.88600565553992</v>
      </c>
      <c r="AB7" s="52">
        <f>(SUBSIDIO!$J$7*SUBSIDIO!$V$7)*(0.04)/(1-0.04)</f>
        <v>101.74079999999999</v>
      </c>
      <c r="AC7" s="52">
        <f>((SUBSIDIO!$L$7*SUBSIDIO!$W$7)+(SUBSIDIO!$N$7*SUBSIDIO!$X$7))*(0.04)/(1-0.04)</f>
        <v>102.16736640000001</v>
      </c>
      <c r="AD7" s="52">
        <f ca="1">(SUBSIDIO!$J$7*SUBSIDIO!$Y$7)*(0.02)/(1-0.02)</f>
        <v>57.726497113330197</v>
      </c>
      <c r="AE7" s="52">
        <f ca="1">((SUBSIDIO!$L$7*SUBSIDIO!$Z$7)+(SUBSIDIO!$N$7*SUBSIDIO!$AA$7))*(0.02)/(1-0.02)</f>
        <v>54.64306602302387</v>
      </c>
      <c r="AF7" s="4" t="s">
        <v>561</v>
      </c>
      <c r="AH7" s="35" t="s">
        <v>563</v>
      </c>
      <c r="AI7" s="36">
        <f t="shared" si="0"/>
        <v>809591.62921200017</v>
      </c>
      <c r="AJ7" s="36">
        <f t="shared" ca="1" si="1"/>
        <v>858939.83875974338</v>
      </c>
    </row>
    <row r="8" spans="1:36" ht="11.25" customHeight="1" x14ac:dyDescent="0.25">
      <c r="A8" s="4" t="s">
        <v>28</v>
      </c>
      <c r="B8" s="4" t="s">
        <v>35</v>
      </c>
      <c r="C8" s="4" t="s">
        <v>52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37</v>
      </c>
      <c r="I8" s="5">
        <v>44593</v>
      </c>
      <c r="J8" s="6">
        <v>75</v>
      </c>
      <c r="K8" s="52">
        <v>75</v>
      </c>
      <c r="L8" s="6">
        <v>0</v>
      </c>
      <c r="M8" s="52">
        <v>0</v>
      </c>
      <c r="N8" s="6">
        <v>0</v>
      </c>
      <c r="O8" s="52">
        <v>0</v>
      </c>
      <c r="P8" s="6">
        <v>0</v>
      </c>
      <c r="Q8" s="4" t="s">
        <v>26</v>
      </c>
      <c r="R8" s="4">
        <v>0</v>
      </c>
      <c r="S8" s="4">
        <v>21</v>
      </c>
      <c r="T8" s="4">
        <v>0</v>
      </c>
      <c r="U8" s="4">
        <v>0</v>
      </c>
      <c r="V8" s="52">
        <f>IF(ISERROR(VLOOKUP($S$8,'TAR FIN'!$A$1:$O$88,15,0)),0,VLOOKUP($S$8,'TAR FIN'!$A$1:$O$88,15,0))*(1-0.04)</f>
        <v>55.257600000000004</v>
      </c>
      <c r="W8" s="52">
        <f>IF(ISERROR(VLOOKUP($T$8,'TAR FIN'!$A$1:$O$88,15,0)),0,VLOOKUP($T$8,'TAR FIN'!$A$1:$O$88,15,0))*(1-0.04)</f>
        <v>0</v>
      </c>
      <c r="X8" s="52">
        <f>IF(ISERROR(VLOOKUP($U$8,'TAR FIN'!$A$1:$O$88,15,0)),0,VLOOKUP($U$8,'TAR FIN'!$A$1:$O$88,15,0))*(1-0.04)</f>
        <v>0</v>
      </c>
      <c r="Y8" s="52">
        <f ca="1">('TUSD BE'!$AM$5+'TUSD BF'!$AM$5+'TUSD CVA'!$AM$5)*1*(1-0.02)</f>
        <v>63.126788531532412</v>
      </c>
      <c r="Z8" s="52">
        <f ca="1">('TUSD BE'!$AM$7+'TUSD BF'!$AM$7+'TUSD CVA'!$AM$7)*1*(1-0.02)</f>
        <v>100.66205186369288</v>
      </c>
      <c r="AA8" s="52">
        <f>('TE BE'!$AB$5+'TE BF'!$AB$5+'TE CVA'!$AB$5)*1*(1-0.02)</f>
        <v>246.88600565553992</v>
      </c>
      <c r="AB8" s="52">
        <f>(SUBSIDIO!$J$8*SUBSIDIO!$V$8)*(0.04)/(1-0.04)</f>
        <v>172.68000000000004</v>
      </c>
      <c r="AC8" s="52">
        <f>((SUBSIDIO!$L$8*SUBSIDIO!$W$8)+(SUBSIDIO!$N$8*SUBSIDIO!$X$8))*(0.04)/(1-0.04)</f>
        <v>0</v>
      </c>
      <c r="AD8" s="52">
        <f ca="1">(SUBSIDIO!$J$8*SUBSIDIO!$Y$8)*(0.02)/(1-0.02)</f>
        <v>96.622635507447569</v>
      </c>
      <c r="AE8" s="52">
        <f ca="1">((SUBSIDIO!$L$8*SUBSIDIO!$Z$8)+(SUBSIDIO!$N$8*SUBSIDIO!$AA$8))*(0.02)/(1-0.02)</f>
        <v>0</v>
      </c>
      <c r="AF8" s="4" t="s">
        <v>561</v>
      </c>
      <c r="AH8" s="35" t="s">
        <v>564</v>
      </c>
      <c r="AI8" s="36">
        <f t="shared" si="0"/>
        <v>140502.08239649999</v>
      </c>
      <c r="AJ8" s="36">
        <f t="shared" ca="1" si="1"/>
        <v>147384.01098611357</v>
      </c>
    </row>
    <row r="9" spans="1:36" ht="11.25" customHeight="1" x14ac:dyDescent="0.25">
      <c r="A9" s="4" t="s">
        <v>28</v>
      </c>
      <c r="B9" s="4" t="s">
        <v>35</v>
      </c>
      <c r="C9" s="4" t="s">
        <v>52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37</v>
      </c>
      <c r="I9" s="5">
        <v>44621</v>
      </c>
      <c r="J9" s="6">
        <v>17</v>
      </c>
      <c r="K9" s="52">
        <v>17</v>
      </c>
      <c r="L9" s="6">
        <v>0</v>
      </c>
      <c r="M9" s="52">
        <v>0</v>
      </c>
      <c r="N9" s="6">
        <v>0</v>
      </c>
      <c r="O9" s="52">
        <v>0</v>
      </c>
      <c r="P9" s="6">
        <v>0</v>
      </c>
      <c r="Q9" s="4" t="s">
        <v>26</v>
      </c>
      <c r="R9" s="4">
        <v>0</v>
      </c>
      <c r="S9" s="4">
        <v>21</v>
      </c>
      <c r="T9" s="4">
        <v>0</v>
      </c>
      <c r="U9" s="4">
        <v>0</v>
      </c>
      <c r="V9" s="52">
        <f>IF(ISERROR(VLOOKUP($S$9,'TAR FIN'!$A$1:$O$88,15,0)),0,VLOOKUP($S$9,'TAR FIN'!$A$1:$O$88,15,0))*(1-0.04)</f>
        <v>55.257600000000004</v>
      </c>
      <c r="W9" s="52">
        <f>IF(ISERROR(VLOOKUP($T$9,'TAR FIN'!$A$1:$O$88,15,0)),0,VLOOKUP($T$9,'TAR FIN'!$A$1:$O$88,15,0))*(1-0.04)</f>
        <v>0</v>
      </c>
      <c r="X9" s="52">
        <f>IF(ISERROR(VLOOKUP($U$9,'TAR FIN'!$A$1:$O$88,15,0)),0,VLOOKUP($U$9,'TAR FIN'!$A$1:$O$88,15,0))*(1-0.04)</f>
        <v>0</v>
      </c>
      <c r="Y9" s="52">
        <f ca="1">('TUSD BE'!$AM$5+'TUSD BF'!$AM$5+'TUSD CVA'!$AM$5)*1*(1-0.02)</f>
        <v>63.126788531532412</v>
      </c>
      <c r="Z9" s="52">
        <f ca="1">('TUSD BE'!$AM$7+'TUSD BF'!$AM$7+'TUSD CVA'!$AM$7)*1*(1-0.02)</f>
        <v>100.66205186369288</v>
      </c>
      <c r="AA9" s="52">
        <f>('TE BE'!$AB$5+'TE BF'!$AB$5+'TE CVA'!$AB$5)*1*(1-0.02)</f>
        <v>246.88600565553992</v>
      </c>
      <c r="AB9" s="52">
        <f>(SUBSIDIO!$J$9*SUBSIDIO!$V$9)*(0.04)/(1-0.04)</f>
        <v>39.140800000000006</v>
      </c>
      <c r="AC9" s="52">
        <f>((SUBSIDIO!$L$9*SUBSIDIO!$W$9)+(SUBSIDIO!$N$9*SUBSIDIO!$X$9))*(0.04)/(1-0.04)</f>
        <v>0</v>
      </c>
      <c r="AD9" s="52">
        <f ca="1">(SUBSIDIO!$J$9*SUBSIDIO!$Y$9)*(0.02)/(1-0.02)</f>
        <v>21.901130715021448</v>
      </c>
      <c r="AE9" s="52">
        <f ca="1">((SUBSIDIO!$L$9*SUBSIDIO!$Z$9)+(SUBSIDIO!$N$9*SUBSIDIO!$AA$9))*(0.02)/(1-0.02)</f>
        <v>0</v>
      </c>
      <c r="AF9" s="4" t="s">
        <v>561</v>
      </c>
      <c r="AH9" s="35" t="s">
        <v>570</v>
      </c>
      <c r="AI9" s="36">
        <f t="shared" si="0"/>
        <v>0</v>
      </c>
      <c r="AJ9" s="36">
        <f t="shared" si="1"/>
        <v>0</v>
      </c>
    </row>
    <row r="10" spans="1:36" ht="11.25" customHeight="1" x14ac:dyDescent="0.25">
      <c r="A10" s="4" t="s">
        <v>28</v>
      </c>
      <c r="B10" s="4" t="s">
        <v>35</v>
      </c>
      <c r="C10" s="4" t="s">
        <v>52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44621</v>
      </c>
      <c r="J10" s="6">
        <v>-5</v>
      </c>
      <c r="K10" s="52">
        <v>-5</v>
      </c>
      <c r="L10" s="6">
        <v>0</v>
      </c>
      <c r="M10" s="52">
        <v>0</v>
      </c>
      <c r="N10" s="6">
        <v>0</v>
      </c>
      <c r="O10" s="52">
        <v>0</v>
      </c>
      <c r="P10" s="6">
        <v>0</v>
      </c>
      <c r="Q10" s="4" t="s">
        <v>26</v>
      </c>
      <c r="R10" s="4">
        <v>0</v>
      </c>
      <c r="S10" s="4">
        <v>21</v>
      </c>
      <c r="T10" s="4">
        <v>0</v>
      </c>
      <c r="U10" s="4">
        <v>0</v>
      </c>
      <c r="V10" s="52">
        <f>IF(ISERROR(VLOOKUP($S$10,'TAR FIN'!$A$1:$O$88,15,0)),0,VLOOKUP($S$10,'TAR FIN'!$A$1:$O$88,15,0))*(1-0.04)</f>
        <v>55.257600000000004</v>
      </c>
      <c r="W10" s="52">
        <f>IF(ISERROR(VLOOKUP($T$10,'TAR FIN'!$A$1:$O$88,15,0)),0,VLOOKUP($T$10,'TAR FIN'!$A$1:$O$88,15,0))*(1-0.04)</f>
        <v>0</v>
      </c>
      <c r="X10" s="52">
        <f>IF(ISERROR(VLOOKUP($U$10,'TAR FIN'!$A$1:$O$88,15,0)),0,VLOOKUP($U$10,'TAR FIN'!$A$1:$O$88,15,0))*(1-0.04)</f>
        <v>0</v>
      </c>
      <c r="Y10" s="52">
        <f ca="1">('TUSD BE'!$AM$5+'TUSD BF'!$AM$5+'TUSD CVA'!$AM$5)*1*(1-0.02)</f>
        <v>63.126788531532412</v>
      </c>
      <c r="Z10" s="52">
        <f ca="1">('TUSD BE'!$AM$7+'TUSD BF'!$AM$7+'TUSD CVA'!$AM$7)*1*(1-0.02)</f>
        <v>100.66205186369288</v>
      </c>
      <c r="AA10" s="52">
        <f>('TE BE'!$AB$5+'TE BF'!$AB$5+'TE CVA'!$AB$5)*1*(1-0.02)</f>
        <v>246.88600565553992</v>
      </c>
      <c r="AB10" s="52">
        <f>(SUBSIDIO!$J$10*SUBSIDIO!$V$10)*(0.04)/(1-0.04)</f>
        <v>-11.512</v>
      </c>
      <c r="AC10" s="52">
        <f>((SUBSIDIO!$L$10*SUBSIDIO!$W$10)+(SUBSIDIO!$N$10*SUBSIDIO!$X$10))*(0.04)/(1-0.04)</f>
        <v>0</v>
      </c>
      <c r="AD10" s="52">
        <f ca="1">(SUBSIDIO!$J$10*SUBSIDIO!$Y$10)*(0.02)/(1-0.02)</f>
        <v>-6.4415090338298375</v>
      </c>
      <c r="AE10" s="52">
        <f ca="1">((SUBSIDIO!$L$10*SUBSIDIO!$Z$10)+(SUBSIDIO!$N$10*SUBSIDIO!$AA$10))*(0.02)/(1-0.02)</f>
        <v>0</v>
      </c>
      <c r="AF10" s="4" t="s">
        <v>561</v>
      </c>
    </row>
    <row r="11" spans="1:36" ht="11.25" customHeight="1" x14ac:dyDescent="0.25">
      <c r="A11" s="4" t="s">
        <v>28</v>
      </c>
      <c r="B11" s="4" t="s">
        <v>35</v>
      </c>
      <c r="C11" s="4" t="s">
        <v>52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44652</v>
      </c>
      <c r="J11" s="6">
        <v>11</v>
      </c>
      <c r="K11" s="52">
        <v>11</v>
      </c>
      <c r="L11" s="6">
        <v>0</v>
      </c>
      <c r="M11" s="52">
        <v>0</v>
      </c>
      <c r="N11" s="6">
        <v>0</v>
      </c>
      <c r="O11" s="52">
        <v>0</v>
      </c>
      <c r="P11" s="6">
        <v>0</v>
      </c>
      <c r="Q11" s="4" t="s">
        <v>26</v>
      </c>
      <c r="R11" s="4">
        <v>0</v>
      </c>
      <c r="S11" s="4">
        <v>21</v>
      </c>
      <c r="T11" s="4">
        <v>0</v>
      </c>
      <c r="U11" s="4">
        <v>0</v>
      </c>
      <c r="V11" s="52">
        <f>IF(ISERROR(VLOOKUP($S$11,'TAR FIN'!$A$1:$O$88,15,0)),0,VLOOKUP($S$11,'TAR FIN'!$A$1:$O$88,15,0))*(1-0.04)</f>
        <v>55.257600000000004</v>
      </c>
      <c r="W11" s="52">
        <f>IF(ISERROR(VLOOKUP($T$11,'TAR FIN'!$A$1:$O$88,15,0)),0,VLOOKUP($T$11,'TAR FIN'!$A$1:$O$88,15,0))*(1-0.04)</f>
        <v>0</v>
      </c>
      <c r="X11" s="52">
        <f>IF(ISERROR(VLOOKUP($U$11,'TAR FIN'!$A$1:$O$88,15,0)),0,VLOOKUP($U$11,'TAR FIN'!$A$1:$O$88,15,0))*(1-0.04)</f>
        <v>0</v>
      </c>
      <c r="Y11" s="52">
        <f ca="1">('TUSD BE'!$AM$5+'TUSD BF'!$AM$5+'TUSD CVA'!$AM$5)*1*(1-0.02)</f>
        <v>63.126788531532412</v>
      </c>
      <c r="Z11" s="52">
        <f ca="1">('TUSD BE'!$AM$7+'TUSD BF'!$AM$7+'TUSD CVA'!$AM$7)*1*(1-0.02)</f>
        <v>100.66205186369288</v>
      </c>
      <c r="AA11" s="52">
        <f>('TE BE'!$AB$5+'TE BF'!$AB$5+'TE CVA'!$AB$5)*1*(1-0.02)</f>
        <v>246.88600565553992</v>
      </c>
      <c r="AB11" s="52">
        <f>(SUBSIDIO!$J$11*SUBSIDIO!$V$11)*(0.04)/(1-0.04)</f>
        <v>25.326400000000003</v>
      </c>
      <c r="AC11" s="52">
        <f>((SUBSIDIO!$L$11*SUBSIDIO!$W$11)+(SUBSIDIO!$N$11*SUBSIDIO!$X$11))*(0.04)/(1-0.04)</f>
        <v>0</v>
      </c>
      <c r="AD11" s="52">
        <f ca="1">(SUBSIDIO!$J$11*SUBSIDIO!$Y$11)*(0.02)/(1-0.02)</f>
        <v>14.171319874425645</v>
      </c>
      <c r="AE11" s="52">
        <f ca="1">((SUBSIDIO!$L$11*SUBSIDIO!$Z$11)+(SUBSIDIO!$N$11*SUBSIDIO!$AA$11))*(0.02)/(1-0.02)</f>
        <v>0</v>
      </c>
      <c r="AF11" s="4" t="s">
        <v>561</v>
      </c>
    </row>
    <row r="12" spans="1:36" ht="11.25" customHeight="1" x14ac:dyDescent="0.25">
      <c r="A12" s="4" t="s">
        <v>28</v>
      </c>
      <c r="B12" s="4" t="s">
        <v>35</v>
      </c>
      <c r="C12" s="4" t="s">
        <v>52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44682</v>
      </c>
      <c r="J12" s="6">
        <v>80</v>
      </c>
      <c r="K12" s="52">
        <v>80</v>
      </c>
      <c r="L12" s="6">
        <v>1.125</v>
      </c>
      <c r="M12" s="52">
        <v>1.125</v>
      </c>
      <c r="N12" s="6">
        <v>1.125</v>
      </c>
      <c r="O12" s="52">
        <v>1.125</v>
      </c>
      <c r="P12" s="6">
        <v>0</v>
      </c>
      <c r="Q12" s="4" t="s">
        <v>26</v>
      </c>
      <c r="R12" s="4">
        <v>0</v>
      </c>
      <c r="S12" s="4">
        <v>21</v>
      </c>
      <c r="T12" s="4">
        <v>9</v>
      </c>
      <c r="U12" s="4">
        <v>41</v>
      </c>
      <c r="V12" s="52">
        <f>IF(ISERROR(VLOOKUP($S$12,'TAR FIN'!$A$1:$O$88,15,0)),0,VLOOKUP($S$12,'TAR FIN'!$A$1:$O$88,15,0))*(1-0.04)</f>
        <v>55.257600000000004</v>
      </c>
      <c r="W12" s="52">
        <f>IF(ISERROR(VLOOKUP($T$12,'TAR FIN'!$A$1:$O$88,15,0)),0,VLOOKUP($T$12,'TAR FIN'!$A$1:$O$88,15,0))*(1-0.04)</f>
        <v>76.147199999999984</v>
      </c>
      <c r="X12" s="52">
        <f>IF(ISERROR(VLOOKUP($U$12,'TAR FIN'!$A$1:$O$88,15,0)),0,VLOOKUP($U$12,'TAR FIN'!$A$1:$O$88,15,0))*(1-0.04)</f>
        <v>242.13119999999998</v>
      </c>
      <c r="Y12" s="52">
        <f ca="1">('TUSD BE'!$AM$5+'TUSD BF'!$AM$5+'TUSD CVA'!$AM$5)*1*(1-0.02)</f>
        <v>63.126788531532412</v>
      </c>
      <c r="Z12" s="52">
        <f ca="1">('TUSD BE'!$AM$7+'TUSD BF'!$AM$7+'TUSD CVA'!$AM$7)*1*(1-0.02)</f>
        <v>100.66205186369288</v>
      </c>
      <c r="AA12" s="52">
        <f>('TE BE'!$AB$5+'TE BF'!$AB$5+'TE CVA'!$AB$5)*1*(1-0.02)</f>
        <v>246.88600565553992</v>
      </c>
      <c r="AB12" s="52">
        <f>(SUBSIDIO!$J$12*SUBSIDIO!$V$12)*(0.04)/(1-0.04)</f>
        <v>184.19200000000001</v>
      </c>
      <c r="AC12" s="52">
        <f>((SUBSIDIO!$L$12*SUBSIDIO!$W$12)+(SUBSIDIO!$N$12*SUBSIDIO!$X$12))*(0.04)/(1-0.04)</f>
        <v>14.919299999999998</v>
      </c>
      <c r="AD12" s="52">
        <f ca="1">(SUBSIDIO!$J$12*SUBSIDIO!$Y$12)*(0.02)/(1-0.02)</f>
        <v>103.0641445412774</v>
      </c>
      <c r="AE12" s="52">
        <f ca="1">((SUBSIDIO!$L$12*SUBSIDIO!$Z$12)+(SUBSIDIO!$N$12*SUBSIDIO!$AA$12))*(0.02)/(1-0.02)</f>
        <v>7.9794196879415695</v>
      </c>
      <c r="AF12" s="4" t="s">
        <v>561</v>
      </c>
    </row>
    <row r="13" spans="1:36" ht="11.25" customHeight="1" x14ac:dyDescent="0.25">
      <c r="A13" s="4" t="s">
        <v>28</v>
      </c>
      <c r="B13" s="4" t="s">
        <v>35</v>
      </c>
      <c r="C13" s="4" t="s">
        <v>52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44713</v>
      </c>
      <c r="J13" s="6">
        <v>31</v>
      </c>
      <c r="K13" s="52">
        <v>31</v>
      </c>
      <c r="L13" s="6">
        <v>0.72299999999999998</v>
      </c>
      <c r="M13" s="52">
        <v>0.72299999999999998</v>
      </c>
      <c r="N13" s="6">
        <v>0.72299999999999998</v>
      </c>
      <c r="O13" s="52">
        <v>0.72299999999999998</v>
      </c>
      <c r="P13" s="6">
        <v>0</v>
      </c>
      <c r="Q13" s="4" t="s">
        <v>26</v>
      </c>
      <c r="R13" s="4">
        <v>0</v>
      </c>
      <c r="S13" s="4">
        <v>21</v>
      </c>
      <c r="T13" s="4">
        <v>9</v>
      </c>
      <c r="U13" s="4">
        <v>41</v>
      </c>
      <c r="V13" s="52">
        <f>IF(ISERROR(VLOOKUP($S$13,'TAR FIN'!$A$1:$O$88,15,0)),0,VLOOKUP($S$13,'TAR FIN'!$A$1:$O$88,15,0))*(1-0.04)</f>
        <v>55.257600000000004</v>
      </c>
      <c r="W13" s="52">
        <f>IF(ISERROR(VLOOKUP($T$13,'TAR FIN'!$A$1:$O$88,15,0)),0,VLOOKUP($T$13,'TAR FIN'!$A$1:$O$88,15,0))*(1-0.04)</f>
        <v>76.147199999999984</v>
      </c>
      <c r="X13" s="52">
        <f>IF(ISERROR(VLOOKUP($U$13,'TAR FIN'!$A$1:$O$88,15,0)),0,VLOOKUP($U$13,'TAR FIN'!$A$1:$O$88,15,0))*(1-0.04)</f>
        <v>242.13119999999998</v>
      </c>
      <c r="Y13" s="52">
        <f ca="1">('TUSD BE'!$AM$5+'TUSD BF'!$AM$5+'TUSD CVA'!$AM$5)*1*(1-0.02)</f>
        <v>63.126788531532412</v>
      </c>
      <c r="Z13" s="52">
        <f ca="1">('TUSD BE'!$AM$7+'TUSD BF'!$AM$7+'TUSD CVA'!$AM$7)*1*(1-0.02)</f>
        <v>100.66205186369288</v>
      </c>
      <c r="AA13" s="52">
        <f>('TE BE'!$AB$5+'TE BF'!$AB$5+'TE CVA'!$AB$5)*1*(1-0.02)</f>
        <v>246.88600565553992</v>
      </c>
      <c r="AB13" s="52">
        <f>(SUBSIDIO!$J$13*SUBSIDIO!$V$13)*(0.04)/(1-0.04)</f>
        <v>71.374400000000023</v>
      </c>
      <c r="AC13" s="52">
        <f>((SUBSIDIO!$L$13*SUBSIDIO!$W$13)+(SUBSIDIO!$N$13*SUBSIDIO!$X$13))*(0.04)/(1-0.04)</f>
        <v>9.5881367999999991</v>
      </c>
      <c r="AD13" s="52">
        <f ca="1">(SUBSIDIO!$J$13*SUBSIDIO!$Y$13)*(0.02)/(1-0.02)</f>
        <v>39.937356009745002</v>
      </c>
      <c r="AE13" s="52">
        <f ca="1">((SUBSIDIO!$L$13*SUBSIDIO!$Z$13)+(SUBSIDIO!$N$13*SUBSIDIO!$AA$13))*(0.02)/(1-0.02)</f>
        <v>5.1281070527837809</v>
      </c>
      <c r="AF13" s="4" t="s">
        <v>561</v>
      </c>
    </row>
    <row r="14" spans="1:36" ht="11.25" customHeight="1" x14ac:dyDescent="0.25">
      <c r="A14" s="4" t="s">
        <v>21</v>
      </c>
      <c r="B14" s="4" t="s">
        <v>35</v>
      </c>
      <c r="C14" s="4" t="s">
        <v>36</v>
      </c>
      <c r="D14" s="4" t="s">
        <v>34</v>
      </c>
      <c r="E14" s="4" t="s">
        <v>25</v>
      </c>
      <c r="F14" s="4" t="s">
        <v>53</v>
      </c>
      <c r="G14" s="4" t="s">
        <v>25</v>
      </c>
      <c r="H14" s="4" t="s">
        <v>38</v>
      </c>
      <c r="I14" s="5">
        <v>44440</v>
      </c>
      <c r="J14" s="6">
        <v>0</v>
      </c>
      <c r="K14" s="6">
        <v>0</v>
      </c>
      <c r="L14" s="6">
        <v>4.87</v>
      </c>
      <c r="M14" s="6">
        <v>4.87</v>
      </c>
      <c r="N14" s="6">
        <v>0</v>
      </c>
      <c r="O14" s="6">
        <v>0</v>
      </c>
      <c r="P14" s="6">
        <v>0</v>
      </c>
      <c r="Q14" s="4" t="s">
        <v>54</v>
      </c>
      <c r="R14" s="4">
        <v>0</v>
      </c>
      <c r="S14" s="4">
        <v>0</v>
      </c>
      <c r="T14" s="4">
        <v>15</v>
      </c>
      <c r="U14" s="4">
        <v>0</v>
      </c>
      <c r="V14" s="6">
        <f>IF(ISERROR(VLOOKUP($S$14,'TAR FIN'!$A$1:$O$88,15,0)),0,VLOOKUP($S$14,'TAR FIN'!$A$1:$O$88,15,0))</f>
        <v>0</v>
      </c>
      <c r="W14" s="6">
        <f>IF(ISERROR(VLOOKUP($T$14,'TAR FIN'!$A$1:$O$88,15,0)),0,VLOOKUP($T$14,'TAR FIN'!$A$1:$O$88,15,0))</f>
        <v>79.319999999999993</v>
      </c>
      <c r="X14" s="6">
        <f>IF(ISERROR(VLOOKUP($U$14,'TAR FIN'!$A$1:$O$88,15,0)),0,VLOOKUP($U$14,'TAR FIN'!$A$1:$O$88,15,0))</f>
        <v>0</v>
      </c>
      <c r="Y14" s="6"/>
      <c r="Z14" s="6">
        <f ca="1">('TUSD BE'!$AM$12+'TUSD BF'!$AM$12+'TUSD CVA'!$AM$12)*1</f>
        <v>102.71637945274784</v>
      </c>
      <c r="AA14" s="6"/>
      <c r="AB14" s="6">
        <f t="shared" ref="AB14:AB57" si="2">(J14-K14)*V14</f>
        <v>0</v>
      </c>
      <c r="AC14" s="6">
        <f t="shared" ref="AC14:AC33" si="3">(L14-M14)*W14+(N14-O14)*X14</f>
        <v>0</v>
      </c>
      <c r="AD14" s="6">
        <f t="shared" ref="AD14:AD57" si="4">(J14-K14)*Y14</f>
        <v>0</v>
      </c>
      <c r="AE14" s="6">
        <f t="shared" ref="AE14:AE33" ca="1" si="5">(L14-M14)*Z14+(N14-O14)*AA14</f>
        <v>0</v>
      </c>
      <c r="AF14" s="4" t="s">
        <v>562</v>
      </c>
    </row>
    <row r="15" spans="1:36" ht="11.25" customHeight="1" x14ac:dyDescent="0.25">
      <c r="A15" s="4" t="s">
        <v>21</v>
      </c>
      <c r="B15" s="4" t="s">
        <v>35</v>
      </c>
      <c r="C15" s="4" t="s">
        <v>36</v>
      </c>
      <c r="D15" s="4" t="s">
        <v>34</v>
      </c>
      <c r="E15" s="4" t="s">
        <v>25</v>
      </c>
      <c r="F15" s="4" t="s">
        <v>53</v>
      </c>
      <c r="G15" s="4" t="s">
        <v>25</v>
      </c>
      <c r="H15" s="4" t="s">
        <v>38</v>
      </c>
      <c r="I15" s="5">
        <v>44470</v>
      </c>
      <c r="J15" s="6">
        <v>0</v>
      </c>
      <c r="K15" s="6">
        <v>0</v>
      </c>
      <c r="L15" s="6">
        <v>7.6310000000000002</v>
      </c>
      <c r="M15" s="6">
        <v>3.8155000000000001</v>
      </c>
      <c r="N15" s="6">
        <v>0</v>
      </c>
      <c r="O15" s="6">
        <v>0</v>
      </c>
      <c r="P15" s="6">
        <v>0</v>
      </c>
      <c r="Q15" s="4" t="s">
        <v>54</v>
      </c>
      <c r="R15" s="4">
        <v>0</v>
      </c>
      <c r="S15" s="4">
        <v>0</v>
      </c>
      <c r="T15" s="4">
        <v>15</v>
      </c>
      <c r="U15" s="4">
        <v>0</v>
      </c>
      <c r="V15" s="6">
        <f>IF(ISERROR(VLOOKUP($S$15,'TAR FIN'!$A$1:$O$88,15,0)),0,VLOOKUP($S$15,'TAR FIN'!$A$1:$O$88,15,0))</f>
        <v>0</v>
      </c>
      <c r="W15" s="6">
        <f>IF(ISERROR(VLOOKUP($T$15,'TAR FIN'!$A$1:$O$88,15,0)),0,VLOOKUP($T$15,'TAR FIN'!$A$1:$O$88,15,0))</f>
        <v>79.319999999999993</v>
      </c>
      <c r="X15" s="6">
        <f>IF(ISERROR(VLOOKUP($U$15,'TAR FIN'!$A$1:$O$88,15,0)),0,VLOOKUP($U$15,'TAR FIN'!$A$1:$O$88,15,0))</f>
        <v>0</v>
      </c>
      <c r="Y15" s="6"/>
      <c r="Z15" s="6">
        <f ca="1">('TUSD BE'!$AM$12+'TUSD BF'!$AM$12+'TUSD CVA'!$AM$12)*1</f>
        <v>102.71637945274784</v>
      </c>
      <c r="AA15" s="6"/>
      <c r="AB15" s="6">
        <f t="shared" si="2"/>
        <v>0</v>
      </c>
      <c r="AC15" s="6">
        <f t="shared" si="3"/>
        <v>302.64545999999996</v>
      </c>
      <c r="AD15" s="6">
        <f t="shared" si="4"/>
        <v>0</v>
      </c>
      <c r="AE15" s="6">
        <f t="shared" ca="1" si="5"/>
        <v>391.91434580195943</v>
      </c>
      <c r="AF15" s="4" t="s">
        <v>562</v>
      </c>
    </row>
    <row r="16" spans="1:36" ht="11.25" customHeight="1" x14ac:dyDescent="0.25">
      <c r="A16" s="4" t="s">
        <v>21</v>
      </c>
      <c r="B16" s="4" t="s">
        <v>35</v>
      </c>
      <c r="C16" s="4" t="s">
        <v>36</v>
      </c>
      <c r="D16" s="4" t="s">
        <v>34</v>
      </c>
      <c r="E16" s="4" t="s">
        <v>25</v>
      </c>
      <c r="F16" s="4" t="s">
        <v>53</v>
      </c>
      <c r="G16" s="4" t="s">
        <v>25</v>
      </c>
      <c r="H16" s="4" t="s">
        <v>38</v>
      </c>
      <c r="I16" s="5">
        <v>44501</v>
      </c>
      <c r="J16" s="6">
        <v>0</v>
      </c>
      <c r="K16" s="6">
        <v>0</v>
      </c>
      <c r="L16" s="6">
        <v>10.301</v>
      </c>
      <c r="M16" s="6">
        <v>10.301</v>
      </c>
      <c r="N16" s="6">
        <v>0</v>
      </c>
      <c r="O16" s="6">
        <v>0</v>
      </c>
      <c r="P16" s="6">
        <v>0</v>
      </c>
      <c r="Q16" s="4" t="s">
        <v>54</v>
      </c>
      <c r="R16" s="4">
        <v>0</v>
      </c>
      <c r="S16" s="4">
        <v>0</v>
      </c>
      <c r="T16" s="4">
        <v>15</v>
      </c>
      <c r="U16" s="4">
        <v>0</v>
      </c>
      <c r="V16" s="6">
        <f>IF(ISERROR(VLOOKUP($S$16,'TAR FIN'!$A$1:$O$88,15,0)),0,VLOOKUP($S$16,'TAR FIN'!$A$1:$O$88,15,0))</f>
        <v>0</v>
      </c>
      <c r="W16" s="6">
        <f>IF(ISERROR(VLOOKUP($T$16,'TAR FIN'!$A$1:$O$88,15,0)),0,VLOOKUP($T$16,'TAR FIN'!$A$1:$O$88,15,0))</f>
        <v>79.319999999999993</v>
      </c>
      <c r="X16" s="6">
        <f>IF(ISERROR(VLOOKUP($U$16,'TAR FIN'!$A$1:$O$88,15,0)),0,VLOOKUP($U$16,'TAR FIN'!$A$1:$O$88,15,0))</f>
        <v>0</v>
      </c>
      <c r="Y16" s="6"/>
      <c r="Z16" s="6">
        <f ca="1">('TUSD BE'!$AM$12+'TUSD BF'!$AM$12+'TUSD CVA'!$AM$12)*1</f>
        <v>102.71637945274784</v>
      </c>
      <c r="AA16" s="6"/>
      <c r="AB16" s="6">
        <f t="shared" si="2"/>
        <v>0</v>
      </c>
      <c r="AC16" s="6">
        <f t="shared" si="3"/>
        <v>0</v>
      </c>
      <c r="AD16" s="6">
        <f t="shared" si="4"/>
        <v>0</v>
      </c>
      <c r="AE16" s="6">
        <f t="shared" ca="1" si="5"/>
        <v>0</v>
      </c>
      <c r="AF16" s="4" t="s">
        <v>562</v>
      </c>
    </row>
    <row r="17" spans="1:32" ht="11.25" customHeight="1" x14ac:dyDescent="0.25">
      <c r="A17" s="4" t="s">
        <v>21</v>
      </c>
      <c r="B17" s="4" t="s">
        <v>35</v>
      </c>
      <c r="C17" s="4" t="s">
        <v>36</v>
      </c>
      <c r="D17" s="4" t="s">
        <v>34</v>
      </c>
      <c r="E17" s="4" t="s">
        <v>25</v>
      </c>
      <c r="F17" s="4" t="s">
        <v>53</v>
      </c>
      <c r="G17" s="4" t="s">
        <v>25</v>
      </c>
      <c r="H17" s="4" t="s">
        <v>38</v>
      </c>
      <c r="I17" s="5">
        <v>44531</v>
      </c>
      <c r="J17" s="6">
        <v>0</v>
      </c>
      <c r="K17" s="6">
        <v>0</v>
      </c>
      <c r="L17" s="6">
        <v>19.350999999999999</v>
      </c>
      <c r="M17" s="6">
        <v>19.350999999999999</v>
      </c>
      <c r="N17" s="6">
        <v>0</v>
      </c>
      <c r="O17" s="6">
        <v>0</v>
      </c>
      <c r="P17" s="6">
        <v>0</v>
      </c>
      <c r="Q17" s="4" t="s">
        <v>54</v>
      </c>
      <c r="R17" s="4">
        <v>0</v>
      </c>
      <c r="S17" s="4">
        <v>0</v>
      </c>
      <c r="T17" s="4">
        <v>15</v>
      </c>
      <c r="U17" s="4">
        <v>0</v>
      </c>
      <c r="V17" s="6">
        <f>IF(ISERROR(VLOOKUP($S$17,'TAR FIN'!$A$1:$O$88,15,0)),0,VLOOKUP($S$17,'TAR FIN'!$A$1:$O$88,15,0))</f>
        <v>0</v>
      </c>
      <c r="W17" s="6">
        <f>IF(ISERROR(VLOOKUP($T$17,'TAR FIN'!$A$1:$O$88,15,0)),0,VLOOKUP($T$17,'TAR FIN'!$A$1:$O$88,15,0))</f>
        <v>79.319999999999993</v>
      </c>
      <c r="X17" s="6">
        <f>IF(ISERROR(VLOOKUP($U$17,'TAR FIN'!$A$1:$O$88,15,0)),0,VLOOKUP($U$17,'TAR FIN'!$A$1:$O$88,15,0))</f>
        <v>0</v>
      </c>
      <c r="Y17" s="6"/>
      <c r="Z17" s="6">
        <f ca="1">('TUSD BE'!$AM$12+'TUSD BF'!$AM$12+'TUSD CVA'!$AM$12)*1</f>
        <v>102.71637945274784</v>
      </c>
      <c r="AA17" s="6"/>
      <c r="AB17" s="6">
        <f t="shared" si="2"/>
        <v>0</v>
      </c>
      <c r="AC17" s="6">
        <f t="shared" si="3"/>
        <v>0</v>
      </c>
      <c r="AD17" s="6">
        <f t="shared" si="4"/>
        <v>0</v>
      </c>
      <c r="AE17" s="6">
        <f t="shared" ca="1" si="5"/>
        <v>0</v>
      </c>
      <c r="AF17" s="4" t="s">
        <v>562</v>
      </c>
    </row>
    <row r="18" spans="1:32" ht="11.25" customHeight="1" x14ac:dyDescent="0.25">
      <c r="A18" s="4" t="s">
        <v>21</v>
      </c>
      <c r="B18" s="4" t="s">
        <v>35</v>
      </c>
      <c r="C18" s="4" t="s">
        <v>36</v>
      </c>
      <c r="D18" s="4" t="s">
        <v>34</v>
      </c>
      <c r="E18" s="4" t="s">
        <v>25</v>
      </c>
      <c r="F18" s="4" t="s">
        <v>53</v>
      </c>
      <c r="G18" s="4" t="s">
        <v>25</v>
      </c>
      <c r="H18" s="4" t="s">
        <v>38</v>
      </c>
      <c r="I18" s="5">
        <v>44562</v>
      </c>
      <c r="J18" s="6">
        <v>0</v>
      </c>
      <c r="K18" s="6">
        <v>0</v>
      </c>
      <c r="L18" s="6">
        <v>9.2880000000000003</v>
      </c>
      <c r="M18" s="6">
        <v>9.2880000000000003</v>
      </c>
      <c r="N18" s="6">
        <v>0</v>
      </c>
      <c r="O18" s="6">
        <v>0</v>
      </c>
      <c r="P18" s="6">
        <v>0</v>
      </c>
      <c r="Q18" s="4" t="s">
        <v>54</v>
      </c>
      <c r="R18" s="4">
        <v>0</v>
      </c>
      <c r="S18" s="4">
        <v>0</v>
      </c>
      <c r="T18" s="4">
        <v>15</v>
      </c>
      <c r="U18" s="4">
        <v>0</v>
      </c>
      <c r="V18" s="6">
        <f>IF(ISERROR(VLOOKUP($S$18,'TAR FIN'!$A$1:$O$88,15,0)),0,VLOOKUP($S$18,'TAR FIN'!$A$1:$O$88,15,0))</f>
        <v>0</v>
      </c>
      <c r="W18" s="6">
        <f>IF(ISERROR(VLOOKUP($T$18,'TAR FIN'!$A$1:$O$88,15,0)),0,VLOOKUP($T$18,'TAR FIN'!$A$1:$O$88,15,0))</f>
        <v>79.319999999999993</v>
      </c>
      <c r="X18" s="6">
        <f>IF(ISERROR(VLOOKUP($U$18,'TAR FIN'!$A$1:$O$88,15,0)),0,VLOOKUP($U$18,'TAR FIN'!$A$1:$O$88,15,0))</f>
        <v>0</v>
      </c>
      <c r="Y18" s="6"/>
      <c r="Z18" s="6">
        <f ca="1">('TUSD BE'!$AM$12+'TUSD BF'!$AM$12+'TUSD CVA'!$AM$12)*1</f>
        <v>102.71637945274784</v>
      </c>
      <c r="AA18" s="6"/>
      <c r="AB18" s="6">
        <f t="shared" si="2"/>
        <v>0</v>
      </c>
      <c r="AC18" s="6">
        <f t="shared" si="3"/>
        <v>0</v>
      </c>
      <c r="AD18" s="6">
        <f t="shared" si="4"/>
        <v>0</v>
      </c>
      <c r="AE18" s="6">
        <f t="shared" ca="1" si="5"/>
        <v>0</v>
      </c>
      <c r="AF18" s="4" t="s">
        <v>562</v>
      </c>
    </row>
    <row r="19" spans="1:32" ht="11.25" customHeight="1" x14ac:dyDescent="0.25">
      <c r="A19" s="4" t="s">
        <v>21</v>
      </c>
      <c r="B19" s="4" t="s">
        <v>35</v>
      </c>
      <c r="C19" s="4" t="s">
        <v>36</v>
      </c>
      <c r="D19" s="4" t="s">
        <v>34</v>
      </c>
      <c r="E19" s="4" t="s">
        <v>25</v>
      </c>
      <c r="F19" s="4" t="s">
        <v>53</v>
      </c>
      <c r="G19" s="4" t="s">
        <v>25</v>
      </c>
      <c r="H19" s="4" t="s">
        <v>38</v>
      </c>
      <c r="I19" s="5">
        <v>44593</v>
      </c>
      <c r="J19" s="6">
        <v>0</v>
      </c>
      <c r="K19" s="6">
        <v>0</v>
      </c>
      <c r="L19" s="6">
        <v>6.9539999999999997</v>
      </c>
      <c r="M19" s="6">
        <v>6.9539999999999997</v>
      </c>
      <c r="N19" s="6">
        <v>0</v>
      </c>
      <c r="O19" s="6">
        <v>0</v>
      </c>
      <c r="P19" s="6">
        <v>0</v>
      </c>
      <c r="Q19" s="4" t="s">
        <v>54</v>
      </c>
      <c r="R19" s="4">
        <v>0</v>
      </c>
      <c r="S19" s="4">
        <v>0</v>
      </c>
      <c r="T19" s="4">
        <v>15</v>
      </c>
      <c r="U19" s="4">
        <v>0</v>
      </c>
      <c r="V19" s="6">
        <f>IF(ISERROR(VLOOKUP($S$19,'TAR FIN'!$A$1:$O$88,15,0)),0,VLOOKUP($S$19,'TAR FIN'!$A$1:$O$88,15,0))</f>
        <v>0</v>
      </c>
      <c r="W19" s="6">
        <f>IF(ISERROR(VLOOKUP($T$19,'TAR FIN'!$A$1:$O$88,15,0)),0,VLOOKUP($T$19,'TAR FIN'!$A$1:$O$88,15,0))</f>
        <v>79.319999999999993</v>
      </c>
      <c r="X19" s="6">
        <f>IF(ISERROR(VLOOKUP($U$19,'TAR FIN'!$A$1:$O$88,15,0)),0,VLOOKUP($U$19,'TAR FIN'!$A$1:$O$88,15,0))</f>
        <v>0</v>
      </c>
      <c r="Y19" s="6"/>
      <c r="Z19" s="6">
        <f ca="1">('TUSD BE'!$AM$12+'TUSD BF'!$AM$12+'TUSD CVA'!$AM$12)*1</f>
        <v>102.71637945274784</v>
      </c>
      <c r="AA19" s="6"/>
      <c r="AB19" s="6">
        <f t="shared" si="2"/>
        <v>0</v>
      </c>
      <c r="AC19" s="6">
        <f t="shared" si="3"/>
        <v>0</v>
      </c>
      <c r="AD19" s="6">
        <f t="shared" si="4"/>
        <v>0</v>
      </c>
      <c r="AE19" s="6">
        <f t="shared" ca="1" si="5"/>
        <v>0</v>
      </c>
      <c r="AF19" s="4" t="s">
        <v>562</v>
      </c>
    </row>
    <row r="20" spans="1:32" ht="11.25" customHeight="1" x14ac:dyDescent="0.25">
      <c r="A20" s="4" t="s">
        <v>21</v>
      </c>
      <c r="B20" s="4" t="s">
        <v>35</v>
      </c>
      <c r="C20" s="4" t="s">
        <v>36</v>
      </c>
      <c r="D20" s="4" t="s">
        <v>34</v>
      </c>
      <c r="E20" s="4" t="s">
        <v>25</v>
      </c>
      <c r="F20" s="4" t="s">
        <v>53</v>
      </c>
      <c r="G20" s="4" t="s">
        <v>25</v>
      </c>
      <c r="H20" s="4" t="s">
        <v>38</v>
      </c>
      <c r="I20" s="5">
        <v>44621</v>
      </c>
      <c r="J20" s="6">
        <v>0</v>
      </c>
      <c r="K20" s="6">
        <v>0</v>
      </c>
      <c r="L20" s="6">
        <v>10.055</v>
      </c>
      <c r="M20" s="6">
        <v>10.055</v>
      </c>
      <c r="N20" s="6">
        <v>0</v>
      </c>
      <c r="O20" s="6">
        <v>0</v>
      </c>
      <c r="P20" s="6">
        <v>0</v>
      </c>
      <c r="Q20" s="4" t="s">
        <v>54</v>
      </c>
      <c r="R20" s="4">
        <v>0</v>
      </c>
      <c r="S20" s="4">
        <v>0</v>
      </c>
      <c r="T20" s="4">
        <v>15</v>
      </c>
      <c r="U20" s="4">
        <v>0</v>
      </c>
      <c r="V20" s="6">
        <f>IF(ISERROR(VLOOKUP($S$20,'TAR FIN'!$A$1:$O$88,15,0)),0,VLOOKUP($S$20,'TAR FIN'!$A$1:$O$88,15,0))</f>
        <v>0</v>
      </c>
      <c r="W20" s="6">
        <f>IF(ISERROR(VLOOKUP($T$20,'TAR FIN'!$A$1:$O$88,15,0)),0,VLOOKUP($T$20,'TAR FIN'!$A$1:$O$88,15,0))</f>
        <v>79.319999999999993</v>
      </c>
      <c r="X20" s="6">
        <f>IF(ISERROR(VLOOKUP($U$20,'TAR FIN'!$A$1:$O$88,15,0)),0,VLOOKUP($U$20,'TAR FIN'!$A$1:$O$88,15,0))</f>
        <v>0</v>
      </c>
      <c r="Y20" s="6"/>
      <c r="Z20" s="6">
        <f ca="1">('TUSD BE'!$AM$12+'TUSD BF'!$AM$12+'TUSD CVA'!$AM$12)*1</f>
        <v>102.71637945274784</v>
      </c>
      <c r="AA20" s="6"/>
      <c r="AB20" s="6">
        <f t="shared" si="2"/>
        <v>0</v>
      </c>
      <c r="AC20" s="6">
        <f t="shared" si="3"/>
        <v>0</v>
      </c>
      <c r="AD20" s="6">
        <f t="shared" si="4"/>
        <v>0</v>
      </c>
      <c r="AE20" s="6">
        <f t="shared" ca="1" si="5"/>
        <v>0</v>
      </c>
      <c r="AF20" s="4" t="s">
        <v>562</v>
      </c>
    </row>
    <row r="21" spans="1:32" ht="11.25" customHeight="1" x14ac:dyDescent="0.25">
      <c r="A21" s="4" t="s">
        <v>21</v>
      </c>
      <c r="B21" s="4" t="s">
        <v>35</v>
      </c>
      <c r="C21" s="4" t="s">
        <v>36</v>
      </c>
      <c r="D21" s="4" t="s">
        <v>34</v>
      </c>
      <c r="E21" s="4" t="s">
        <v>25</v>
      </c>
      <c r="F21" s="4" t="s">
        <v>53</v>
      </c>
      <c r="G21" s="4" t="s">
        <v>25</v>
      </c>
      <c r="H21" s="4" t="s">
        <v>38</v>
      </c>
      <c r="I21" s="5">
        <v>44652</v>
      </c>
      <c r="J21" s="6">
        <v>0</v>
      </c>
      <c r="K21" s="6">
        <v>0</v>
      </c>
      <c r="L21" s="6">
        <v>38.299999999999997</v>
      </c>
      <c r="M21" s="6">
        <v>38.299999999999997</v>
      </c>
      <c r="N21" s="6">
        <v>0</v>
      </c>
      <c r="O21" s="6">
        <v>0</v>
      </c>
      <c r="P21" s="6">
        <v>0</v>
      </c>
      <c r="Q21" s="4" t="s">
        <v>54</v>
      </c>
      <c r="R21" s="4">
        <v>0</v>
      </c>
      <c r="S21" s="4">
        <v>0</v>
      </c>
      <c r="T21" s="4">
        <v>15</v>
      </c>
      <c r="U21" s="4">
        <v>0</v>
      </c>
      <c r="V21" s="6">
        <f>IF(ISERROR(VLOOKUP($S$21,'TAR FIN'!$A$1:$O$88,15,0)),0,VLOOKUP($S$21,'TAR FIN'!$A$1:$O$88,15,0))</f>
        <v>0</v>
      </c>
      <c r="W21" s="6">
        <f>IF(ISERROR(VLOOKUP($T$21,'TAR FIN'!$A$1:$O$88,15,0)),0,VLOOKUP($T$21,'TAR FIN'!$A$1:$O$88,15,0))</f>
        <v>79.319999999999993</v>
      </c>
      <c r="X21" s="6">
        <f>IF(ISERROR(VLOOKUP($U$21,'TAR FIN'!$A$1:$O$88,15,0)),0,VLOOKUP($U$21,'TAR FIN'!$A$1:$O$88,15,0))</f>
        <v>0</v>
      </c>
      <c r="Y21" s="6"/>
      <c r="Z21" s="6">
        <f ca="1">('TUSD BE'!$AM$12+'TUSD BF'!$AM$12+'TUSD CVA'!$AM$12)*1</f>
        <v>102.71637945274784</v>
      </c>
      <c r="AA21" s="6"/>
      <c r="AB21" s="6">
        <f t="shared" si="2"/>
        <v>0</v>
      </c>
      <c r="AC21" s="6">
        <f t="shared" si="3"/>
        <v>0</v>
      </c>
      <c r="AD21" s="6">
        <f t="shared" si="4"/>
        <v>0</v>
      </c>
      <c r="AE21" s="6">
        <f t="shared" ca="1" si="5"/>
        <v>0</v>
      </c>
      <c r="AF21" s="4" t="s">
        <v>562</v>
      </c>
    </row>
    <row r="22" spans="1:32" ht="11.25" customHeight="1" x14ac:dyDescent="0.25">
      <c r="A22" s="4" t="s">
        <v>21</v>
      </c>
      <c r="B22" s="4" t="s">
        <v>35</v>
      </c>
      <c r="C22" s="4" t="s">
        <v>36</v>
      </c>
      <c r="D22" s="4" t="s">
        <v>34</v>
      </c>
      <c r="E22" s="4" t="s">
        <v>25</v>
      </c>
      <c r="F22" s="4" t="s">
        <v>53</v>
      </c>
      <c r="G22" s="4" t="s">
        <v>25</v>
      </c>
      <c r="H22" s="4" t="s">
        <v>38</v>
      </c>
      <c r="I22" s="5">
        <v>44682</v>
      </c>
      <c r="J22" s="6">
        <v>0</v>
      </c>
      <c r="K22" s="6">
        <v>0</v>
      </c>
      <c r="L22" s="6">
        <v>115.378</v>
      </c>
      <c r="M22" s="6">
        <v>115.378</v>
      </c>
      <c r="N22" s="6">
        <v>0</v>
      </c>
      <c r="O22" s="6">
        <v>0</v>
      </c>
      <c r="P22" s="6">
        <v>0</v>
      </c>
      <c r="Q22" s="4" t="s">
        <v>54</v>
      </c>
      <c r="R22" s="4">
        <v>0</v>
      </c>
      <c r="S22" s="4">
        <v>0</v>
      </c>
      <c r="T22" s="4">
        <v>15</v>
      </c>
      <c r="U22" s="4">
        <v>0</v>
      </c>
      <c r="V22" s="6">
        <f>IF(ISERROR(VLOOKUP($S$22,'TAR FIN'!$A$1:$O$88,15,0)),0,VLOOKUP($S$22,'TAR FIN'!$A$1:$O$88,15,0))</f>
        <v>0</v>
      </c>
      <c r="W22" s="6">
        <f>IF(ISERROR(VLOOKUP($T$22,'TAR FIN'!$A$1:$O$88,15,0)),0,VLOOKUP($T$22,'TAR FIN'!$A$1:$O$88,15,0))</f>
        <v>79.319999999999993</v>
      </c>
      <c r="X22" s="6">
        <f>IF(ISERROR(VLOOKUP($U$22,'TAR FIN'!$A$1:$O$88,15,0)),0,VLOOKUP($U$22,'TAR FIN'!$A$1:$O$88,15,0))</f>
        <v>0</v>
      </c>
      <c r="Y22" s="6"/>
      <c r="Z22" s="6">
        <f ca="1">('TUSD BE'!$AM$12+'TUSD BF'!$AM$12+'TUSD CVA'!$AM$12)*1</f>
        <v>102.71637945274784</v>
      </c>
      <c r="AA22" s="6"/>
      <c r="AB22" s="6">
        <f t="shared" si="2"/>
        <v>0</v>
      </c>
      <c r="AC22" s="6">
        <f t="shared" si="3"/>
        <v>0</v>
      </c>
      <c r="AD22" s="6">
        <f t="shared" si="4"/>
        <v>0</v>
      </c>
      <c r="AE22" s="6">
        <f t="shared" ca="1" si="5"/>
        <v>0</v>
      </c>
      <c r="AF22" s="4" t="s">
        <v>562</v>
      </c>
    </row>
    <row r="23" spans="1:32" ht="11.25" customHeight="1" x14ac:dyDescent="0.25">
      <c r="A23" s="4" t="s">
        <v>21</v>
      </c>
      <c r="B23" s="4" t="s">
        <v>35</v>
      </c>
      <c r="C23" s="4" t="s">
        <v>36</v>
      </c>
      <c r="D23" s="4" t="s">
        <v>34</v>
      </c>
      <c r="E23" s="4" t="s">
        <v>25</v>
      </c>
      <c r="F23" s="4" t="s">
        <v>53</v>
      </c>
      <c r="G23" s="4" t="s">
        <v>25</v>
      </c>
      <c r="H23" s="4" t="s">
        <v>38</v>
      </c>
      <c r="I23" s="5">
        <v>44713</v>
      </c>
      <c r="J23" s="6">
        <v>0</v>
      </c>
      <c r="K23" s="6">
        <v>0</v>
      </c>
      <c r="L23" s="6">
        <v>43.594999999999999</v>
      </c>
      <c r="M23" s="6">
        <v>43.594999999999999</v>
      </c>
      <c r="N23" s="6">
        <v>0</v>
      </c>
      <c r="O23" s="6">
        <v>0</v>
      </c>
      <c r="P23" s="6">
        <v>0</v>
      </c>
      <c r="Q23" s="4" t="s">
        <v>54</v>
      </c>
      <c r="R23" s="4">
        <v>0</v>
      </c>
      <c r="S23" s="4">
        <v>0</v>
      </c>
      <c r="T23" s="4">
        <v>15</v>
      </c>
      <c r="U23" s="4">
        <v>0</v>
      </c>
      <c r="V23" s="6">
        <f>IF(ISERROR(VLOOKUP($S$23,'TAR FIN'!$A$1:$O$88,15,0)),0,VLOOKUP($S$23,'TAR FIN'!$A$1:$O$88,15,0))</f>
        <v>0</v>
      </c>
      <c r="W23" s="6">
        <f>IF(ISERROR(VLOOKUP($T$23,'TAR FIN'!$A$1:$O$88,15,0)),0,VLOOKUP($T$23,'TAR FIN'!$A$1:$O$88,15,0))</f>
        <v>79.319999999999993</v>
      </c>
      <c r="X23" s="6">
        <f>IF(ISERROR(VLOOKUP($U$23,'TAR FIN'!$A$1:$O$88,15,0)),0,VLOOKUP($U$23,'TAR FIN'!$A$1:$O$88,15,0))</f>
        <v>0</v>
      </c>
      <c r="Y23" s="6"/>
      <c r="Z23" s="6">
        <f ca="1">('TUSD BE'!$AM$12+'TUSD BF'!$AM$12+'TUSD CVA'!$AM$12)*1</f>
        <v>102.71637945274784</v>
      </c>
      <c r="AA23" s="6"/>
      <c r="AB23" s="6">
        <f t="shared" si="2"/>
        <v>0</v>
      </c>
      <c r="AC23" s="6">
        <f t="shared" si="3"/>
        <v>0</v>
      </c>
      <c r="AD23" s="6">
        <f t="shared" si="4"/>
        <v>0</v>
      </c>
      <c r="AE23" s="6">
        <f t="shared" ca="1" si="5"/>
        <v>0</v>
      </c>
      <c r="AF23" s="4" t="s">
        <v>562</v>
      </c>
    </row>
    <row r="24" spans="1:32" ht="11.25" customHeight="1" x14ac:dyDescent="0.25">
      <c r="A24" s="4" t="s">
        <v>21</v>
      </c>
      <c r="B24" s="4" t="s">
        <v>35</v>
      </c>
      <c r="C24" s="4" t="s">
        <v>36</v>
      </c>
      <c r="D24" s="4" t="s">
        <v>34</v>
      </c>
      <c r="E24" s="4" t="s">
        <v>25</v>
      </c>
      <c r="F24" s="4" t="s">
        <v>53</v>
      </c>
      <c r="G24" s="4" t="s">
        <v>25</v>
      </c>
      <c r="H24" s="4" t="s">
        <v>25</v>
      </c>
      <c r="I24" s="5">
        <v>44378</v>
      </c>
      <c r="J24" s="6">
        <v>1200</v>
      </c>
      <c r="K24" s="6">
        <v>600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54</v>
      </c>
      <c r="R24" s="4">
        <v>0</v>
      </c>
      <c r="S24" s="4">
        <v>11</v>
      </c>
      <c r="T24" s="4">
        <v>0</v>
      </c>
      <c r="U24" s="4">
        <v>0</v>
      </c>
      <c r="V24" s="6">
        <f>IF(ISERROR(VLOOKUP($S$24,'TAR FIN'!$A$1:$O$88,15,0)),0,VLOOKUP($S$24,'TAR FIN'!$A$1:$O$88,15,0))</f>
        <v>45.42</v>
      </c>
      <c r="W24" s="6">
        <f>IF(ISERROR(VLOOKUP($T$24,'TAR FIN'!$A$1:$O$88,15,0)),0,VLOOKUP($T$24,'TAR FIN'!$A$1:$O$88,15,0))</f>
        <v>0</v>
      </c>
      <c r="X24" s="6">
        <f>IF(ISERROR(VLOOKUP($U$24,'TAR FIN'!$A$1:$O$88,15,0)),0,VLOOKUP($U$24,'TAR FIN'!$A$1:$O$88,15,0))</f>
        <v>0</v>
      </c>
      <c r="Y24" s="6">
        <f ca="1">('TUSD BE'!$AM$10+'TUSD BF'!$AM$10+'TUSD CVA'!$AM$10)*1</f>
        <v>51.541515279759096</v>
      </c>
      <c r="Z24" s="6"/>
      <c r="AA24" s="6"/>
      <c r="AB24" s="6">
        <f t="shared" si="2"/>
        <v>27252</v>
      </c>
      <c r="AC24" s="6">
        <f t="shared" si="3"/>
        <v>0</v>
      </c>
      <c r="AD24" s="6">
        <f t="shared" ca="1" si="4"/>
        <v>30924.909167855458</v>
      </c>
      <c r="AE24" s="6">
        <f t="shared" si="5"/>
        <v>0</v>
      </c>
      <c r="AF24" s="4" t="s">
        <v>562</v>
      </c>
    </row>
    <row r="25" spans="1:32" ht="11.25" customHeight="1" x14ac:dyDescent="0.25">
      <c r="A25" s="4" t="s">
        <v>21</v>
      </c>
      <c r="B25" s="4" t="s">
        <v>35</v>
      </c>
      <c r="C25" s="4" t="s">
        <v>36</v>
      </c>
      <c r="D25" s="4" t="s">
        <v>34</v>
      </c>
      <c r="E25" s="4" t="s">
        <v>25</v>
      </c>
      <c r="F25" s="4" t="s">
        <v>53</v>
      </c>
      <c r="G25" s="4" t="s">
        <v>25</v>
      </c>
      <c r="H25" s="4" t="s">
        <v>25</v>
      </c>
      <c r="I25" s="5">
        <v>44409</v>
      </c>
      <c r="J25" s="6">
        <v>600</v>
      </c>
      <c r="K25" s="6">
        <v>600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54</v>
      </c>
      <c r="R25" s="4">
        <v>0</v>
      </c>
      <c r="S25" s="4">
        <v>11</v>
      </c>
      <c r="T25" s="4">
        <v>0</v>
      </c>
      <c r="U25" s="4">
        <v>0</v>
      </c>
      <c r="V25" s="6">
        <f>IF(ISERROR(VLOOKUP($S$25,'TAR FIN'!$A$1:$O$88,15,0)),0,VLOOKUP($S$25,'TAR FIN'!$A$1:$O$88,15,0))</f>
        <v>45.42</v>
      </c>
      <c r="W25" s="6">
        <f>IF(ISERROR(VLOOKUP($T$25,'TAR FIN'!$A$1:$O$88,15,0)),0,VLOOKUP($T$25,'TAR FIN'!$A$1:$O$88,15,0))</f>
        <v>0</v>
      </c>
      <c r="X25" s="6">
        <f>IF(ISERROR(VLOOKUP($U$25,'TAR FIN'!$A$1:$O$88,15,0)),0,VLOOKUP($U$25,'TAR FIN'!$A$1:$O$88,15,0))</f>
        <v>0</v>
      </c>
      <c r="Y25" s="6">
        <f ca="1">('TUSD BE'!$AM$10+'TUSD BF'!$AM$10+'TUSD CVA'!$AM$10)*1</f>
        <v>51.541515279759096</v>
      </c>
      <c r="Z25" s="6"/>
      <c r="AA25" s="6"/>
      <c r="AB25" s="6">
        <f t="shared" si="2"/>
        <v>0</v>
      </c>
      <c r="AC25" s="6">
        <f t="shared" si="3"/>
        <v>0</v>
      </c>
      <c r="AD25" s="6">
        <f t="shared" ca="1" si="4"/>
        <v>0</v>
      </c>
      <c r="AE25" s="6">
        <f t="shared" si="5"/>
        <v>0</v>
      </c>
      <c r="AF25" s="4" t="s">
        <v>562</v>
      </c>
    </row>
    <row r="26" spans="1:32" ht="11.25" customHeight="1" x14ac:dyDescent="0.25">
      <c r="A26" s="4" t="s">
        <v>21</v>
      </c>
      <c r="B26" s="4" t="s">
        <v>35</v>
      </c>
      <c r="C26" s="4" t="s">
        <v>36</v>
      </c>
      <c r="D26" s="4" t="s">
        <v>34</v>
      </c>
      <c r="E26" s="4" t="s">
        <v>25</v>
      </c>
      <c r="F26" s="4" t="s">
        <v>53</v>
      </c>
      <c r="G26" s="4" t="s">
        <v>25</v>
      </c>
      <c r="H26" s="4" t="s">
        <v>25</v>
      </c>
      <c r="I26" s="5">
        <v>44440</v>
      </c>
      <c r="J26" s="6">
        <v>600</v>
      </c>
      <c r="K26" s="6">
        <v>600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4" t="s">
        <v>54</v>
      </c>
      <c r="R26" s="4">
        <v>0</v>
      </c>
      <c r="S26" s="4">
        <v>11</v>
      </c>
      <c r="T26" s="4">
        <v>0</v>
      </c>
      <c r="U26" s="4">
        <v>0</v>
      </c>
      <c r="V26" s="6">
        <f>IF(ISERROR(VLOOKUP($S$26,'TAR FIN'!$A$1:$O$88,15,0)),0,VLOOKUP($S$26,'TAR FIN'!$A$1:$O$88,15,0))</f>
        <v>45.42</v>
      </c>
      <c r="W26" s="6">
        <f>IF(ISERROR(VLOOKUP($T$26,'TAR FIN'!$A$1:$O$88,15,0)),0,VLOOKUP($T$26,'TAR FIN'!$A$1:$O$88,15,0))</f>
        <v>0</v>
      </c>
      <c r="X26" s="6">
        <f>IF(ISERROR(VLOOKUP($U$26,'TAR FIN'!$A$1:$O$88,15,0)),0,VLOOKUP($U$26,'TAR FIN'!$A$1:$O$88,15,0))</f>
        <v>0</v>
      </c>
      <c r="Y26" s="6">
        <f ca="1">('TUSD BE'!$AM$10+'TUSD BF'!$AM$10+'TUSD CVA'!$AM$10)*1</f>
        <v>51.541515279759096</v>
      </c>
      <c r="Z26" s="6"/>
      <c r="AA26" s="6"/>
      <c r="AB26" s="6">
        <f t="shared" si="2"/>
        <v>0</v>
      </c>
      <c r="AC26" s="6">
        <f t="shared" si="3"/>
        <v>0</v>
      </c>
      <c r="AD26" s="6">
        <f t="shared" ca="1" si="4"/>
        <v>0</v>
      </c>
      <c r="AE26" s="6">
        <f t="shared" si="5"/>
        <v>0</v>
      </c>
      <c r="AF26" s="4" t="s">
        <v>562</v>
      </c>
    </row>
    <row r="27" spans="1:32" ht="11.25" customHeight="1" x14ac:dyDescent="0.25">
      <c r="A27" s="4" t="s">
        <v>21</v>
      </c>
      <c r="B27" s="4" t="s">
        <v>35</v>
      </c>
      <c r="C27" s="4" t="s">
        <v>36</v>
      </c>
      <c r="D27" s="4" t="s">
        <v>34</v>
      </c>
      <c r="E27" s="4" t="s">
        <v>25</v>
      </c>
      <c r="F27" s="4" t="s">
        <v>53</v>
      </c>
      <c r="G27" s="4" t="s">
        <v>25</v>
      </c>
      <c r="H27" s="4" t="s">
        <v>25</v>
      </c>
      <c r="I27" s="5">
        <v>44470</v>
      </c>
      <c r="J27" s="6">
        <v>600</v>
      </c>
      <c r="K27" s="6">
        <v>317.64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4" t="s">
        <v>54</v>
      </c>
      <c r="R27" s="4">
        <v>0</v>
      </c>
      <c r="S27" s="4">
        <v>11</v>
      </c>
      <c r="T27" s="4">
        <v>0</v>
      </c>
      <c r="U27" s="4">
        <v>0</v>
      </c>
      <c r="V27" s="6">
        <f>IF(ISERROR(VLOOKUP($S$27,'TAR FIN'!$A$1:$O$88,15,0)),0,VLOOKUP($S$27,'TAR FIN'!$A$1:$O$88,15,0))</f>
        <v>45.42</v>
      </c>
      <c r="W27" s="6">
        <f>IF(ISERROR(VLOOKUP($T$27,'TAR FIN'!$A$1:$O$88,15,0)),0,VLOOKUP($T$27,'TAR FIN'!$A$1:$O$88,15,0))</f>
        <v>0</v>
      </c>
      <c r="X27" s="6">
        <f>IF(ISERROR(VLOOKUP($U$27,'TAR FIN'!$A$1:$O$88,15,0)),0,VLOOKUP($U$27,'TAR FIN'!$A$1:$O$88,15,0))</f>
        <v>0</v>
      </c>
      <c r="Y27" s="6">
        <f ca="1">('TUSD BE'!$AM$10+'TUSD BF'!$AM$10+'TUSD CVA'!$AM$10)*1</f>
        <v>51.541515279759096</v>
      </c>
      <c r="Z27" s="6"/>
      <c r="AA27" s="6"/>
      <c r="AB27" s="6">
        <f t="shared" si="2"/>
        <v>12824.791200000001</v>
      </c>
      <c r="AC27" s="6">
        <f t="shared" si="3"/>
        <v>0</v>
      </c>
      <c r="AD27" s="6">
        <f t="shared" ca="1" si="4"/>
        <v>14553.262254392779</v>
      </c>
      <c r="AE27" s="6">
        <f t="shared" si="5"/>
        <v>0</v>
      </c>
      <c r="AF27" s="4" t="s">
        <v>562</v>
      </c>
    </row>
    <row r="28" spans="1:32" ht="11.25" customHeight="1" x14ac:dyDescent="0.25">
      <c r="A28" s="4" t="s">
        <v>21</v>
      </c>
      <c r="B28" s="4" t="s">
        <v>35</v>
      </c>
      <c r="C28" s="4" t="s">
        <v>36</v>
      </c>
      <c r="D28" s="4" t="s">
        <v>34</v>
      </c>
      <c r="E28" s="4" t="s">
        <v>25</v>
      </c>
      <c r="F28" s="4" t="s">
        <v>53</v>
      </c>
      <c r="G28" s="4" t="s">
        <v>25</v>
      </c>
      <c r="H28" s="4" t="s">
        <v>25</v>
      </c>
      <c r="I28" s="5">
        <v>44501</v>
      </c>
      <c r="J28" s="6">
        <v>600</v>
      </c>
      <c r="K28" s="6">
        <v>209.04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4" t="s">
        <v>54</v>
      </c>
      <c r="R28" s="4">
        <v>0</v>
      </c>
      <c r="S28" s="4">
        <v>11</v>
      </c>
      <c r="T28" s="4">
        <v>0</v>
      </c>
      <c r="U28" s="4">
        <v>0</v>
      </c>
      <c r="V28" s="6">
        <f>IF(ISERROR(VLOOKUP($S$28,'TAR FIN'!$A$1:$O$88,15,0)),0,VLOOKUP($S$28,'TAR FIN'!$A$1:$O$88,15,0))</f>
        <v>45.42</v>
      </c>
      <c r="W28" s="6">
        <f>IF(ISERROR(VLOOKUP($T$28,'TAR FIN'!$A$1:$O$88,15,0)),0,VLOOKUP($T$28,'TAR FIN'!$A$1:$O$88,15,0))</f>
        <v>0</v>
      </c>
      <c r="X28" s="6">
        <f>IF(ISERROR(VLOOKUP($U$28,'TAR FIN'!$A$1:$O$88,15,0)),0,VLOOKUP($U$28,'TAR FIN'!$A$1:$O$88,15,0))</f>
        <v>0</v>
      </c>
      <c r="Y28" s="6">
        <f ca="1">('TUSD BE'!$AM$10+'TUSD BF'!$AM$10+'TUSD CVA'!$AM$10)*1</f>
        <v>51.541515279759096</v>
      </c>
      <c r="Z28" s="6"/>
      <c r="AA28" s="6"/>
      <c r="AB28" s="6">
        <f t="shared" si="2"/>
        <v>17757.403200000001</v>
      </c>
      <c r="AC28" s="6">
        <f t="shared" si="3"/>
        <v>0</v>
      </c>
      <c r="AD28" s="6">
        <f t="shared" ca="1" si="4"/>
        <v>20150.670813774617</v>
      </c>
      <c r="AE28" s="6">
        <f t="shared" si="5"/>
        <v>0</v>
      </c>
      <c r="AF28" s="4" t="s">
        <v>562</v>
      </c>
    </row>
    <row r="29" spans="1:32" ht="11.25" customHeight="1" x14ac:dyDescent="0.25">
      <c r="A29" s="4" t="s">
        <v>21</v>
      </c>
      <c r="B29" s="4" t="s">
        <v>35</v>
      </c>
      <c r="C29" s="4" t="s">
        <v>36</v>
      </c>
      <c r="D29" s="4" t="s">
        <v>34</v>
      </c>
      <c r="E29" s="4" t="s">
        <v>25</v>
      </c>
      <c r="F29" s="4" t="s">
        <v>53</v>
      </c>
      <c r="G29" s="4" t="s">
        <v>25</v>
      </c>
      <c r="H29" s="4" t="s">
        <v>25</v>
      </c>
      <c r="I29" s="5">
        <v>44531</v>
      </c>
      <c r="J29" s="6">
        <v>600</v>
      </c>
      <c r="K29" s="6">
        <v>322.5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4" t="s">
        <v>54</v>
      </c>
      <c r="R29" s="4">
        <v>0</v>
      </c>
      <c r="S29" s="4">
        <v>11</v>
      </c>
      <c r="T29" s="4">
        <v>0</v>
      </c>
      <c r="U29" s="4">
        <v>0</v>
      </c>
      <c r="V29" s="6">
        <f>IF(ISERROR(VLOOKUP($S$29,'TAR FIN'!$A$1:$O$88,15,0)),0,VLOOKUP($S$29,'TAR FIN'!$A$1:$O$88,15,0))</f>
        <v>45.42</v>
      </c>
      <c r="W29" s="6">
        <f>IF(ISERROR(VLOOKUP($T$29,'TAR FIN'!$A$1:$O$88,15,0)),0,VLOOKUP($T$29,'TAR FIN'!$A$1:$O$88,15,0))</f>
        <v>0</v>
      </c>
      <c r="X29" s="6">
        <f>IF(ISERROR(VLOOKUP($U$29,'TAR FIN'!$A$1:$O$88,15,0)),0,VLOOKUP($U$29,'TAR FIN'!$A$1:$O$88,15,0))</f>
        <v>0</v>
      </c>
      <c r="Y29" s="6">
        <f ca="1">('TUSD BE'!$AM$10+'TUSD BF'!$AM$10+'TUSD CVA'!$AM$10)*1</f>
        <v>51.541515279759096</v>
      </c>
      <c r="Z29" s="6"/>
      <c r="AA29" s="6"/>
      <c r="AB29" s="6">
        <f t="shared" si="2"/>
        <v>12604.050000000001</v>
      </c>
      <c r="AC29" s="6">
        <f t="shared" si="3"/>
        <v>0</v>
      </c>
      <c r="AD29" s="6">
        <f t="shared" ca="1" si="4"/>
        <v>14302.770490133149</v>
      </c>
      <c r="AE29" s="6">
        <f t="shared" si="5"/>
        <v>0</v>
      </c>
      <c r="AF29" s="4" t="s">
        <v>562</v>
      </c>
    </row>
    <row r="30" spans="1:32" ht="11.25" customHeight="1" x14ac:dyDescent="0.25">
      <c r="A30" s="4" t="s">
        <v>21</v>
      </c>
      <c r="B30" s="4" t="s">
        <v>35</v>
      </c>
      <c r="C30" s="4" t="s">
        <v>36</v>
      </c>
      <c r="D30" s="4" t="s">
        <v>34</v>
      </c>
      <c r="E30" s="4" t="s">
        <v>25</v>
      </c>
      <c r="F30" s="4" t="s">
        <v>53</v>
      </c>
      <c r="G30" s="4" t="s">
        <v>25</v>
      </c>
      <c r="H30" s="4" t="s">
        <v>25</v>
      </c>
      <c r="I30" s="5">
        <v>44562</v>
      </c>
      <c r="J30" s="6">
        <v>600</v>
      </c>
      <c r="K30" s="6">
        <v>600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4" t="s">
        <v>54</v>
      </c>
      <c r="R30" s="4">
        <v>0</v>
      </c>
      <c r="S30" s="4">
        <v>11</v>
      </c>
      <c r="T30" s="4">
        <v>0</v>
      </c>
      <c r="U30" s="4">
        <v>0</v>
      </c>
      <c r="V30" s="6">
        <f>IF(ISERROR(VLOOKUP($S$30,'TAR FIN'!$A$1:$O$88,15,0)),0,VLOOKUP($S$30,'TAR FIN'!$A$1:$O$88,15,0))</f>
        <v>45.42</v>
      </c>
      <c r="W30" s="6">
        <f>IF(ISERROR(VLOOKUP($T$30,'TAR FIN'!$A$1:$O$88,15,0)),0,VLOOKUP($T$30,'TAR FIN'!$A$1:$O$88,15,0))</f>
        <v>0</v>
      </c>
      <c r="X30" s="6">
        <f>IF(ISERROR(VLOOKUP($U$30,'TAR FIN'!$A$1:$O$88,15,0)),0,VLOOKUP($U$30,'TAR FIN'!$A$1:$O$88,15,0))</f>
        <v>0</v>
      </c>
      <c r="Y30" s="6">
        <f ca="1">('TUSD BE'!$AM$10+'TUSD BF'!$AM$10+'TUSD CVA'!$AM$10)*1</f>
        <v>51.541515279759096</v>
      </c>
      <c r="Z30" s="6"/>
      <c r="AA30" s="6"/>
      <c r="AB30" s="6">
        <f t="shared" si="2"/>
        <v>0</v>
      </c>
      <c r="AC30" s="6">
        <f t="shared" si="3"/>
        <v>0</v>
      </c>
      <c r="AD30" s="6">
        <f t="shared" ca="1" si="4"/>
        <v>0</v>
      </c>
      <c r="AE30" s="6">
        <f t="shared" si="5"/>
        <v>0</v>
      </c>
      <c r="AF30" s="4" t="s">
        <v>562</v>
      </c>
    </row>
    <row r="31" spans="1:32" ht="11.25" customHeight="1" x14ac:dyDescent="0.25">
      <c r="A31" s="4" t="s">
        <v>21</v>
      </c>
      <c r="B31" s="4" t="s">
        <v>35</v>
      </c>
      <c r="C31" s="4" t="s">
        <v>36</v>
      </c>
      <c r="D31" s="4" t="s">
        <v>34</v>
      </c>
      <c r="E31" s="4" t="s">
        <v>25</v>
      </c>
      <c r="F31" s="4" t="s">
        <v>53</v>
      </c>
      <c r="G31" s="4" t="s">
        <v>25</v>
      </c>
      <c r="H31" s="4" t="s">
        <v>25</v>
      </c>
      <c r="I31" s="5">
        <v>44593</v>
      </c>
      <c r="J31" s="6">
        <v>600</v>
      </c>
      <c r="K31" s="6">
        <v>219.78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4" t="s">
        <v>54</v>
      </c>
      <c r="R31" s="4">
        <v>0</v>
      </c>
      <c r="S31" s="4">
        <v>11</v>
      </c>
      <c r="T31" s="4">
        <v>0</v>
      </c>
      <c r="U31" s="4">
        <v>0</v>
      </c>
      <c r="V31" s="6">
        <f>IF(ISERROR(VLOOKUP($S$31,'TAR FIN'!$A$1:$O$88,15,0)),0,VLOOKUP($S$31,'TAR FIN'!$A$1:$O$88,15,0))</f>
        <v>45.42</v>
      </c>
      <c r="W31" s="6">
        <f>IF(ISERROR(VLOOKUP($T$31,'TAR FIN'!$A$1:$O$88,15,0)),0,VLOOKUP($T$31,'TAR FIN'!$A$1:$O$88,15,0))</f>
        <v>0</v>
      </c>
      <c r="X31" s="6">
        <f>IF(ISERROR(VLOOKUP($U$31,'TAR FIN'!$A$1:$O$88,15,0)),0,VLOOKUP($U$31,'TAR FIN'!$A$1:$O$88,15,0))</f>
        <v>0</v>
      </c>
      <c r="Y31" s="6">
        <f ca="1">('TUSD BE'!$AM$10+'TUSD BF'!$AM$10+'TUSD CVA'!$AM$10)*1</f>
        <v>51.541515279759096</v>
      </c>
      <c r="Z31" s="6"/>
      <c r="AA31" s="6"/>
      <c r="AB31" s="6">
        <f t="shared" si="2"/>
        <v>17269.592400000001</v>
      </c>
      <c r="AC31" s="6">
        <f t="shared" si="3"/>
        <v>0</v>
      </c>
      <c r="AD31" s="6">
        <f t="shared" ca="1" si="4"/>
        <v>19597.114939670006</v>
      </c>
      <c r="AE31" s="6">
        <f t="shared" si="5"/>
        <v>0</v>
      </c>
      <c r="AF31" s="4" t="s">
        <v>562</v>
      </c>
    </row>
    <row r="32" spans="1:32" ht="11.25" customHeight="1" x14ac:dyDescent="0.25">
      <c r="A32" s="4" t="s">
        <v>21</v>
      </c>
      <c r="B32" s="4" t="s">
        <v>35</v>
      </c>
      <c r="C32" s="4" t="s">
        <v>36</v>
      </c>
      <c r="D32" s="4" t="s">
        <v>34</v>
      </c>
      <c r="E32" s="4" t="s">
        <v>25</v>
      </c>
      <c r="F32" s="4" t="s">
        <v>53</v>
      </c>
      <c r="G32" s="4" t="s">
        <v>25</v>
      </c>
      <c r="H32" s="4" t="s">
        <v>25</v>
      </c>
      <c r="I32" s="5">
        <v>44621</v>
      </c>
      <c r="J32" s="6">
        <v>600</v>
      </c>
      <c r="K32" s="6">
        <v>128.69999999999999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4" t="s">
        <v>54</v>
      </c>
      <c r="R32" s="4">
        <v>0</v>
      </c>
      <c r="S32" s="4">
        <v>11</v>
      </c>
      <c r="T32" s="4">
        <v>0</v>
      </c>
      <c r="U32" s="4">
        <v>0</v>
      </c>
      <c r="V32" s="6">
        <f>IF(ISERROR(VLOOKUP($S$32,'TAR FIN'!$A$1:$O$88,15,0)),0,VLOOKUP($S$32,'TAR FIN'!$A$1:$O$88,15,0))</f>
        <v>45.42</v>
      </c>
      <c r="W32" s="6">
        <f>IF(ISERROR(VLOOKUP($T$32,'TAR FIN'!$A$1:$O$88,15,0)),0,VLOOKUP($T$32,'TAR FIN'!$A$1:$O$88,15,0))</f>
        <v>0</v>
      </c>
      <c r="X32" s="6">
        <f>IF(ISERROR(VLOOKUP($U$32,'TAR FIN'!$A$1:$O$88,15,0)),0,VLOOKUP($U$32,'TAR FIN'!$A$1:$O$88,15,0))</f>
        <v>0</v>
      </c>
      <c r="Y32" s="6">
        <f ca="1">('TUSD BE'!$AM$10+'TUSD BF'!$AM$10+'TUSD CVA'!$AM$10)*1</f>
        <v>51.541515279759096</v>
      </c>
      <c r="Z32" s="6"/>
      <c r="AA32" s="6"/>
      <c r="AB32" s="6">
        <f t="shared" si="2"/>
        <v>21406.446</v>
      </c>
      <c r="AC32" s="6">
        <f t="shared" si="3"/>
        <v>0</v>
      </c>
      <c r="AD32" s="6">
        <f t="shared" ca="1" si="4"/>
        <v>24291.516151350461</v>
      </c>
      <c r="AE32" s="6">
        <f t="shared" si="5"/>
        <v>0</v>
      </c>
      <c r="AF32" s="4" t="s">
        <v>562</v>
      </c>
    </row>
    <row r="33" spans="1:32" ht="11.25" customHeight="1" x14ac:dyDescent="0.25">
      <c r="A33" s="4" t="s">
        <v>21</v>
      </c>
      <c r="B33" s="4" t="s">
        <v>35</v>
      </c>
      <c r="C33" s="4" t="s">
        <v>36</v>
      </c>
      <c r="D33" s="4" t="s">
        <v>34</v>
      </c>
      <c r="E33" s="4" t="s">
        <v>25</v>
      </c>
      <c r="F33" s="4" t="s">
        <v>53</v>
      </c>
      <c r="G33" s="4" t="s">
        <v>25</v>
      </c>
      <c r="H33" s="4" t="s">
        <v>25</v>
      </c>
      <c r="I33" s="5">
        <v>44652</v>
      </c>
      <c r="J33" s="6">
        <v>600</v>
      </c>
      <c r="K33" s="6">
        <v>146.16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4" t="s">
        <v>54</v>
      </c>
      <c r="R33" s="4">
        <v>0</v>
      </c>
      <c r="S33" s="4">
        <v>11</v>
      </c>
      <c r="T33" s="4">
        <v>0</v>
      </c>
      <c r="U33" s="4">
        <v>0</v>
      </c>
      <c r="V33" s="6">
        <f>IF(ISERROR(VLOOKUP($S$33,'TAR FIN'!$A$1:$O$88,15,0)),0,VLOOKUP($S$33,'TAR FIN'!$A$1:$O$88,15,0))</f>
        <v>45.42</v>
      </c>
      <c r="W33" s="6">
        <f>IF(ISERROR(VLOOKUP($T$33,'TAR FIN'!$A$1:$O$88,15,0)),0,VLOOKUP($T$33,'TAR FIN'!$A$1:$O$88,15,0))</f>
        <v>0</v>
      </c>
      <c r="X33" s="6">
        <f>IF(ISERROR(VLOOKUP($U$33,'TAR FIN'!$A$1:$O$88,15,0)),0,VLOOKUP($U$33,'TAR FIN'!$A$1:$O$88,15,0))</f>
        <v>0</v>
      </c>
      <c r="Y33" s="6">
        <f ca="1">('TUSD BE'!$AM$10+'TUSD BF'!$AM$10+'TUSD CVA'!$AM$10)*1</f>
        <v>51.541515279759096</v>
      </c>
      <c r="Z33" s="6"/>
      <c r="AA33" s="6"/>
      <c r="AB33" s="6">
        <f t="shared" si="2"/>
        <v>20613.412800000002</v>
      </c>
      <c r="AC33" s="6">
        <f t="shared" si="3"/>
        <v>0</v>
      </c>
      <c r="AD33" s="6">
        <f t="shared" ca="1" si="4"/>
        <v>23391.601294565869</v>
      </c>
      <c r="AE33" s="6">
        <f t="shared" si="5"/>
        <v>0</v>
      </c>
      <c r="AF33" s="4" t="s">
        <v>562</v>
      </c>
    </row>
    <row r="34" spans="1:32" ht="11.25" customHeight="1" x14ac:dyDescent="0.25">
      <c r="A34" s="4" t="s">
        <v>21</v>
      </c>
      <c r="B34" s="4" t="s">
        <v>35</v>
      </c>
      <c r="C34" s="4" t="s">
        <v>36</v>
      </c>
      <c r="D34" s="4" t="s">
        <v>34</v>
      </c>
      <c r="E34" s="4" t="s">
        <v>25</v>
      </c>
      <c r="F34" s="4" t="s">
        <v>53</v>
      </c>
      <c r="G34" s="4" t="s">
        <v>25</v>
      </c>
      <c r="H34" s="4" t="s">
        <v>25</v>
      </c>
      <c r="I34" s="5">
        <v>44682</v>
      </c>
      <c r="J34" s="6">
        <v>600</v>
      </c>
      <c r="K34" s="6">
        <v>25.38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4" t="s">
        <v>54</v>
      </c>
      <c r="R34" s="4">
        <v>0</v>
      </c>
      <c r="S34" s="4">
        <v>11</v>
      </c>
      <c r="T34" s="4">
        <v>0</v>
      </c>
      <c r="U34" s="4">
        <v>0</v>
      </c>
      <c r="V34" s="6">
        <f>IF(ISERROR(VLOOKUP($S$34,'TAR FIN'!$A$1:$O$88,15,0)),0,VLOOKUP($S$34,'TAR FIN'!$A$1:$O$88,15,0))</f>
        <v>45.42</v>
      </c>
      <c r="W34" s="6">
        <f>IF(ISERROR(VLOOKUP($T$34,'TAR FIN'!$A$1:$O$88,15,0)),0,VLOOKUP($T$34,'TAR FIN'!$A$1:$O$88,15,0))</f>
        <v>0</v>
      </c>
      <c r="X34" s="6">
        <f>IF(ISERROR(VLOOKUP($U$34,'TAR FIN'!$A$1:$O$88,15,0)),0,VLOOKUP($U$34,'TAR FIN'!$A$1:$O$88,15,0))</f>
        <v>0</v>
      </c>
      <c r="Y34" s="6">
        <f ca="1">('TUSD BE'!$AM$10+'TUSD BF'!$AM$10+'TUSD CVA'!$AM$10)*1</f>
        <v>51.541515279759096</v>
      </c>
      <c r="Z34" s="6"/>
      <c r="AA34" s="6"/>
      <c r="AB34" s="6">
        <f t="shared" si="2"/>
        <v>26099.240400000002</v>
      </c>
      <c r="AC34" s="6">
        <f t="shared" ref="AC34:AC57" si="6">(L34-M34)*W34+(N34-O34)*X34</f>
        <v>0</v>
      </c>
      <c r="AD34" s="6">
        <f t="shared" ca="1" si="4"/>
        <v>29616.785510055171</v>
      </c>
      <c r="AE34" s="6">
        <f t="shared" ref="AE34:AE57" si="7">(L34-M34)*Z34+(N34-O34)*AA34</f>
        <v>0</v>
      </c>
      <c r="AF34" s="4" t="s">
        <v>562</v>
      </c>
    </row>
    <row r="35" spans="1:32" ht="11.25" customHeight="1" x14ac:dyDescent="0.25">
      <c r="A35" s="4" t="s">
        <v>21</v>
      </c>
      <c r="B35" s="4" t="s">
        <v>35</v>
      </c>
      <c r="C35" s="4" t="s">
        <v>36</v>
      </c>
      <c r="D35" s="4" t="s">
        <v>34</v>
      </c>
      <c r="E35" s="4" t="s">
        <v>25</v>
      </c>
      <c r="F35" s="4" t="s">
        <v>53</v>
      </c>
      <c r="G35" s="4" t="s">
        <v>25</v>
      </c>
      <c r="H35" s="4" t="s">
        <v>25</v>
      </c>
      <c r="I35" s="5">
        <v>44713</v>
      </c>
      <c r="J35" s="6">
        <v>600</v>
      </c>
      <c r="K35" s="6">
        <v>206.7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4" t="s">
        <v>54</v>
      </c>
      <c r="R35" s="4">
        <v>0</v>
      </c>
      <c r="S35" s="4">
        <v>11</v>
      </c>
      <c r="T35" s="4">
        <v>0</v>
      </c>
      <c r="U35" s="4">
        <v>0</v>
      </c>
      <c r="V35" s="6">
        <f>IF(ISERROR(VLOOKUP($S$35,'TAR FIN'!$A$1:$O$88,15,0)),0,VLOOKUP($S$35,'TAR FIN'!$A$1:$O$88,15,0))</f>
        <v>45.42</v>
      </c>
      <c r="W35" s="6">
        <f>IF(ISERROR(VLOOKUP($T$35,'TAR FIN'!$A$1:$O$88,15,0)),0,VLOOKUP($T$35,'TAR FIN'!$A$1:$O$88,15,0))</f>
        <v>0</v>
      </c>
      <c r="X35" s="6">
        <f>IF(ISERROR(VLOOKUP($U$35,'TAR FIN'!$A$1:$O$88,15,0)),0,VLOOKUP($U$35,'TAR FIN'!$A$1:$O$88,15,0))</f>
        <v>0</v>
      </c>
      <c r="Y35" s="6">
        <f ca="1">('TUSD BE'!$AM$10+'TUSD BF'!$AM$10+'TUSD CVA'!$AM$10)*1</f>
        <v>51.541515279759096</v>
      </c>
      <c r="Z35" s="6"/>
      <c r="AA35" s="6"/>
      <c r="AB35" s="6">
        <f t="shared" si="2"/>
        <v>17863.686000000002</v>
      </c>
      <c r="AC35" s="6">
        <f t="shared" si="6"/>
        <v>0</v>
      </c>
      <c r="AD35" s="6">
        <f t="shared" ca="1" si="4"/>
        <v>20271.277959529252</v>
      </c>
      <c r="AE35" s="6">
        <f t="shared" si="7"/>
        <v>0</v>
      </c>
      <c r="AF35" s="4" t="s">
        <v>562</v>
      </c>
    </row>
    <row r="36" spans="1:32" ht="11.25" customHeight="1" x14ac:dyDescent="0.25">
      <c r="A36" s="4" t="s">
        <v>21</v>
      </c>
      <c r="B36" s="4" t="s">
        <v>35</v>
      </c>
      <c r="C36" s="4" t="s">
        <v>36</v>
      </c>
      <c r="D36" s="4" t="s">
        <v>34</v>
      </c>
      <c r="E36" s="4" t="s">
        <v>25</v>
      </c>
      <c r="F36" s="4" t="s">
        <v>53</v>
      </c>
      <c r="G36" s="4" t="s">
        <v>25</v>
      </c>
      <c r="H36" s="4" t="s">
        <v>37</v>
      </c>
      <c r="I36" s="5">
        <v>44440</v>
      </c>
      <c r="J36" s="6">
        <v>0</v>
      </c>
      <c r="K36" s="6">
        <v>0</v>
      </c>
      <c r="L36" s="6">
        <v>0.6</v>
      </c>
      <c r="M36" s="6">
        <v>0.6</v>
      </c>
      <c r="N36" s="6">
        <v>0</v>
      </c>
      <c r="O36" s="6">
        <v>0</v>
      </c>
      <c r="P36" s="6">
        <v>0</v>
      </c>
      <c r="Q36" s="4" t="s">
        <v>54</v>
      </c>
      <c r="R36" s="4">
        <v>0</v>
      </c>
      <c r="S36" s="4">
        <v>0</v>
      </c>
      <c r="T36" s="4">
        <v>7</v>
      </c>
      <c r="U36" s="4">
        <v>0</v>
      </c>
      <c r="V36" s="6">
        <f>IF(ISERROR(VLOOKUP($S$36,'TAR FIN'!$A$1:$O$88,15,0)),0,VLOOKUP($S$36,'TAR FIN'!$A$1:$O$88,15,0))</f>
        <v>0</v>
      </c>
      <c r="W36" s="6">
        <f>IF(ISERROR(VLOOKUP($T$36,'TAR FIN'!$A$1:$O$88,15,0)),0,VLOOKUP($T$36,'TAR FIN'!$A$1:$O$88,15,0))</f>
        <v>1465.12</v>
      </c>
      <c r="X36" s="6">
        <f>IF(ISERROR(VLOOKUP($U$36,'TAR FIN'!$A$1:$O$88,15,0)),0,VLOOKUP($U$36,'TAR FIN'!$A$1:$O$88,15,0))</f>
        <v>0</v>
      </c>
      <c r="Y36" s="6"/>
      <c r="Z36" s="6">
        <f ca="1">('TUSD BE'!$AM$11+'TUSD BF'!$AM$11+'TUSD CVA'!$AM$11)*1</f>
        <v>1652.6258572524951</v>
      </c>
      <c r="AA36" s="6"/>
      <c r="AB36" s="6">
        <f t="shared" si="2"/>
        <v>0</v>
      </c>
      <c r="AC36" s="6">
        <f t="shared" si="6"/>
        <v>0</v>
      </c>
      <c r="AD36" s="6">
        <f t="shared" si="4"/>
        <v>0</v>
      </c>
      <c r="AE36" s="6">
        <f t="shared" ca="1" si="7"/>
        <v>0</v>
      </c>
      <c r="AF36" s="4" t="s">
        <v>562</v>
      </c>
    </row>
    <row r="37" spans="1:32" ht="11.25" customHeight="1" x14ac:dyDescent="0.25">
      <c r="A37" s="4" t="s">
        <v>21</v>
      </c>
      <c r="B37" s="4" t="s">
        <v>35</v>
      </c>
      <c r="C37" s="4" t="s">
        <v>36</v>
      </c>
      <c r="D37" s="4" t="s">
        <v>34</v>
      </c>
      <c r="E37" s="4" t="s">
        <v>25</v>
      </c>
      <c r="F37" s="4" t="s">
        <v>53</v>
      </c>
      <c r="G37" s="4" t="s">
        <v>25</v>
      </c>
      <c r="H37" s="4" t="s">
        <v>37</v>
      </c>
      <c r="I37" s="5">
        <v>44470</v>
      </c>
      <c r="J37" s="6">
        <v>0</v>
      </c>
      <c r="K37" s="6">
        <v>0</v>
      </c>
      <c r="L37" s="6">
        <v>0.54300000000000004</v>
      </c>
      <c r="M37" s="6">
        <v>0.27150000000000002</v>
      </c>
      <c r="N37" s="6">
        <v>0</v>
      </c>
      <c r="O37" s="6">
        <v>0</v>
      </c>
      <c r="P37" s="6">
        <v>0</v>
      </c>
      <c r="Q37" s="4" t="s">
        <v>54</v>
      </c>
      <c r="R37" s="4">
        <v>0</v>
      </c>
      <c r="S37" s="4">
        <v>0</v>
      </c>
      <c r="T37" s="4">
        <v>7</v>
      </c>
      <c r="U37" s="4">
        <v>0</v>
      </c>
      <c r="V37" s="6">
        <f>IF(ISERROR(VLOOKUP($S$37,'TAR FIN'!$A$1:$O$88,15,0)),0,VLOOKUP($S$37,'TAR FIN'!$A$1:$O$88,15,0))</f>
        <v>0</v>
      </c>
      <c r="W37" s="6">
        <f>IF(ISERROR(VLOOKUP($T$37,'TAR FIN'!$A$1:$O$88,15,0)),0,VLOOKUP($T$37,'TAR FIN'!$A$1:$O$88,15,0))</f>
        <v>1465.12</v>
      </c>
      <c r="X37" s="6">
        <f>IF(ISERROR(VLOOKUP($U$37,'TAR FIN'!$A$1:$O$88,15,0)),0,VLOOKUP($U$37,'TAR FIN'!$A$1:$O$88,15,0))</f>
        <v>0</v>
      </c>
      <c r="Y37" s="6"/>
      <c r="Z37" s="6">
        <f ca="1">('TUSD BE'!$AM$11+'TUSD BF'!$AM$11+'TUSD CVA'!$AM$11)*1</f>
        <v>1652.6258572524951</v>
      </c>
      <c r="AA37" s="6"/>
      <c r="AB37" s="6">
        <f t="shared" si="2"/>
        <v>0</v>
      </c>
      <c r="AC37" s="6">
        <f t="shared" si="6"/>
        <v>397.78008</v>
      </c>
      <c r="AD37" s="6">
        <f t="shared" si="4"/>
        <v>0</v>
      </c>
      <c r="AE37" s="6">
        <f t="shared" ca="1" si="7"/>
        <v>448.68792024405246</v>
      </c>
      <c r="AF37" s="4" t="s">
        <v>562</v>
      </c>
    </row>
    <row r="38" spans="1:32" ht="11.25" customHeight="1" x14ac:dyDescent="0.25">
      <c r="A38" s="4" t="s">
        <v>21</v>
      </c>
      <c r="B38" s="4" t="s">
        <v>35</v>
      </c>
      <c r="C38" s="4" t="s">
        <v>36</v>
      </c>
      <c r="D38" s="4" t="s">
        <v>34</v>
      </c>
      <c r="E38" s="4" t="s">
        <v>25</v>
      </c>
      <c r="F38" s="4" t="s">
        <v>53</v>
      </c>
      <c r="G38" s="4" t="s">
        <v>25</v>
      </c>
      <c r="H38" s="4" t="s">
        <v>37</v>
      </c>
      <c r="I38" s="5">
        <v>44501</v>
      </c>
      <c r="J38" s="6">
        <v>0</v>
      </c>
      <c r="K38" s="6">
        <v>0</v>
      </c>
      <c r="L38" s="6">
        <v>0.63800000000000001</v>
      </c>
      <c r="M38" s="6">
        <v>0.63800000000000001</v>
      </c>
      <c r="N38" s="6">
        <v>0</v>
      </c>
      <c r="O38" s="6">
        <v>0</v>
      </c>
      <c r="P38" s="6">
        <v>0</v>
      </c>
      <c r="Q38" s="4" t="s">
        <v>54</v>
      </c>
      <c r="R38" s="4">
        <v>0</v>
      </c>
      <c r="S38" s="4">
        <v>0</v>
      </c>
      <c r="T38" s="4">
        <v>7</v>
      </c>
      <c r="U38" s="4">
        <v>0</v>
      </c>
      <c r="V38" s="6">
        <f>IF(ISERROR(VLOOKUP($S$38,'TAR FIN'!$A$1:$O$88,15,0)),0,VLOOKUP($S$38,'TAR FIN'!$A$1:$O$88,15,0))</f>
        <v>0</v>
      </c>
      <c r="W38" s="6">
        <f>IF(ISERROR(VLOOKUP($T$38,'TAR FIN'!$A$1:$O$88,15,0)),0,VLOOKUP($T$38,'TAR FIN'!$A$1:$O$88,15,0))</f>
        <v>1465.12</v>
      </c>
      <c r="X38" s="6">
        <f>IF(ISERROR(VLOOKUP($U$38,'TAR FIN'!$A$1:$O$88,15,0)),0,VLOOKUP($U$38,'TAR FIN'!$A$1:$O$88,15,0))</f>
        <v>0</v>
      </c>
      <c r="Y38" s="6"/>
      <c r="Z38" s="6">
        <f ca="1">('TUSD BE'!$AM$11+'TUSD BF'!$AM$11+'TUSD CVA'!$AM$11)*1</f>
        <v>1652.6258572524951</v>
      </c>
      <c r="AA38" s="6"/>
      <c r="AB38" s="6">
        <f t="shared" si="2"/>
        <v>0</v>
      </c>
      <c r="AC38" s="6">
        <f t="shared" si="6"/>
        <v>0</v>
      </c>
      <c r="AD38" s="6">
        <f t="shared" si="4"/>
        <v>0</v>
      </c>
      <c r="AE38" s="6">
        <f t="shared" ca="1" si="7"/>
        <v>0</v>
      </c>
      <c r="AF38" s="4" t="s">
        <v>562</v>
      </c>
    </row>
    <row r="39" spans="1:32" ht="11.25" customHeight="1" x14ac:dyDescent="0.25">
      <c r="A39" s="4" t="s">
        <v>21</v>
      </c>
      <c r="B39" s="4" t="s">
        <v>35</v>
      </c>
      <c r="C39" s="4" t="s">
        <v>36</v>
      </c>
      <c r="D39" s="4" t="s">
        <v>34</v>
      </c>
      <c r="E39" s="4" t="s">
        <v>25</v>
      </c>
      <c r="F39" s="4" t="s">
        <v>53</v>
      </c>
      <c r="G39" s="4" t="s">
        <v>25</v>
      </c>
      <c r="H39" s="4" t="s">
        <v>37</v>
      </c>
      <c r="I39" s="5">
        <v>44531</v>
      </c>
      <c r="J39" s="6">
        <v>0</v>
      </c>
      <c r="K39" s="6">
        <v>0</v>
      </c>
      <c r="L39" s="6">
        <v>0.81</v>
      </c>
      <c r="M39" s="6">
        <v>0.81</v>
      </c>
      <c r="N39" s="6">
        <v>0</v>
      </c>
      <c r="O39" s="6">
        <v>0</v>
      </c>
      <c r="P39" s="6">
        <v>0</v>
      </c>
      <c r="Q39" s="4" t="s">
        <v>54</v>
      </c>
      <c r="R39" s="4">
        <v>0</v>
      </c>
      <c r="S39" s="4">
        <v>0</v>
      </c>
      <c r="T39" s="4">
        <v>7</v>
      </c>
      <c r="U39" s="4">
        <v>0</v>
      </c>
      <c r="V39" s="6">
        <f>IF(ISERROR(VLOOKUP($S$39,'TAR FIN'!$A$1:$O$88,15,0)),0,VLOOKUP($S$39,'TAR FIN'!$A$1:$O$88,15,0))</f>
        <v>0</v>
      </c>
      <c r="W39" s="6">
        <f>IF(ISERROR(VLOOKUP($T$39,'TAR FIN'!$A$1:$O$88,15,0)),0,VLOOKUP($T$39,'TAR FIN'!$A$1:$O$88,15,0))</f>
        <v>1465.12</v>
      </c>
      <c r="X39" s="6">
        <f>IF(ISERROR(VLOOKUP($U$39,'TAR FIN'!$A$1:$O$88,15,0)),0,VLOOKUP($U$39,'TAR FIN'!$A$1:$O$88,15,0))</f>
        <v>0</v>
      </c>
      <c r="Y39" s="6"/>
      <c r="Z39" s="6">
        <f ca="1">('TUSD BE'!$AM$11+'TUSD BF'!$AM$11+'TUSD CVA'!$AM$11)*1</f>
        <v>1652.6258572524951</v>
      </c>
      <c r="AA39" s="6"/>
      <c r="AB39" s="6">
        <f t="shared" si="2"/>
        <v>0</v>
      </c>
      <c r="AC39" s="6">
        <f t="shared" si="6"/>
        <v>0</v>
      </c>
      <c r="AD39" s="6">
        <f t="shared" si="4"/>
        <v>0</v>
      </c>
      <c r="AE39" s="6">
        <f t="shared" ca="1" si="7"/>
        <v>0</v>
      </c>
      <c r="AF39" s="4" t="s">
        <v>562</v>
      </c>
    </row>
    <row r="40" spans="1:32" ht="11.25" customHeight="1" x14ac:dyDescent="0.25">
      <c r="A40" s="4" t="s">
        <v>21</v>
      </c>
      <c r="B40" s="4" t="s">
        <v>35</v>
      </c>
      <c r="C40" s="4" t="s">
        <v>36</v>
      </c>
      <c r="D40" s="4" t="s">
        <v>34</v>
      </c>
      <c r="E40" s="4" t="s">
        <v>25</v>
      </c>
      <c r="F40" s="4" t="s">
        <v>53</v>
      </c>
      <c r="G40" s="4" t="s">
        <v>25</v>
      </c>
      <c r="H40" s="4" t="s">
        <v>37</v>
      </c>
      <c r="I40" s="5">
        <v>44562</v>
      </c>
      <c r="J40" s="6">
        <v>0</v>
      </c>
      <c r="K40" s="6">
        <v>0</v>
      </c>
      <c r="L40" s="6">
        <v>0.77</v>
      </c>
      <c r="M40" s="6">
        <v>0.77</v>
      </c>
      <c r="N40" s="6">
        <v>0</v>
      </c>
      <c r="O40" s="6">
        <v>0</v>
      </c>
      <c r="P40" s="6">
        <v>0</v>
      </c>
      <c r="Q40" s="4" t="s">
        <v>54</v>
      </c>
      <c r="R40" s="4">
        <v>0</v>
      </c>
      <c r="S40" s="4">
        <v>0</v>
      </c>
      <c r="T40" s="4">
        <v>7</v>
      </c>
      <c r="U40" s="4">
        <v>0</v>
      </c>
      <c r="V40" s="6">
        <f>IF(ISERROR(VLOOKUP($S$40,'TAR FIN'!$A$1:$O$88,15,0)),0,VLOOKUP($S$40,'TAR FIN'!$A$1:$O$88,15,0))</f>
        <v>0</v>
      </c>
      <c r="W40" s="6">
        <f>IF(ISERROR(VLOOKUP($T$40,'TAR FIN'!$A$1:$O$88,15,0)),0,VLOOKUP($T$40,'TAR FIN'!$A$1:$O$88,15,0))</f>
        <v>1465.12</v>
      </c>
      <c r="X40" s="6">
        <f>IF(ISERROR(VLOOKUP($U$40,'TAR FIN'!$A$1:$O$88,15,0)),0,VLOOKUP($U$40,'TAR FIN'!$A$1:$O$88,15,0))</f>
        <v>0</v>
      </c>
      <c r="Y40" s="6"/>
      <c r="Z40" s="6">
        <f ca="1">('TUSD BE'!$AM$11+'TUSD BF'!$AM$11+'TUSD CVA'!$AM$11)*1</f>
        <v>1652.6258572524951</v>
      </c>
      <c r="AA40" s="6"/>
      <c r="AB40" s="6">
        <f t="shared" si="2"/>
        <v>0</v>
      </c>
      <c r="AC40" s="6">
        <f t="shared" si="6"/>
        <v>0</v>
      </c>
      <c r="AD40" s="6">
        <f t="shared" si="4"/>
        <v>0</v>
      </c>
      <c r="AE40" s="6">
        <f t="shared" ca="1" si="7"/>
        <v>0</v>
      </c>
      <c r="AF40" s="4" t="s">
        <v>562</v>
      </c>
    </row>
    <row r="41" spans="1:32" ht="11.25" customHeight="1" x14ac:dyDescent="0.25">
      <c r="A41" s="4" t="s">
        <v>21</v>
      </c>
      <c r="B41" s="4" t="s">
        <v>35</v>
      </c>
      <c r="C41" s="4" t="s">
        <v>36</v>
      </c>
      <c r="D41" s="4" t="s">
        <v>34</v>
      </c>
      <c r="E41" s="4" t="s">
        <v>25</v>
      </c>
      <c r="F41" s="4" t="s">
        <v>53</v>
      </c>
      <c r="G41" s="4" t="s">
        <v>25</v>
      </c>
      <c r="H41" s="4" t="s">
        <v>37</v>
      </c>
      <c r="I41" s="5">
        <v>44593</v>
      </c>
      <c r="J41" s="6">
        <v>0</v>
      </c>
      <c r="K41" s="6">
        <v>0</v>
      </c>
      <c r="L41" s="6">
        <v>0.77700000000000002</v>
      </c>
      <c r="M41" s="6">
        <v>0.77700000000000002</v>
      </c>
      <c r="N41" s="6">
        <v>0</v>
      </c>
      <c r="O41" s="6">
        <v>0</v>
      </c>
      <c r="P41" s="6">
        <v>0</v>
      </c>
      <c r="Q41" s="4" t="s">
        <v>54</v>
      </c>
      <c r="R41" s="4">
        <v>0</v>
      </c>
      <c r="S41" s="4">
        <v>0</v>
      </c>
      <c r="T41" s="4">
        <v>7</v>
      </c>
      <c r="U41" s="4">
        <v>0</v>
      </c>
      <c r="V41" s="6">
        <f>IF(ISERROR(VLOOKUP($S$41,'TAR FIN'!$A$1:$O$88,15,0)),0,VLOOKUP($S$41,'TAR FIN'!$A$1:$O$88,15,0))</f>
        <v>0</v>
      </c>
      <c r="W41" s="6">
        <f>IF(ISERROR(VLOOKUP($T$41,'TAR FIN'!$A$1:$O$88,15,0)),0,VLOOKUP($T$41,'TAR FIN'!$A$1:$O$88,15,0))</f>
        <v>1465.12</v>
      </c>
      <c r="X41" s="6">
        <f>IF(ISERROR(VLOOKUP($U$41,'TAR FIN'!$A$1:$O$88,15,0)),0,VLOOKUP($U$41,'TAR FIN'!$A$1:$O$88,15,0))</f>
        <v>0</v>
      </c>
      <c r="Y41" s="6"/>
      <c r="Z41" s="6">
        <f ca="1">('TUSD BE'!$AM$11+'TUSD BF'!$AM$11+'TUSD CVA'!$AM$11)*1</f>
        <v>1652.6258572524951</v>
      </c>
      <c r="AA41" s="6"/>
      <c r="AB41" s="6">
        <f t="shared" si="2"/>
        <v>0</v>
      </c>
      <c r="AC41" s="6">
        <f t="shared" si="6"/>
        <v>0</v>
      </c>
      <c r="AD41" s="6">
        <f t="shared" si="4"/>
        <v>0</v>
      </c>
      <c r="AE41" s="6">
        <f t="shared" ca="1" si="7"/>
        <v>0</v>
      </c>
      <c r="AF41" s="4" t="s">
        <v>562</v>
      </c>
    </row>
    <row r="42" spans="1:32" ht="11.25" customHeight="1" x14ac:dyDescent="0.25">
      <c r="A42" s="4" t="s">
        <v>21</v>
      </c>
      <c r="B42" s="4" t="s">
        <v>35</v>
      </c>
      <c r="C42" s="4" t="s">
        <v>36</v>
      </c>
      <c r="D42" s="4" t="s">
        <v>34</v>
      </c>
      <c r="E42" s="4" t="s">
        <v>25</v>
      </c>
      <c r="F42" s="4" t="s">
        <v>53</v>
      </c>
      <c r="G42" s="4" t="s">
        <v>25</v>
      </c>
      <c r="H42" s="4" t="s">
        <v>37</v>
      </c>
      <c r="I42" s="5">
        <v>44621</v>
      </c>
      <c r="J42" s="6">
        <v>0</v>
      </c>
      <c r="K42" s="6">
        <v>0</v>
      </c>
      <c r="L42" s="6">
        <v>1.5289999999999999</v>
      </c>
      <c r="M42" s="6">
        <v>1.5289999999999999</v>
      </c>
      <c r="N42" s="6">
        <v>0</v>
      </c>
      <c r="O42" s="6">
        <v>0</v>
      </c>
      <c r="P42" s="6">
        <v>0</v>
      </c>
      <c r="Q42" s="4" t="s">
        <v>54</v>
      </c>
      <c r="R42" s="4">
        <v>0</v>
      </c>
      <c r="S42" s="4">
        <v>0</v>
      </c>
      <c r="T42" s="4">
        <v>7</v>
      </c>
      <c r="U42" s="4">
        <v>0</v>
      </c>
      <c r="V42" s="6">
        <f>IF(ISERROR(VLOOKUP($S$42,'TAR FIN'!$A$1:$O$88,15,0)),0,VLOOKUP($S$42,'TAR FIN'!$A$1:$O$88,15,0))</f>
        <v>0</v>
      </c>
      <c r="W42" s="6">
        <f>IF(ISERROR(VLOOKUP($T$42,'TAR FIN'!$A$1:$O$88,15,0)),0,VLOOKUP($T$42,'TAR FIN'!$A$1:$O$88,15,0))</f>
        <v>1465.12</v>
      </c>
      <c r="X42" s="6">
        <f>IF(ISERROR(VLOOKUP($U$42,'TAR FIN'!$A$1:$O$88,15,0)),0,VLOOKUP($U$42,'TAR FIN'!$A$1:$O$88,15,0))</f>
        <v>0</v>
      </c>
      <c r="Y42" s="6"/>
      <c r="Z42" s="6">
        <f ca="1">('TUSD BE'!$AM$11+'TUSD BF'!$AM$11+'TUSD CVA'!$AM$11)*1</f>
        <v>1652.6258572524951</v>
      </c>
      <c r="AA42" s="6"/>
      <c r="AB42" s="6">
        <f t="shared" si="2"/>
        <v>0</v>
      </c>
      <c r="AC42" s="6">
        <f t="shared" si="6"/>
        <v>0</v>
      </c>
      <c r="AD42" s="6">
        <f t="shared" si="4"/>
        <v>0</v>
      </c>
      <c r="AE42" s="6">
        <f t="shared" ca="1" si="7"/>
        <v>0</v>
      </c>
      <c r="AF42" s="4" t="s">
        <v>562</v>
      </c>
    </row>
    <row r="43" spans="1:32" ht="11.25" customHeight="1" x14ac:dyDescent="0.25">
      <c r="A43" s="4" t="s">
        <v>21</v>
      </c>
      <c r="B43" s="4" t="s">
        <v>35</v>
      </c>
      <c r="C43" s="4" t="s">
        <v>36</v>
      </c>
      <c r="D43" s="4" t="s">
        <v>34</v>
      </c>
      <c r="E43" s="4" t="s">
        <v>25</v>
      </c>
      <c r="F43" s="4" t="s">
        <v>53</v>
      </c>
      <c r="G43" s="4" t="s">
        <v>25</v>
      </c>
      <c r="H43" s="4" t="s">
        <v>37</v>
      </c>
      <c r="I43" s="5">
        <v>44652</v>
      </c>
      <c r="J43" s="6">
        <v>0</v>
      </c>
      <c r="K43" s="6">
        <v>0</v>
      </c>
      <c r="L43" s="6">
        <v>4.9880000000000004</v>
      </c>
      <c r="M43" s="6">
        <v>4.9880000000000004</v>
      </c>
      <c r="N43" s="6">
        <v>0</v>
      </c>
      <c r="O43" s="6">
        <v>0</v>
      </c>
      <c r="P43" s="6">
        <v>0</v>
      </c>
      <c r="Q43" s="4" t="s">
        <v>54</v>
      </c>
      <c r="R43" s="4">
        <v>0</v>
      </c>
      <c r="S43" s="4">
        <v>0</v>
      </c>
      <c r="T43" s="4">
        <v>7</v>
      </c>
      <c r="U43" s="4">
        <v>0</v>
      </c>
      <c r="V43" s="6">
        <f>IF(ISERROR(VLOOKUP($S$43,'TAR FIN'!$A$1:$O$88,15,0)),0,VLOOKUP($S$43,'TAR FIN'!$A$1:$O$88,15,0))</f>
        <v>0</v>
      </c>
      <c r="W43" s="6">
        <f>IF(ISERROR(VLOOKUP($T$43,'TAR FIN'!$A$1:$O$88,15,0)),0,VLOOKUP($T$43,'TAR FIN'!$A$1:$O$88,15,0))</f>
        <v>1465.12</v>
      </c>
      <c r="X43" s="6">
        <f>IF(ISERROR(VLOOKUP($U$43,'TAR FIN'!$A$1:$O$88,15,0)),0,VLOOKUP($U$43,'TAR FIN'!$A$1:$O$88,15,0))</f>
        <v>0</v>
      </c>
      <c r="Y43" s="6"/>
      <c r="Z43" s="6">
        <f ca="1">('TUSD BE'!$AM$11+'TUSD BF'!$AM$11+'TUSD CVA'!$AM$11)*1</f>
        <v>1652.6258572524951</v>
      </c>
      <c r="AA43" s="6"/>
      <c r="AB43" s="6">
        <f t="shared" si="2"/>
        <v>0</v>
      </c>
      <c r="AC43" s="6">
        <f t="shared" si="6"/>
        <v>0</v>
      </c>
      <c r="AD43" s="6">
        <f t="shared" si="4"/>
        <v>0</v>
      </c>
      <c r="AE43" s="6">
        <f t="shared" ca="1" si="7"/>
        <v>0</v>
      </c>
      <c r="AF43" s="4" t="s">
        <v>562</v>
      </c>
    </row>
    <row r="44" spans="1:32" ht="11.25" customHeight="1" x14ac:dyDescent="0.25">
      <c r="A44" s="4" t="s">
        <v>21</v>
      </c>
      <c r="B44" s="4" t="s">
        <v>35</v>
      </c>
      <c r="C44" s="4" t="s">
        <v>36</v>
      </c>
      <c r="D44" s="4" t="s">
        <v>34</v>
      </c>
      <c r="E44" s="4" t="s">
        <v>25</v>
      </c>
      <c r="F44" s="4" t="s">
        <v>53</v>
      </c>
      <c r="G44" s="4" t="s">
        <v>25</v>
      </c>
      <c r="H44" s="4" t="s">
        <v>37</v>
      </c>
      <c r="I44" s="5">
        <v>44682</v>
      </c>
      <c r="J44" s="6">
        <v>0</v>
      </c>
      <c r="K44" s="6">
        <v>0</v>
      </c>
      <c r="L44" s="6">
        <v>17.71</v>
      </c>
      <c r="M44" s="6">
        <v>17.71</v>
      </c>
      <c r="N44" s="6">
        <v>0</v>
      </c>
      <c r="O44" s="6">
        <v>0</v>
      </c>
      <c r="P44" s="6">
        <v>0</v>
      </c>
      <c r="Q44" s="4" t="s">
        <v>54</v>
      </c>
      <c r="R44" s="4">
        <v>0</v>
      </c>
      <c r="S44" s="4">
        <v>0</v>
      </c>
      <c r="T44" s="4">
        <v>7</v>
      </c>
      <c r="U44" s="4">
        <v>0</v>
      </c>
      <c r="V44" s="6">
        <f>IF(ISERROR(VLOOKUP($S$44,'TAR FIN'!$A$1:$O$88,15,0)),0,VLOOKUP($S$44,'TAR FIN'!$A$1:$O$88,15,0))</f>
        <v>0</v>
      </c>
      <c r="W44" s="6">
        <f>IF(ISERROR(VLOOKUP($T$44,'TAR FIN'!$A$1:$O$88,15,0)),0,VLOOKUP($T$44,'TAR FIN'!$A$1:$O$88,15,0))</f>
        <v>1465.12</v>
      </c>
      <c r="X44" s="6">
        <f>IF(ISERROR(VLOOKUP($U$44,'TAR FIN'!$A$1:$O$88,15,0)),0,VLOOKUP($U$44,'TAR FIN'!$A$1:$O$88,15,0))</f>
        <v>0</v>
      </c>
      <c r="Y44" s="6"/>
      <c r="Z44" s="6">
        <f ca="1">('TUSD BE'!$AM$11+'TUSD BF'!$AM$11+'TUSD CVA'!$AM$11)*1</f>
        <v>1652.6258572524951</v>
      </c>
      <c r="AA44" s="6"/>
      <c r="AB44" s="6">
        <f t="shared" si="2"/>
        <v>0</v>
      </c>
      <c r="AC44" s="6">
        <f t="shared" si="6"/>
        <v>0</v>
      </c>
      <c r="AD44" s="6">
        <f t="shared" si="4"/>
        <v>0</v>
      </c>
      <c r="AE44" s="6">
        <f t="shared" ca="1" si="7"/>
        <v>0</v>
      </c>
      <c r="AF44" s="4" t="s">
        <v>562</v>
      </c>
    </row>
    <row r="45" spans="1:32" ht="11.25" customHeight="1" x14ac:dyDescent="0.25">
      <c r="A45" s="4" t="s">
        <v>21</v>
      </c>
      <c r="B45" s="4" t="s">
        <v>35</v>
      </c>
      <c r="C45" s="4" t="s">
        <v>36</v>
      </c>
      <c r="D45" s="4" t="s">
        <v>34</v>
      </c>
      <c r="E45" s="4" t="s">
        <v>25</v>
      </c>
      <c r="F45" s="4" t="s">
        <v>53</v>
      </c>
      <c r="G45" s="4" t="s">
        <v>25</v>
      </c>
      <c r="H45" s="4" t="s">
        <v>37</v>
      </c>
      <c r="I45" s="5">
        <v>44713</v>
      </c>
      <c r="J45" s="6">
        <v>0</v>
      </c>
      <c r="K45" s="6">
        <v>0</v>
      </c>
      <c r="L45" s="6">
        <v>2.4889999999999999</v>
      </c>
      <c r="M45" s="6">
        <v>2.4889999999999999</v>
      </c>
      <c r="N45" s="6">
        <v>0</v>
      </c>
      <c r="O45" s="6">
        <v>0</v>
      </c>
      <c r="P45" s="6">
        <v>0</v>
      </c>
      <c r="Q45" s="4" t="s">
        <v>54</v>
      </c>
      <c r="R45" s="4">
        <v>0</v>
      </c>
      <c r="S45" s="4">
        <v>0</v>
      </c>
      <c r="T45" s="4">
        <v>7</v>
      </c>
      <c r="U45" s="4">
        <v>0</v>
      </c>
      <c r="V45" s="6">
        <f>IF(ISERROR(VLOOKUP($S$45,'TAR FIN'!$A$1:$O$88,15,0)),0,VLOOKUP($S$45,'TAR FIN'!$A$1:$O$88,15,0))</f>
        <v>0</v>
      </c>
      <c r="W45" s="6">
        <f>IF(ISERROR(VLOOKUP($T$45,'TAR FIN'!$A$1:$O$88,15,0)),0,VLOOKUP($T$45,'TAR FIN'!$A$1:$O$88,15,0))</f>
        <v>1465.12</v>
      </c>
      <c r="X45" s="6">
        <f>IF(ISERROR(VLOOKUP($U$45,'TAR FIN'!$A$1:$O$88,15,0)),0,VLOOKUP($U$45,'TAR FIN'!$A$1:$O$88,15,0))</f>
        <v>0</v>
      </c>
      <c r="Y45" s="6"/>
      <c r="Z45" s="6">
        <f ca="1">('TUSD BE'!$AM$11+'TUSD BF'!$AM$11+'TUSD CVA'!$AM$11)*1</f>
        <v>1652.6258572524951</v>
      </c>
      <c r="AA45" s="6"/>
      <c r="AB45" s="6">
        <f t="shared" si="2"/>
        <v>0</v>
      </c>
      <c r="AC45" s="6">
        <f t="shared" si="6"/>
        <v>0</v>
      </c>
      <c r="AD45" s="6">
        <f t="shared" si="4"/>
        <v>0</v>
      </c>
      <c r="AE45" s="6">
        <f t="shared" ca="1" si="7"/>
        <v>0</v>
      </c>
      <c r="AF45" s="4" t="s">
        <v>562</v>
      </c>
    </row>
    <row r="46" spans="1:32" ht="11.25" customHeight="1" x14ac:dyDescent="0.25">
      <c r="A46" s="4" t="s">
        <v>21</v>
      </c>
      <c r="B46" s="4" t="s">
        <v>35</v>
      </c>
      <c r="C46" s="4" t="s">
        <v>36</v>
      </c>
      <c r="D46" s="4" t="s">
        <v>41</v>
      </c>
      <c r="E46" s="4" t="s">
        <v>49</v>
      </c>
      <c r="F46" s="4" t="s">
        <v>51</v>
      </c>
      <c r="G46" s="4" t="s">
        <v>25</v>
      </c>
      <c r="H46" s="4" t="s">
        <v>38</v>
      </c>
      <c r="I46" s="5">
        <v>44378</v>
      </c>
      <c r="J46" s="6">
        <v>0</v>
      </c>
      <c r="K46" s="6">
        <v>0</v>
      </c>
      <c r="L46" s="6">
        <v>17.12</v>
      </c>
      <c r="M46" s="6">
        <v>5.1360000000000001</v>
      </c>
      <c r="N46" s="6">
        <v>17.12</v>
      </c>
      <c r="O46" s="6">
        <v>5.1360000000000001</v>
      </c>
      <c r="P46" s="6">
        <v>0</v>
      </c>
      <c r="Q46" s="4" t="s">
        <v>26</v>
      </c>
      <c r="R46" s="4">
        <v>0</v>
      </c>
      <c r="S46" s="4">
        <v>0</v>
      </c>
      <c r="T46" s="4">
        <v>15</v>
      </c>
      <c r="U46" s="4">
        <v>28</v>
      </c>
      <c r="V46" s="6">
        <f>IF(ISERROR(VLOOKUP($S$46,'TAR FIN'!$A$1:$O$88,15,0)),0,VLOOKUP($S$46,'TAR FIN'!$A$1:$O$88,15,0))</f>
        <v>0</v>
      </c>
      <c r="W46" s="6">
        <f>IF(ISERROR(VLOOKUP($T$46,'TAR FIN'!$A$1:$O$88,15,0)),0,VLOOKUP($T$46,'TAR FIN'!$A$1:$O$88,15,0))</f>
        <v>79.319999999999993</v>
      </c>
      <c r="X46" s="6">
        <f>IF(ISERROR(VLOOKUP($U$46,'TAR FIN'!$A$1:$O$88,15,0)),0,VLOOKUP($U$46,'TAR FIN'!$A$1:$O$88,15,0))</f>
        <v>252.22</v>
      </c>
      <c r="Y46" s="6"/>
      <c r="Z46" s="6">
        <f ca="1">('TUSD BE'!$AM$12+'TUSD BF'!$AM$12+'TUSD CVA'!$AM$12)*1</f>
        <v>102.71637945274784</v>
      </c>
      <c r="AA46" s="6">
        <f>('TE BE'!$AB$6+'TE BF'!$AB$6+'TE CVA'!$AB$6)*1</f>
        <v>251.92449556687748</v>
      </c>
      <c r="AB46" s="6">
        <f t="shared" si="2"/>
        <v>0</v>
      </c>
      <c r="AC46" s="6">
        <f t="shared" si="6"/>
        <v>3973.1753600000006</v>
      </c>
      <c r="AD46" s="6">
        <f t="shared" si="4"/>
        <v>0</v>
      </c>
      <c r="AE46" s="6">
        <f t="shared" ca="1" si="7"/>
        <v>4250.0162462351909</v>
      </c>
      <c r="AF46" s="4" t="s">
        <v>563</v>
      </c>
    </row>
    <row r="47" spans="1:32" ht="11.25" customHeight="1" x14ac:dyDescent="0.25">
      <c r="A47" s="4" t="s">
        <v>21</v>
      </c>
      <c r="B47" s="4" t="s">
        <v>35</v>
      </c>
      <c r="C47" s="4" t="s">
        <v>36</v>
      </c>
      <c r="D47" s="4" t="s">
        <v>41</v>
      </c>
      <c r="E47" s="4" t="s">
        <v>49</v>
      </c>
      <c r="F47" s="4" t="s">
        <v>51</v>
      </c>
      <c r="G47" s="4" t="s">
        <v>25</v>
      </c>
      <c r="H47" s="4" t="s">
        <v>38</v>
      </c>
      <c r="I47" s="5">
        <v>44409</v>
      </c>
      <c r="J47" s="6">
        <v>0</v>
      </c>
      <c r="K47" s="6">
        <v>0</v>
      </c>
      <c r="L47" s="6">
        <v>27.2</v>
      </c>
      <c r="M47" s="6">
        <v>8.16</v>
      </c>
      <c r="N47" s="6">
        <v>27.2</v>
      </c>
      <c r="O47" s="6">
        <v>8.16</v>
      </c>
      <c r="P47" s="6">
        <v>0</v>
      </c>
      <c r="Q47" s="4" t="s">
        <v>26</v>
      </c>
      <c r="R47" s="4">
        <v>0</v>
      </c>
      <c r="S47" s="4">
        <v>0</v>
      </c>
      <c r="T47" s="4">
        <v>15</v>
      </c>
      <c r="U47" s="4">
        <v>28</v>
      </c>
      <c r="V47" s="6">
        <f>IF(ISERROR(VLOOKUP($S$47,'TAR FIN'!$A$1:$O$88,15,0)),0,VLOOKUP($S$47,'TAR FIN'!$A$1:$O$88,15,0))</f>
        <v>0</v>
      </c>
      <c r="W47" s="6">
        <f>IF(ISERROR(VLOOKUP($T$47,'TAR FIN'!$A$1:$O$88,15,0)),0,VLOOKUP($T$47,'TAR FIN'!$A$1:$O$88,15,0))</f>
        <v>79.319999999999993</v>
      </c>
      <c r="X47" s="6">
        <f>IF(ISERROR(VLOOKUP($U$47,'TAR FIN'!$A$1:$O$88,15,0)),0,VLOOKUP($U$47,'TAR FIN'!$A$1:$O$88,15,0))</f>
        <v>252.22</v>
      </c>
      <c r="Y47" s="6"/>
      <c r="Z47" s="6">
        <f ca="1">('TUSD BE'!$AM$12+'TUSD BF'!$AM$12+'TUSD CVA'!$AM$12)*1</f>
        <v>102.71637945274784</v>
      </c>
      <c r="AA47" s="6">
        <f>('TE BE'!$AB$6+'TE BF'!$AB$6+'TE CVA'!$AB$6)*1</f>
        <v>251.92449556687748</v>
      </c>
      <c r="AB47" s="6">
        <f t="shared" si="2"/>
        <v>0</v>
      </c>
      <c r="AC47" s="6">
        <f t="shared" si="6"/>
        <v>6312.5216</v>
      </c>
      <c r="AD47" s="6">
        <f t="shared" si="4"/>
        <v>0</v>
      </c>
      <c r="AE47" s="6">
        <f t="shared" ca="1" si="7"/>
        <v>6752.3622603736658</v>
      </c>
      <c r="AF47" s="4" t="s">
        <v>563</v>
      </c>
    </row>
    <row r="48" spans="1:32" ht="11.25" customHeight="1" x14ac:dyDescent="0.25">
      <c r="A48" s="4" t="s">
        <v>21</v>
      </c>
      <c r="B48" s="4" t="s">
        <v>35</v>
      </c>
      <c r="C48" s="4" t="s">
        <v>36</v>
      </c>
      <c r="D48" s="4" t="s">
        <v>41</v>
      </c>
      <c r="E48" s="4" t="s">
        <v>49</v>
      </c>
      <c r="F48" s="4" t="s">
        <v>51</v>
      </c>
      <c r="G48" s="4" t="s">
        <v>25</v>
      </c>
      <c r="H48" s="4" t="s">
        <v>38</v>
      </c>
      <c r="I48" s="5">
        <v>44440</v>
      </c>
      <c r="J48" s="6">
        <v>0</v>
      </c>
      <c r="K48" s="6">
        <v>0</v>
      </c>
      <c r="L48" s="6">
        <v>19.091000000000001</v>
      </c>
      <c r="M48" s="6">
        <v>5.7272999999999996</v>
      </c>
      <c r="N48" s="6">
        <v>19.091000000000001</v>
      </c>
      <c r="O48" s="6">
        <v>5.7272999999999996</v>
      </c>
      <c r="P48" s="6">
        <v>0</v>
      </c>
      <c r="Q48" s="4" t="s">
        <v>26</v>
      </c>
      <c r="R48" s="4">
        <v>0</v>
      </c>
      <c r="S48" s="4">
        <v>0</v>
      </c>
      <c r="T48" s="4">
        <v>15</v>
      </c>
      <c r="U48" s="4">
        <v>28</v>
      </c>
      <c r="V48" s="6">
        <f>IF(ISERROR(VLOOKUP($S$48,'TAR FIN'!$A$1:$O$88,15,0)),0,VLOOKUP($S$48,'TAR FIN'!$A$1:$O$88,15,0))</f>
        <v>0</v>
      </c>
      <c r="W48" s="6">
        <f>IF(ISERROR(VLOOKUP($T$48,'TAR FIN'!$A$1:$O$88,15,0)),0,VLOOKUP($T$48,'TAR FIN'!$A$1:$O$88,15,0))</f>
        <v>79.319999999999993</v>
      </c>
      <c r="X48" s="6">
        <f>IF(ISERROR(VLOOKUP($U$48,'TAR FIN'!$A$1:$O$88,15,0)),0,VLOOKUP($U$48,'TAR FIN'!$A$1:$O$88,15,0))</f>
        <v>252.22</v>
      </c>
      <c r="Y48" s="6"/>
      <c r="Z48" s="6">
        <f ca="1">('TUSD BE'!$AM$12+'TUSD BF'!$AM$12+'TUSD CVA'!$AM$12)*1</f>
        <v>102.71637945274784</v>
      </c>
      <c r="AA48" s="6">
        <f>('TE BE'!$AB$6+'TE BF'!$AB$6+'TE CVA'!$AB$6)*1</f>
        <v>251.92449556687748</v>
      </c>
      <c r="AB48" s="6">
        <f t="shared" si="2"/>
        <v>0</v>
      </c>
      <c r="AC48" s="6">
        <f t="shared" si="6"/>
        <v>4430.6010980000001</v>
      </c>
      <c r="AD48" s="6">
        <f t="shared" si="4"/>
        <v>0</v>
      </c>
      <c r="AE48" s="6">
        <f t="shared" ca="1" si="7"/>
        <v>4739.3142614997678</v>
      </c>
      <c r="AF48" s="4" t="s">
        <v>563</v>
      </c>
    </row>
    <row r="49" spans="1:32" ht="11.25" customHeight="1" x14ac:dyDescent="0.25">
      <c r="A49" s="4" t="s">
        <v>21</v>
      </c>
      <c r="B49" s="4" t="s">
        <v>35</v>
      </c>
      <c r="C49" s="4" t="s">
        <v>36</v>
      </c>
      <c r="D49" s="4" t="s">
        <v>41</v>
      </c>
      <c r="E49" s="4" t="s">
        <v>49</v>
      </c>
      <c r="F49" s="4" t="s">
        <v>51</v>
      </c>
      <c r="G49" s="4" t="s">
        <v>25</v>
      </c>
      <c r="H49" s="4" t="s">
        <v>38</v>
      </c>
      <c r="I49" s="5">
        <v>44470</v>
      </c>
      <c r="J49" s="6">
        <v>0</v>
      </c>
      <c r="K49" s="6">
        <v>0</v>
      </c>
      <c r="L49" s="6">
        <v>33.917999999999999</v>
      </c>
      <c r="M49" s="6">
        <v>10.1754</v>
      </c>
      <c r="N49" s="6">
        <v>33.917999999999999</v>
      </c>
      <c r="O49" s="6">
        <v>10.1754</v>
      </c>
      <c r="P49" s="6">
        <v>0</v>
      </c>
      <c r="Q49" s="4" t="s">
        <v>26</v>
      </c>
      <c r="R49" s="4">
        <v>0</v>
      </c>
      <c r="S49" s="4">
        <v>0</v>
      </c>
      <c r="T49" s="4">
        <v>15</v>
      </c>
      <c r="U49" s="4">
        <v>28</v>
      </c>
      <c r="V49" s="6">
        <f>IF(ISERROR(VLOOKUP($S$49,'TAR FIN'!$A$1:$O$88,15,0)),0,VLOOKUP($S$49,'TAR FIN'!$A$1:$O$88,15,0))</f>
        <v>0</v>
      </c>
      <c r="W49" s="6">
        <f>IF(ISERROR(VLOOKUP($T$49,'TAR FIN'!$A$1:$O$88,15,0)),0,VLOOKUP($T$49,'TAR FIN'!$A$1:$O$88,15,0))</f>
        <v>79.319999999999993</v>
      </c>
      <c r="X49" s="6">
        <f>IF(ISERROR(VLOOKUP($U$49,'TAR FIN'!$A$1:$O$88,15,0)),0,VLOOKUP($U$49,'TAR FIN'!$A$1:$O$88,15,0))</f>
        <v>252.22</v>
      </c>
      <c r="Y49" s="6"/>
      <c r="Z49" s="6">
        <f ca="1">('TUSD BE'!$AM$12+'TUSD BF'!$AM$12+'TUSD CVA'!$AM$12)*1</f>
        <v>102.71637945274784</v>
      </c>
      <c r="AA49" s="6">
        <f>('TE BE'!$AB$6+'TE BF'!$AB$6+'TE CVA'!$AB$6)*1</f>
        <v>251.92449556687748</v>
      </c>
      <c r="AB49" s="6">
        <f t="shared" si="2"/>
        <v>0</v>
      </c>
      <c r="AC49" s="6">
        <f t="shared" si="6"/>
        <v>7871.6216039999999</v>
      </c>
      <c r="AD49" s="6">
        <f t="shared" si="4"/>
        <v>0</v>
      </c>
      <c r="AE49" s="6">
        <f t="shared" ca="1" si="7"/>
        <v>8420.0964392409569</v>
      </c>
      <c r="AF49" s="4" t="s">
        <v>563</v>
      </c>
    </row>
    <row r="50" spans="1:32" ht="11.25" customHeight="1" x14ac:dyDescent="0.25">
      <c r="A50" s="4" t="s">
        <v>21</v>
      </c>
      <c r="B50" s="4" t="s">
        <v>35</v>
      </c>
      <c r="C50" s="4" t="s">
        <v>36</v>
      </c>
      <c r="D50" s="4" t="s">
        <v>41</v>
      </c>
      <c r="E50" s="4" t="s">
        <v>49</v>
      </c>
      <c r="F50" s="4" t="s">
        <v>51</v>
      </c>
      <c r="G50" s="4" t="s">
        <v>25</v>
      </c>
      <c r="H50" s="4" t="s">
        <v>38</v>
      </c>
      <c r="I50" s="5">
        <v>44501</v>
      </c>
      <c r="J50" s="6">
        <v>0</v>
      </c>
      <c r="K50" s="6">
        <v>0</v>
      </c>
      <c r="L50" s="6">
        <v>313.84899999999999</v>
      </c>
      <c r="M50" s="6">
        <v>94.154700000000005</v>
      </c>
      <c r="N50" s="6">
        <v>313.84899999999999</v>
      </c>
      <c r="O50" s="6">
        <v>94.154700000000005</v>
      </c>
      <c r="P50" s="6">
        <v>0</v>
      </c>
      <c r="Q50" s="4" t="s">
        <v>26</v>
      </c>
      <c r="R50" s="4">
        <v>0</v>
      </c>
      <c r="S50" s="4">
        <v>0</v>
      </c>
      <c r="T50" s="4">
        <v>15</v>
      </c>
      <c r="U50" s="4">
        <v>28</v>
      </c>
      <c r="V50" s="6">
        <f>IF(ISERROR(VLOOKUP($S$50,'TAR FIN'!$A$1:$O$88,15,0)),0,VLOOKUP($S$50,'TAR FIN'!$A$1:$O$88,15,0))</f>
        <v>0</v>
      </c>
      <c r="W50" s="6">
        <f>IF(ISERROR(VLOOKUP($T$50,'TAR FIN'!$A$1:$O$88,15,0)),0,VLOOKUP($T$50,'TAR FIN'!$A$1:$O$88,15,0))</f>
        <v>79.319999999999993</v>
      </c>
      <c r="X50" s="6">
        <f>IF(ISERROR(VLOOKUP($U$50,'TAR FIN'!$A$1:$O$88,15,0)),0,VLOOKUP($U$50,'TAR FIN'!$A$1:$O$88,15,0))</f>
        <v>252.22</v>
      </c>
      <c r="Y50" s="6"/>
      <c r="Z50" s="6">
        <f ca="1">('TUSD BE'!$AM$12+'TUSD BF'!$AM$12+'TUSD CVA'!$AM$12)*1</f>
        <v>102.71637945274784</v>
      </c>
      <c r="AA50" s="6">
        <f>('TE BE'!$AB$6+'TE BF'!$AB$6+'TE CVA'!$AB$6)*1</f>
        <v>251.92449556687748</v>
      </c>
      <c r="AB50" s="6">
        <f t="shared" si="2"/>
        <v>0</v>
      </c>
      <c r="AC50" s="6">
        <f t="shared" si="6"/>
        <v>72837.448222000006</v>
      </c>
      <c r="AD50" s="6">
        <f t="shared" si="4"/>
        <v>0</v>
      </c>
      <c r="AE50" s="6">
        <f t="shared" ca="1" si="7"/>
        <v>77912.578788824074</v>
      </c>
      <c r="AF50" s="4" t="s">
        <v>563</v>
      </c>
    </row>
    <row r="51" spans="1:32" ht="11.25" customHeight="1" x14ac:dyDescent="0.25">
      <c r="A51" s="4" t="s">
        <v>21</v>
      </c>
      <c r="B51" s="4" t="s">
        <v>35</v>
      </c>
      <c r="C51" s="4" t="s">
        <v>36</v>
      </c>
      <c r="D51" s="4" t="s">
        <v>41</v>
      </c>
      <c r="E51" s="4" t="s">
        <v>49</v>
      </c>
      <c r="F51" s="4" t="s">
        <v>51</v>
      </c>
      <c r="G51" s="4" t="s">
        <v>25</v>
      </c>
      <c r="H51" s="4" t="s">
        <v>38</v>
      </c>
      <c r="I51" s="5">
        <v>44531</v>
      </c>
      <c r="J51" s="6">
        <v>0</v>
      </c>
      <c r="K51" s="6">
        <v>0</v>
      </c>
      <c r="L51" s="6">
        <v>439.04</v>
      </c>
      <c r="M51" s="6">
        <v>131.71199999999999</v>
      </c>
      <c r="N51" s="6">
        <v>439.04</v>
      </c>
      <c r="O51" s="6">
        <v>131.71199999999999</v>
      </c>
      <c r="P51" s="6">
        <v>0</v>
      </c>
      <c r="Q51" s="4" t="s">
        <v>26</v>
      </c>
      <c r="R51" s="4">
        <v>0</v>
      </c>
      <c r="S51" s="4">
        <v>0</v>
      </c>
      <c r="T51" s="4">
        <v>15</v>
      </c>
      <c r="U51" s="4">
        <v>28</v>
      </c>
      <c r="V51" s="6">
        <f>IF(ISERROR(VLOOKUP($S$51,'TAR FIN'!$A$1:$O$88,15,0)),0,VLOOKUP($S$51,'TAR FIN'!$A$1:$O$88,15,0))</f>
        <v>0</v>
      </c>
      <c r="W51" s="6">
        <f>IF(ISERROR(VLOOKUP($T$51,'TAR FIN'!$A$1:$O$88,15,0)),0,VLOOKUP($T$51,'TAR FIN'!$A$1:$O$88,15,0))</f>
        <v>79.319999999999993</v>
      </c>
      <c r="X51" s="6">
        <f>IF(ISERROR(VLOOKUP($U$51,'TAR FIN'!$A$1:$O$88,15,0)),0,VLOOKUP($U$51,'TAR FIN'!$A$1:$O$88,15,0))</f>
        <v>252.22</v>
      </c>
      <c r="Y51" s="6"/>
      <c r="Z51" s="6">
        <f ca="1">('TUSD BE'!$AM$12+'TUSD BF'!$AM$12+'TUSD CVA'!$AM$12)*1</f>
        <v>102.71637945274784</v>
      </c>
      <c r="AA51" s="6">
        <f>('TE BE'!$AB$6+'TE BF'!$AB$6+'TE CVA'!$AB$6)*1</f>
        <v>251.92449556687748</v>
      </c>
      <c r="AB51" s="6">
        <f t="shared" si="2"/>
        <v>0</v>
      </c>
      <c r="AC51" s="6">
        <f t="shared" si="6"/>
        <v>101891.52512000001</v>
      </c>
      <c r="AD51" s="6">
        <f t="shared" si="4"/>
        <v>0</v>
      </c>
      <c r="AE51" s="6">
        <f t="shared" ca="1" si="7"/>
        <v>108991.07083803143</v>
      </c>
      <c r="AF51" s="4" t="s">
        <v>563</v>
      </c>
    </row>
    <row r="52" spans="1:32" ht="11.25" customHeight="1" x14ac:dyDescent="0.25">
      <c r="A52" s="4" t="s">
        <v>21</v>
      </c>
      <c r="B52" s="4" t="s">
        <v>35</v>
      </c>
      <c r="C52" s="4" t="s">
        <v>36</v>
      </c>
      <c r="D52" s="4" t="s">
        <v>41</v>
      </c>
      <c r="E52" s="4" t="s">
        <v>49</v>
      </c>
      <c r="F52" s="4" t="s">
        <v>51</v>
      </c>
      <c r="G52" s="4" t="s">
        <v>25</v>
      </c>
      <c r="H52" s="4" t="s">
        <v>38</v>
      </c>
      <c r="I52" s="5">
        <v>44562</v>
      </c>
      <c r="J52" s="6">
        <v>0</v>
      </c>
      <c r="K52" s="6">
        <v>0</v>
      </c>
      <c r="L52" s="6">
        <v>465.23399999999998</v>
      </c>
      <c r="M52" s="6">
        <v>139.5702</v>
      </c>
      <c r="N52" s="6">
        <v>465.23399999999998</v>
      </c>
      <c r="O52" s="6">
        <v>139.5702</v>
      </c>
      <c r="P52" s="6">
        <v>0</v>
      </c>
      <c r="Q52" s="4" t="s">
        <v>26</v>
      </c>
      <c r="R52" s="4">
        <v>0</v>
      </c>
      <c r="S52" s="4">
        <v>0</v>
      </c>
      <c r="T52" s="4">
        <v>15</v>
      </c>
      <c r="U52" s="4">
        <v>28</v>
      </c>
      <c r="V52" s="6">
        <f>IF(ISERROR(VLOOKUP($S$52,'TAR FIN'!$A$1:$O$88,15,0)),0,VLOOKUP($S$52,'TAR FIN'!$A$1:$O$88,15,0))</f>
        <v>0</v>
      </c>
      <c r="W52" s="6">
        <f>IF(ISERROR(VLOOKUP($T$52,'TAR FIN'!$A$1:$O$88,15,0)),0,VLOOKUP($T$52,'TAR FIN'!$A$1:$O$88,15,0))</f>
        <v>79.319999999999993</v>
      </c>
      <c r="X52" s="6">
        <f>IF(ISERROR(VLOOKUP($U$52,'TAR FIN'!$A$1:$O$88,15,0)),0,VLOOKUP($U$52,'TAR FIN'!$A$1:$O$88,15,0))</f>
        <v>252.22</v>
      </c>
      <c r="Y52" s="6"/>
      <c r="Z52" s="6">
        <f ca="1">('TUSD BE'!$AM$12+'TUSD BF'!$AM$12+'TUSD CVA'!$AM$12)*1</f>
        <v>102.71637945274784</v>
      </c>
      <c r="AA52" s="6">
        <f>('TE BE'!$AB$6+'TE BF'!$AB$6+'TE CVA'!$AB$6)*1</f>
        <v>251.92449556687748</v>
      </c>
      <c r="AB52" s="6">
        <f t="shared" si="2"/>
        <v>0</v>
      </c>
      <c r="AC52" s="6">
        <f t="shared" si="6"/>
        <v>107970.57625199998</v>
      </c>
      <c r="AD52" s="6">
        <f t="shared" si="4"/>
        <v>0</v>
      </c>
      <c r="AE52" s="6">
        <f t="shared" ca="1" si="7"/>
        <v>115493.69499421626</v>
      </c>
      <c r="AF52" s="4" t="s">
        <v>563</v>
      </c>
    </row>
    <row r="53" spans="1:32" ht="11.25" customHeight="1" x14ac:dyDescent="0.25">
      <c r="A53" s="4" t="s">
        <v>21</v>
      </c>
      <c r="B53" s="4" t="s">
        <v>35</v>
      </c>
      <c r="C53" s="4" t="s">
        <v>36</v>
      </c>
      <c r="D53" s="4" t="s">
        <v>41</v>
      </c>
      <c r="E53" s="4" t="s">
        <v>49</v>
      </c>
      <c r="F53" s="4" t="s">
        <v>51</v>
      </c>
      <c r="G53" s="4" t="s">
        <v>25</v>
      </c>
      <c r="H53" s="4" t="s">
        <v>38</v>
      </c>
      <c r="I53" s="5">
        <v>44593</v>
      </c>
      <c r="J53" s="6">
        <v>0</v>
      </c>
      <c r="K53" s="6">
        <v>0</v>
      </c>
      <c r="L53" s="6">
        <v>333.94200000000001</v>
      </c>
      <c r="M53" s="6">
        <v>100.18259999999999</v>
      </c>
      <c r="N53" s="6">
        <v>333.94200000000001</v>
      </c>
      <c r="O53" s="6">
        <v>100.18259999999999</v>
      </c>
      <c r="P53" s="6">
        <v>0</v>
      </c>
      <c r="Q53" s="4" t="s">
        <v>26</v>
      </c>
      <c r="R53" s="4">
        <v>0</v>
      </c>
      <c r="S53" s="4">
        <v>0</v>
      </c>
      <c r="T53" s="4">
        <v>15</v>
      </c>
      <c r="U53" s="4">
        <v>28</v>
      </c>
      <c r="V53" s="6">
        <f>IF(ISERROR(VLOOKUP($S$53,'TAR FIN'!$A$1:$O$88,15,0)),0,VLOOKUP($S$53,'TAR FIN'!$A$1:$O$88,15,0))</f>
        <v>0</v>
      </c>
      <c r="W53" s="6">
        <f>IF(ISERROR(VLOOKUP($T$53,'TAR FIN'!$A$1:$O$88,15,0)),0,VLOOKUP($T$53,'TAR FIN'!$A$1:$O$88,15,0))</f>
        <v>79.319999999999993</v>
      </c>
      <c r="X53" s="6">
        <f>IF(ISERROR(VLOOKUP($U$53,'TAR FIN'!$A$1:$O$88,15,0)),0,VLOOKUP($U$53,'TAR FIN'!$A$1:$O$88,15,0))</f>
        <v>252.22</v>
      </c>
      <c r="Y53" s="6"/>
      <c r="Z53" s="6">
        <f ca="1">('TUSD BE'!$AM$12+'TUSD BF'!$AM$12+'TUSD CVA'!$AM$12)*1</f>
        <v>102.71637945274784</v>
      </c>
      <c r="AA53" s="6">
        <f>('TE BE'!$AB$6+'TE BF'!$AB$6+'TE CVA'!$AB$6)*1</f>
        <v>251.92449556687748</v>
      </c>
      <c r="AB53" s="6">
        <f t="shared" si="2"/>
        <v>0</v>
      </c>
      <c r="AC53" s="6">
        <f t="shared" si="6"/>
        <v>77500.591476000001</v>
      </c>
      <c r="AD53" s="6">
        <f t="shared" si="4"/>
        <v>0</v>
      </c>
      <c r="AE53" s="6">
        <f t="shared" ca="1" si="7"/>
        <v>82900.638160062605</v>
      </c>
      <c r="AF53" s="4" t="s">
        <v>563</v>
      </c>
    </row>
    <row r="54" spans="1:32" ht="11.25" customHeight="1" x14ac:dyDescent="0.25">
      <c r="A54" s="4" t="s">
        <v>21</v>
      </c>
      <c r="B54" s="4" t="s">
        <v>35</v>
      </c>
      <c r="C54" s="4" t="s">
        <v>36</v>
      </c>
      <c r="D54" s="4" t="s">
        <v>41</v>
      </c>
      <c r="E54" s="4" t="s">
        <v>49</v>
      </c>
      <c r="F54" s="4" t="s">
        <v>51</v>
      </c>
      <c r="G54" s="4" t="s">
        <v>25</v>
      </c>
      <c r="H54" s="4" t="s">
        <v>38</v>
      </c>
      <c r="I54" s="5">
        <v>44621</v>
      </c>
      <c r="J54" s="6">
        <v>0</v>
      </c>
      <c r="K54" s="6">
        <v>0</v>
      </c>
      <c r="L54" s="6">
        <v>160.22999999999999</v>
      </c>
      <c r="M54" s="6">
        <v>48.069000000000003</v>
      </c>
      <c r="N54" s="6">
        <v>160.22999999999999</v>
      </c>
      <c r="O54" s="6">
        <v>48.069000000000003</v>
      </c>
      <c r="P54" s="6">
        <v>0</v>
      </c>
      <c r="Q54" s="4" t="s">
        <v>26</v>
      </c>
      <c r="R54" s="4">
        <v>0</v>
      </c>
      <c r="S54" s="4">
        <v>0</v>
      </c>
      <c r="T54" s="4">
        <v>15</v>
      </c>
      <c r="U54" s="4">
        <v>28</v>
      </c>
      <c r="V54" s="6">
        <f>IF(ISERROR(VLOOKUP($S$54,'TAR FIN'!$A$1:$O$88,15,0)),0,VLOOKUP($S$54,'TAR FIN'!$A$1:$O$88,15,0))</f>
        <v>0</v>
      </c>
      <c r="W54" s="6">
        <f>IF(ISERROR(VLOOKUP($T$54,'TAR FIN'!$A$1:$O$88,15,0)),0,VLOOKUP($T$54,'TAR FIN'!$A$1:$O$88,15,0))</f>
        <v>79.319999999999993</v>
      </c>
      <c r="X54" s="6">
        <f>IF(ISERROR(VLOOKUP($U$54,'TAR FIN'!$A$1:$O$88,15,0)),0,VLOOKUP($U$54,'TAR FIN'!$A$1:$O$88,15,0))</f>
        <v>252.22</v>
      </c>
      <c r="Y54" s="6"/>
      <c r="Z54" s="6">
        <f ca="1">('TUSD BE'!$AM$12+'TUSD BF'!$AM$12+'TUSD CVA'!$AM$12)*1</f>
        <v>102.71637945274784</v>
      </c>
      <c r="AA54" s="6">
        <f>('TE BE'!$AB$6+'TE BF'!$AB$6+'TE CVA'!$AB$6)*1</f>
        <v>251.92449556687748</v>
      </c>
      <c r="AB54" s="6">
        <f t="shared" si="2"/>
        <v>0</v>
      </c>
      <c r="AC54" s="6">
        <f t="shared" si="6"/>
        <v>37185.857939999994</v>
      </c>
      <c r="AD54" s="6">
        <f t="shared" si="4"/>
        <v>0</v>
      </c>
      <c r="AE54" s="6">
        <f t="shared" ca="1" si="7"/>
        <v>39776.87518307619</v>
      </c>
      <c r="AF54" s="4" t="s">
        <v>563</v>
      </c>
    </row>
    <row r="55" spans="1:32" ht="11.25" customHeight="1" x14ac:dyDescent="0.25">
      <c r="A55" s="4" t="s">
        <v>21</v>
      </c>
      <c r="B55" s="4" t="s">
        <v>35</v>
      </c>
      <c r="C55" s="4" t="s">
        <v>36</v>
      </c>
      <c r="D55" s="4" t="s">
        <v>41</v>
      </c>
      <c r="E55" s="4" t="s">
        <v>49</v>
      </c>
      <c r="F55" s="4" t="s">
        <v>51</v>
      </c>
      <c r="G55" s="4" t="s">
        <v>25</v>
      </c>
      <c r="H55" s="4" t="s">
        <v>38</v>
      </c>
      <c r="I55" s="5">
        <v>44652</v>
      </c>
      <c r="J55" s="6">
        <v>0</v>
      </c>
      <c r="K55" s="6">
        <v>0</v>
      </c>
      <c r="L55" s="6">
        <v>40.447000000000003</v>
      </c>
      <c r="M55" s="6">
        <v>12.1341</v>
      </c>
      <c r="N55" s="6">
        <v>40.447000000000003</v>
      </c>
      <c r="O55" s="6">
        <v>12.1341</v>
      </c>
      <c r="P55" s="6">
        <v>0</v>
      </c>
      <c r="Q55" s="4" t="s">
        <v>26</v>
      </c>
      <c r="R55" s="4">
        <v>0</v>
      </c>
      <c r="S55" s="4">
        <v>0</v>
      </c>
      <c r="T55" s="4">
        <v>15</v>
      </c>
      <c r="U55" s="4">
        <v>28</v>
      </c>
      <c r="V55" s="6">
        <f>IF(ISERROR(VLOOKUP($S$55,'TAR FIN'!$A$1:$O$88,15,0)),0,VLOOKUP($S$55,'TAR FIN'!$A$1:$O$88,15,0))</f>
        <v>0</v>
      </c>
      <c r="W55" s="6">
        <f>IF(ISERROR(VLOOKUP($T$55,'TAR FIN'!$A$1:$O$88,15,0)),0,VLOOKUP($T$55,'TAR FIN'!$A$1:$O$88,15,0))</f>
        <v>79.319999999999993</v>
      </c>
      <c r="X55" s="6">
        <f>IF(ISERROR(VLOOKUP($U$55,'TAR FIN'!$A$1:$O$88,15,0)),0,VLOOKUP($U$55,'TAR FIN'!$A$1:$O$88,15,0))</f>
        <v>252.22</v>
      </c>
      <c r="Y55" s="6"/>
      <c r="Z55" s="6">
        <f ca="1">('TUSD BE'!$AM$12+'TUSD BF'!$AM$12+'TUSD CVA'!$AM$12)*1</f>
        <v>102.71637945274784</v>
      </c>
      <c r="AA55" s="6">
        <f>('TE BE'!$AB$6+'TE BF'!$AB$6+'TE CVA'!$AB$6)*1</f>
        <v>251.92449556687748</v>
      </c>
      <c r="AB55" s="6">
        <f t="shared" si="2"/>
        <v>0</v>
      </c>
      <c r="AC55" s="6">
        <f t="shared" si="6"/>
        <v>9386.8588660000005</v>
      </c>
      <c r="AD55" s="6">
        <f t="shared" si="4"/>
        <v>0</v>
      </c>
      <c r="AE55" s="6">
        <f t="shared" ca="1" si="7"/>
        <v>10040.911630343151</v>
      </c>
      <c r="AF55" s="4" t="s">
        <v>563</v>
      </c>
    </row>
    <row r="56" spans="1:32" ht="11.25" customHeight="1" x14ac:dyDescent="0.25">
      <c r="A56" s="4" t="s">
        <v>21</v>
      </c>
      <c r="B56" s="4" t="s">
        <v>35</v>
      </c>
      <c r="C56" s="4" t="s">
        <v>36</v>
      </c>
      <c r="D56" s="4" t="s">
        <v>41</v>
      </c>
      <c r="E56" s="4" t="s">
        <v>49</v>
      </c>
      <c r="F56" s="4" t="s">
        <v>51</v>
      </c>
      <c r="G56" s="4" t="s">
        <v>25</v>
      </c>
      <c r="H56" s="4" t="s">
        <v>38</v>
      </c>
      <c r="I56" s="5">
        <v>44682</v>
      </c>
      <c r="J56" s="6">
        <v>0</v>
      </c>
      <c r="K56" s="6">
        <v>0</v>
      </c>
      <c r="L56" s="6">
        <v>18.097999999999999</v>
      </c>
      <c r="M56" s="6">
        <v>5.4294000000000002</v>
      </c>
      <c r="N56" s="6">
        <v>18.097999999999999</v>
      </c>
      <c r="O56" s="6">
        <v>5.4294000000000002</v>
      </c>
      <c r="P56" s="6">
        <v>0</v>
      </c>
      <c r="Q56" s="4" t="s">
        <v>26</v>
      </c>
      <c r="R56" s="4">
        <v>0</v>
      </c>
      <c r="S56" s="4">
        <v>0</v>
      </c>
      <c r="T56" s="4">
        <v>15</v>
      </c>
      <c r="U56" s="4">
        <v>28</v>
      </c>
      <c r="V56" s="6">
        <f>IF(ISERROR(VLOOKUP($S$56,'TAR FIN'!$A$1:$O$88,15,0)),0,VLOOKUP($S$56,'TAR FIN'!$A$1:$O$88,15,0))</f>
        <v>0</v>
      </c>
      <c r="W56" s="6">
        <f>IF(ISERROR(VLOOKUP($T$56,'TAR FIN'!$A$1:$O$88,15,0)),0,VLOOKUP($T$56,'TAR FIN'!$A$1:$O$88,15,0))</f>
        <v>79.319999999999993</v>
      </c>
      <c r="X56" s="6">
        <f>IF(ISERROR(VLOOKUP($U$56,'TAR FIN'!$A$1:$O$88,15,0)),0,VLOOKUP($U$56,'TAR FIN'!$A$1:$O$88,15,0))</f>
        <v>252.22</v>
      </c>
      <c r="Y56" s="6"/>
      <c r="Z56" s="6">
        <f ca="1">('TUSD BE'!$AM$12+'TUSD BF'!$AM$12+'TUSD CVA'!$AM$12)*1</f>
        <v>102.71637945274784</v>
      </c>
      <c r="AA56" s="6">
        <f>('TE BE'!$AB$6+'TE BF'!$AB$6+'TE CVA'!$AB$6)*1</f>
        <v>251.92449556687748</v>
      </c>
      <c r="AB56" s="6">
        <f t="shared" si="2"/>
        <v>0</v>
      </c>
      <c r="AC56" s="6">
        <f t="shared" si="6"/>
        <v>4200.1476439999997</v>
      </c>
      <c r="AD56" s="6">
        <f t="shared" si="4"/>
        <v>0</v>
      </c>
      <c r="AE56" s="6">
        <f t="shared" ca="1" si="7"/>
        <v>4492.8033892736248</v>
      </c>
      <c r="AF56" s="4" t="s">
        <v>563</v>
      </c>
    </row>
    <row r="57" spans="1:32" ht="11.25" customHeight="1" x14ac:dyDescent="0.25">
      <c r="A57" s="4" t="s">
        <v>21</v>
      </c>
      <c r="B57" s="4" t="s">
        <v>35</v>
      </c>
      <c r="C57" s="4" t="s">
        <v>36</v>
      </c>
      <c r="D57" s="4" t="s">
        <v>41</v>
      </c>
      <c r="E57" s="4" t="s">
        <v>49</v>
      </c>
      <c r="F57" s="4" t="s">
        <v>51</v>
      </c>
      <c r="G57" s="4" t="s">
        <v>25</v>
      </c>
      <c r="H57" s="4" t="s">
        <v>38</v>
      </c>
      <c r="I57" s="5">
        <v>44713</v>
      </c>
      <c r="J57" s="6">
        <v>0</v>
      </c>
      <c r="K57" s="6">
        <v>0</v>
      </c>
      <c r="L57" s="6">
        <v>11.398</v>
      </c>
      <c r="M57" s="6">
        <v>3.4194</v>
      </c>
      <c r="N57" s="6">
        <v>11.398</v>
      </c>
      <c r="O57" s="6">
        <v>3.4194</v>
      </c>
      <c r="P57" s="6">
        <v>0</v>
      </c>
      <c r="Q57" s="4" t="s">
        <v>26</v>
      </c>
      <c r="R57" s="4">
        <v>0</v>
      </c>
      <c r="S57" s="4">
        <v>0</v>
      </c>
      <c r="T57" s="4">
        <v>15</v>
      </c>
      <c r="U57" s="4">
        <v>28</v>
      </c>
      <c r="V57" s="6">
        <f>IF(ISERROR(VLOOKUP($S$57,'TAR FIN'!$A$1:$O$88,15,0)),0,VLOOKUP($S$57,'TAR FIN'!$A$1:$O$88,15,0))</f>
        <v>0</v>
      </c>
      <c r="W57" s="6">
        <f>IF(ISERROR(VLOOKUP($T$57,'TAR FIN'!$A$1:$O$88,15,0)),0,VLOOKUP($T$57,'TAR FIN'!$A$1:$O$88,15,0))</f>
        <v>79.319999999999993</v>
      </c>
      <c r="X57" s="6">
        <f>IF(ISERROR(VLOOKUP($U$57,'TAR FIN'!$A$1:$O$88,15,0)),0,VLOOKUP($U$57,'TAR FIN'!$A$1:$O$88,15,0))</f>
        <v>252.22</v>
      </c>
      <c r="Y57" s="6"/>
      <c r="Z57" s="6">
        <f ca="1">('TUSD BE'!$AM$12+'TUSD BF'!$AM$12+'TUSD CVA'!$AM$12)*1</f>
        <v>102.71637945274784</v>
      </c>
      <c r="AA57" s="6">
        <f>('TE BE'!$AB$6+'TE BF'!$AB$6+'TE CVA'!$AB$6)*1</f>
        <v>251.92449556687748</v>
      </c>
      <c r="AB57" s="6">
        <f t="shared" si="2"/>
        <v>0</v>
      </c>
      <c r="AC57" s="6">
        <f t="shared" si="6"/>
        <v>2645.2250439999998</v>
      </c>
      <c r="AD57" s="6">
        <f t="shared" si="4"/>
        <v>0</v>
      </c>
      <c r="AE57" s="6">
        <f t="shared" ca="1" si="7"/>
        <v>2829.5376854315828</v>
      </c>
      <c r="AF57" s="4" t="s">
        <v>563</v>
      </c>
    </row>
    <row r="58" spans="1:32" ht="11.25" customHeight="1" x14ac:dyDescent="0.25">
      <c r="A58" s="4" t="s">
        <v>21</v>
      </c>
      <c r="B58" s="4" t="s">
        <v>35</v>
      </c>
      <c r="C58" s="4" t="s">
        <v>36</v>
      </c>
      <c r="D58" s="4" t="s">
        <v>41</v>
      </c>
      <c r="E58" s="4" t="s">
        <v>49</v>
      </c>
      <c r="F58" s="4" t="s">
        <v>25</v>
      </c>
      <c r="G58" s="4" t="s">
        <v>25</v>
      </c>
      <c r="H58" s="4" t="s">
        <v>38</v>
      </c>
      <c r="I58" s="5">
        <v>44378</v>
      </c>
      <c r="J58" s="6">
        <v>0</v>
      </c>
      <c r="K58" s="52">
        <v>0</v>
      </c>
      <c r="L58" s="6">
        <v>30.774000000000001</v>
      </c>
      <c r="M58" s="52">
        <v>30.774000000000001</v>
      </c>
      <c r="N58" s="6">
        <v>30.774000000000001</v>
      </c>
      <c r="O58" s="52">
        <v>30.774000000000001</v>
      </c>
      <c r="P58" s="6">
        <v>0</v>
      </c>
      <c r="Q58" s="4" t="s">
        <v>26</v>
      </c>
      <c r="R58" s="4">
        <v>0</v>
      </c>
      <c r="S58" s="4">
        <v>0</v>
      </c>
      <c r="T58" s="4">
        <v>15</v>
      </c>
      <c r="U58" s="4">
        <v>28</v>
      </c>
      <c r="V58" s="52">
        <f>IF(ISERROR(VLOOKUP($S$58,'TAR FIN'!$A$1:$O$88,15,0)),0,VLOOKUP($S$58,'TAR FIN'!$A$1:$O$88,15,0))</f>
        <v>0</v>
      </c>
      <c r="W58" s="52">
        <f>IF(ISERROR(VLOOKUP($T$58,'TAR FIN'!$A$1:$O$88,15,0)),0,VLOOKUP($T$58,'TAR FIN'!$A$1:$O$88,15,0))*(1-0.04)</f>
        <v>76.147199999999984</v>
      </c>
      <c r="X58" s="52">
        <f>IF(ISERROR(VLOOKUP($U$58,'TAR FIN'!$A$1:$O$88,15,0)),0,VLOOKUP($U$58,'TAR FIN'!$A$1:$O$88,15,0))*(1-0.04)</f>
        <v>242.13119999999998</v>
      </c>
      <c r="Y58" s="52"/>
      <c r="Z58" s="52">
        <f ca="1">('TUSD BE'!$AM$12+'TUSD BF'!$AM$12+'TUSD CVA'!$AM$12)*1*(1-0.02)</f>
        <v>100.66205186369288</v>
      </c>
      <c r="AA58" s="52">
        <f>('TE BE'!$AB$6+'TE BF'!$AB$6+'TE CVA'!$AB$6)*1*(1-0.02)</f>
        <v>246.88600565553992</v>
      </c>
      <c r="AB58" s="52">
        <f>(SUBSIDIO!$J$58*SUBSIDIO!$V$58)*(0.04)/(1-0.04)</f>
        <v>0</v>
      </c>
      <c r="AC58" s="52">
        <f>((SUBSIDIO!$L$58*SUBSIDIO!$W$58)+(SUBSIDIO!$N$58*SUBSIDIO!$X$58))*(0.04)/(1-0.04)</f>
        <v>408.1124784000001</v>
      </c>
      <c r="AD58" s="52">
        <f>(SUBSIDIO!$J$58*SUBSIDIO!$Y$58)*(0.02)/(1-0.02)</f>
        <v>0</v>
      </c>
      <c r="AE58" s="52">
        <f ca="1">((SUBSIDIO!$L$58*SUBSIDIO!$Z$58)+(SUBSIDIO!$N$58*SUBSIDIO!$AA$58))*(0.02)/(1-0.02)</f>
        <v>218.27436575707901</v>
      </c>
      <c r="AF58" s="4" t="s">
        <v>561</v>
      </c>
    </row>
    <row r="59" spans="1:32" ht="11.25" customHeight="1" x14ac:dyDescent="0.25">
      <c r="A59" s="4" t="s">
        <v>21</v>
      </c>
      <c r="B59" s="4" t="s">
        <v>35</v>
      </c>
      <c r="C59" s="4" t="s">
        <v>36</v>
      </c>
      <c r="D59" s="4" t="s">
        <v>41</v>
      </c>
      <c r="E59" s="4" t="s">
        <v>49</v>
      </c>
      <c r="F59" s="4" t="s">
        <v>25</v>
      </c>
      <c r="G59" s="4" t="s">
        <v>25</v>
      </c>
      <c r="H59" s="4" t="s">
        <v>38</v>
      </c>
      <c r="I59" s="5">
        <v>44409</v>
      </c>
      <c r="J59" s="6">
        <v>0</v>
      </c>
      <c r="K59" s="52">
        <v>0</v>
      </c>
      <c r="L59" s="6">
        <v>57.018999999999998</v>
      </c>
      <c r="M59" s="52">
        <v>57.018999999999998</v>
      </c>
      <c r="N59" s="6">
        <v>57.018999999999998</v>
      </c>
      <c r="O59" s="52">
        <v>57.018999999999998</v>
      </c>
      <c r="P59" s="6">
        <v>0</v>
      </c>
      <c r="Q59" s="4" t="s">
        <v>26</v>
      </c>
      <c r="R59" s="4">
        <v>0</v>
      </c>
      <c r="S59" s="4">
        <v>0</v>
      </c>
      <c r="T59" s="4">
        <v>15</v>
      </c>
      <c r="U59" s="4">
        <v>28</v>
      </c>
      <c r="V59" s="52">
        <f>IF(ISERROR(VLOOKUP($S$59,'TAR FIN'!$A$1:$O$88,15,0)),0,VLOOKUP($S$59,'TAR FIN'!$A$1:$O$88,15,0))</f>
        <v>0</v>
      </c>
      <c r="W59" s="52">
        <f>IF(ISERROR(VLOOKUP($T$59,'TAR FIN'!$A$1:$O$88,15,0)),0,VLOOKUP($T$59,'TAR FIN'!$A$1:$O$88,15,0))*(1-0.04)</f>
        <v>76.147199999999984</v>
      </c>
      <c r="X59" s="52">
        <f>IF(ISERROR(VLOOKUP($U$59,'TAR FIN'!$A$1:$O$88,15,0)),0,VLOOKUP($U$59,'TAR FIN'!$A$1:$O$88,15,0))*(1-0.04)</f>
        <v>242.13119999999998</v>
      </c>
      <c r="Y59" s="52"/>
      <c r="Z59" s="52">
        <f ca="1">('TUSD BE'!$AM$12+'TUSD BF'!$AM$12+'TUSD CVA'!$AM$12)*1*(1-0.02)</f>
        <v>100.66205186369288</v>
      </c>
      <c r="AA59" s="52">
        <f>('TE BE'!$AB$6+'TE BF'!$AB$6+'TE CVA'!$AB$6)*1*(1-0.02)</f>
        <v>246.88600565553992</v>
      </c>
      <c r="AB59" s="52">
        <f>(SUBSIDIO!$J$59*SUBSIDIO!$V$59)*(0.04)/(1-0.04)</f>
        <v>0</v>
      </c>
      <c r="AC59" s="52">
        <f>((SUBSIDIO!$L$59*SUBSIDIO!$W$59)+(SUBSIDIO!$N$59*SUBSIDIO!$X$59))*(0.04)/(1-0.04)</f>
        <v>756.1631703999999</v>
      </c>
      <c r="AD59" s="52">
        <f>(SUBSIDIO!$J$59*SUBSIDIO!$Y$59)*(0.02)/(1-0.02)</f>
        <v>0</v>
      </c>
      <c r="AE59" s="52">
        <f ca="1">((SUBSIDIO!$L$59*SUBSIDIO!$Z$59)+(SUBSIDIO!$N$59*SUBSIDIO!$AA$59))*(0.02)/(1-0.02)</f>
        <v>404.42536105488028</v>
      </c>
      <c r="AF59" s="4" t="s">
        <v>561</v>
      </c>
    </row>
    <row r="60" spans="1:32" ht="11.25" customHeight="1" x14ac:dyDescent="0.25">
      <c r="A60" s="4" t="s">
        <v>21</v>
      </c>
      <c r="B60" s="4" t="s">
        <v>35</v>
      </c>
      <c r="C60" s="4" t="s">
        <v>36</v>
      </c>
      <c r="D60" s="4" t="s">
        <v>41</v>
      </c>
      <c r="E60" s="4" t="s">
        <v>49</v>
      </c>
      <c r="F60" s="4" t="s">
        <v>25</v>
      </c>
      <c r="G60" s="4" t="s">
        <v>25</v>
      </c>
      <c r="H60" s="4" t="s">
        <v>38</v>
      </c>
      <c r="I60" s="5">
        <v>44440</v>
      </c>
      <c r="J60" s="6">
        <v>0</v>
      </c>
      <c r="K60" s="52">
        <v>0</v>
      </c>
      <c r="L60" s="6">
        <v>38.441000000000003</v>
      </c>
      <c r="M60" s="52">
        <v>38.441000000000003</v>
      </c>
      <c r="N60" s="6">
        <v>38.441000000000003</v>
      </c>
      <c r="O60" s="52">
        <v>38.441000000000003</v>
      </c>
      <c r="P60" s="6">
        <v>0</v>
      </c>
      <c r="Q60" s="4" t="s">
        <v>26</v>
      </c>
      <c r="R60" s="4">
        <v>0</v>
      </c>
      <c r="S60" s="4">
        <v>0</v>
      </c>
      <c r="T60" s="4">
        <v>15</v>
      </c>
      <c r="U60" s="4">
        <v>28</v>
      </c>
      <c r="V60" s="52">
        <f>IF(ISERROR(VLOOKUP($S$60,'TAR FIN'!$A$1:$O$88,15,0)),0,VLOOKUP($S$60,'TAR FIN'!$A$1:$O$88,15,0))</f>
        <v>0</v>
      </c>
      <c r="W60" s="52">
        <f>IF(ISERROR(VLOOKUP($T$60,'TAR FIN'!$A$1:$O$88,15,0)),0,VLOOKUP($T$60,'TAR FIN'!$A$1:$O$88,15,0))*(1-0.04)</f>
        <v>76.147199999999984</v>
      </c>
      <c r="X60" s="52">
        <f>IF(ISERROR(VLOOKUP($U$60,'TAR FIN'!$A$1:$O$88,15,0)),0,VLOOKUP($U$60,'TAR FIN'!$A$1:$O$88,15,0))*(1-0.04)</f>
        <v>242.13119999999998</v>
      </c>
      <c r="Y60" s="52"/>
      <c r="Z60" s="52">
        <f ca="1">('TUSD BE'!$AM$12+'TUSD BF'!$AM$12+'TUSD CVA'!$AM$12)*1*(1-0.02)</f>
        <v>100.66205186369288</v>
      </c>
      <c r="AA60" s="52">
        <f>('TE BE'!$AB$6+'TE BF'!$AB$6+'TE CVA'!$AB$6)*1*(1-0.02)</f>
        <v>246.88600565553992</v>
      </c>
      <c r="AB60" s="52">
        <f>(SUBSIDIO!$J$60*SUBSIDIO!$V$60)*(0.04)/(1-0.04)</f>
        <v>0</v>
      </c>
      <c r="AC60" s="52">
        <f>((SUBSIDIO!$L$60*SUBSIDIO!$W$60)+(SUBSIDIO!$N$60*SUBSIDIO!$X$60))*(0.04)/(1-0.04)</f>
        <v>509.78916560000005</v>
      </c>
      <c r="AD60" s="52">
        <f>(SUBSIDIO!$J$60*SUBSIDIO!$Y$60)*(0.02)/(1-0.02)</f>
        <v>0</v>
      </c>
      <c r="AE60" s="52">
        <f ca="1">((SUBSIDIO!$L$60*SUBSIDIO!$Z$60)+(SUBSIDIO!$N$60*SUBSIDIO!$AA$60))*(0.02)/(1-0.02)</f>
        <v>272.65499753258837</v>
      </c>
      <c r="AF60" s="4" t="s">
        <v>561</v>
      </c>
    </row>
    <row r="61" spans="1:32" ht="11.25" customHeight="1" x14ac:dyDescent="0.25">
      <c r="A61" s="4" t="s">
        <v>21</v>
      </c>
      <c r="B61" s="4" t="s">
        <v>35</v>
      </c>
      <c r="C61" s="4" t="s">
        <v>36</v>
      </c>
      <c r="D61" s="4" t="s">
        <v>41</v>
      </c>
      <c r="E61" s="4" t="s">
        <v>49</v>
      </c>
      <c r="F61" s="4" t="s">
        <v>25</v>
      </c>
      <c r="G61" s="4" t="s">
        <v>25</v>
      </c>
      <c r="H61" s="4" t="s">
        <v>38</v>
      </c>
      <c r="I61" s="5">
        <v>44470</v>
      </c>
      <c r="J61" s="6">
        <v>0</v>
      </c>
      <c r="K61" s="52">
        <v>0</v>
      </c>
      <c r="L61" s="6">
        <v>47.811999999999998</v>
      </c>
      <c r="M61" s="52">
        <v>47.811999999999998</v>
      </c>
      <c r="N61" s="6">
        <v>47.811999999999998</v>
      </c>
      <c r="O61" s="52">
        <v>47.811999999999998</v>
      </c>
      <c r="P61" s="6">
        <v>0</v>
      </c>
      <c r="Q61" s="4" t="s">
        <v>26</v>
      </c>
      <c r="R61" s="4">
        <v>0</v>
      </c>
      <c r="S61" s="4">
        <v>0</v>
      </c>
      <c r="T61" s="4">
        <v>15</v>
      </c>
      <c r="U61" s="4">
        <v>28</v>
      </c>
      <c r="V61" s="52">
        <f>IF(ISERROR(VLOOKUP($S$61,'TAR FIN'!$A$1:$O$88,15,0)),0,VLOOKUP($S$61,'TAR FIN'!$A$1:$O$88,15,0))</f>
        <v>0</v>
      </c>
      <c r="W61" s="52">
        <f>IF(ISERROR(VLOOKUP($T$61,'TAR FIN'!$A$1:$O$88,15,0)),0,VLOOKUP($T$61,'TAR FIN'!$A$1:$O$88,15,0))*(1-0.04)</f>
        <v>76.147199999999984</v>
      </c>
      <c r="X61" s="52">
        <f>IF(ISERROR(VLOOKUP($U$61,'TAR FIN'!$A$1:$O$88,15,0)),0,VLOOKUP($U$61,'TAR FIN'!$A$1:$O$88,15,0))*(1-0.04)</f>
        <v>242.13119999999998</v>
      </c>
      <c r="Y61" s="52"/>
      <c r="Z61" s="52">
        <f ca="1">('TUSD BE'!$AM$12+'TUSD BF'!$AM$12+'TUSD CVA'!$AM$12)*1*(1-0.02)</f>
        <v>100.66205186369288</v>
      </c>
      <c r="AA61" s="52">
        <f>('TE BE'!$AB$6+'TE BF'!$AB$6+'TE CVA'!$AB$6)*1*(1-0.02)</f>
        <v>246.88600565553992</v>
      </c>
      <c r="AB61" s="52">
        <f>(SUBSIDIO!$J$61*SUBSIDIO!$V$61)*(0.04)/(1-0.04)</f>
        <v>0</v>
      </c>
      <c r="AC61" s="52">
        <f>((SUBSIDIO!$L$61*SUBSIDIO!$W$61)+(SUBSIDIO!$N$61*SUBSIDIO!$X$61))*(0.04)/(1-0.04)</f>
        <v>634.06361919999995</v>
      </c>
      <c r="AD61" s="52">
        <f>(SUBSIDIO!$J$61*SUBSIDIO!$Y$61)*(0.02)/(1-0.02)</f>
        <v>0</v>
      </c>
      <c r="AE61" s="52">
        <f ca="1">((SUBSIDIO!$L$61*SUBSIDIO!$Z$61)+(SUBSIDIO!$N$61*SUBSIDIO!$AA$61))*(0.02)/(1-0.02)</f>
        <v>339.12179032876645</v>
      </c>
      <c r="AF61" s="4" t="s">
        <v>561</v>
      </c>
    </row>
    <row r="62" spans="1:32" ht="11.25" customHeight="1" x14ac:dyDescent="0.25">
      <c r="A62" s="4" t="s">
        <v>21</v>
      </c>
      <c r="B62" s="4" t="s">
        <v>35</v>
      </c>
      <c r="C62" s="4" t="s">
        <v>36</v>
      </c>
      <c r="D62" s="4" t="s">
        <v>41</v>
      </c>
      <c r="E62" s="4" t="s">
        <v>49</v>
      </c>
      <c r="F62" s="4" t="s">
        <v>25</v>
      </c>
      <c r="G62" s="4" t="s">
        <v>25</v>
      </c>
      <c r="H62" s="4" t="s">
        <v>38</v>
      </c>
      <c r="I62" s="5">
        <v>44501</v>
      </c>
      <c r="J62" s="6">
        <v>0</v>
      </c>
      <c r="K62" s="52">
        <v>0</v>
      </c>
      <c r="L62" s="6">
        <v>410.56700000000001</v>
      </c>
      <c r="M62" s="52">
        <v>410.56700000000001</v>
      </c>
      <c r="N62" s="6">
        <v>410.56700000000001</v>
      </c>
      <c r="O62" s="52">
        <v>410.56700000000001</v>
      </c>
      <c r="P62" s="6">
        <v>0</v>
      </c>
      <c r="Q62" s="4" t="s">
        <v>26</v>
      </c>
      <c r="R62" s="4">
        <v>0</v>
      </c>
      <c r="S62" s="4">
        <v>0</v>
      </c>
      <c r="T62" s="4">
        <v>15</v>
      </c>
      <c r="U62" s="4">
        <v>28</v>
      </c>
      <c r="V62" s="52">
        <f>IF(ISERROR(VLOOKUP($S$62,'TAR FIN'!$A$1:$O$88,15,0)),0,VLOOKUP($S$62,'TAR FIN'!$A$1:$O$88,15,0))</f>
        <v>0</v>
      </c>
      <c r="W62" s="52">
        <f>IF(ISERROR(VLOOKUP($T$62,'TAR FIN'!$A$1:$O$88,15,0)),0,VLOOKUP($T$62,'TAR FIN'!$A$1:$O$88,15,0))*(1-0.04)</f>
        <v>76.147199999999984</v>
      </c>
      <c r="X62" s="52">
        <f>IF(ISERROR(VLOOKUP($U$62,'TAR FIN'!$A$1:$O$88,15,0)),0,VLOOKUP($U$62,'TAR FIN'!$A$1:$O$88,15,0))*(1-0.04)</f>
        <v>242.13119999999998</v>
      </c>
      <c r="Y62" s="52"/>
      <c r="Z62" s="52">
        <f ca="1">('TUSD BE'!$AM$12+'TUSD BF'!$AM$12+'TUSD CVA'!$AM$12)*1*(1-0.02)</f>
        <v>100.66205186369288</v>
      </c>
      <c r="AA62" s="52">
        <f>('TE BE'!$AB$6+'TE BF'!$AB$6+'TE CVA'!$AB$6)*1*(1-0.02)</f>
        <v>246.88600565553992</v>
      </c>
      <c r="AB62" s="52">
        <f>(SUBSIDIO!$J$62*SUBSIDIO!$V$62)*(0.04)/(1-0.04)</f>
        <v>0</v>
      </c>
      <c r="AC62" s="52">
        <f>((SUBSIDIO!$L$62*SUBSIDIO!$W$62)+(SUBSIDIO!$N$62*SUBSIDIO!$X$62))*(0.04)/(1-0.04)</f>
        <v>5444.7753272</v>
      </c>
      <c r="AD62" s="52">
        <f>(SUBSIDIO!$J$62*SUBSIDIO!$Y$62)*(0.02)/(1-0.02)</f>
        <v>0</v>
      </c>
      <c r="AE62" s="52">
        <f ca="1">((SUBSIDIO!$L$62*SUBSIDIO!$Z$62)+(SUBSIDIO!$N$62*SUBSIDIO!$AA$62))*(0.02)/(1-0.02)</f>
        <v>2912.0768026836495</v>
      </c>
      <c r="AF62" s="4" t="s">
        <v>561</v>
      </c>
    </row>
    <row r="63" spans="1:32" ht="11.25" customHeight="1" x14ac:dyDescent="0.25">
      <c r="A63" s="4" t="s">
        <v>28</v>
      </c>
      <c r="B63" s="4" t="s">
        <v>35</v>
      </c>
      <c r="C63" s="4" t="s">
        <v>36</v>
      </c>
      <c r="D63" s="4" t="s">
        <v>41</v>
      </c>
      <c r="E63" s="4" t="s">
        <v>49</v>
      </c>
      <c r="F63" s="4" t="s">
        <v>25</v>
      </c>
      <c r="G63" s="4" t="s">
        <v>25</v>
      </c>
      <c r="H63" s="4" t="s">
        <v>38</v>
      </c>
      <c r="I63" s="5">
        <v>44501</v>
      </c>
      <c r="J63" s="6">
        <v>0</v>
      </c>
      <c r="K63" s="52">
        <v>0</v>
      </c>
      <c r="L63" s="6">
        <v>23.623000000000001</v>
      </c>
      <c r="M63" s="52">
        <v>23.623000000000001</v>
      </c>
      <c r="N63" s="6">
        <v>23.623000000000001</v>
      </c>
      <c r="O63" s="52">
        <v>23.623000000000001</v>
      </c>
      <c r="P63" s="6">
        <v>0</v>
      </c>
      <c r="Q63" s="4" t="s">
        <v>26</v>
      </c>
      <c r="R63" s="4">
        <v>0</v>
      </c>
      <c r="S63" s="4">
        <v>0</v>
      </c>
      <c r="T63" s="4">
        <v>15</v>
      </c>
      <c r="U63" s="4">
        <v>28</v>
      </c>
      <c r="V63" s="52">
        <f>IF(ISERROR(VLOOKUP($S$63,'TAR FIN'!$A$1:$O$88,15,0)),0,VLOOKUP($S$63,'TAR FIN'!$A$1:$O$88,15,0))</f>
        <v>0</v>
      </c>
      <c r="W63" s="52">
        <f>IF(ISERROR(VLOOKUP($T$63,'TAR FIN'!$A$1:$O$88,15,0)),0,VLOOKUP($T$63,'TAR FIN'!$A$1:$O$88,15,0))*(1-0.04)</f>
        <v>76.147199999999984</v>
      </c>
      <c r="X63" s="52">
        <f>IF(ISERROR(VLOOKUP($U$63,'TAR FIN'!$A$1:$O$88,15,0)),0,VLOOKUP($U$63,'TAR FIN'!$A$1:$O$88,15,0))*(1-0.04)</f>
        <v>242.13119999999998</v>
      </c>
      <c r="Y63" s="52"/>
      <c r="Z63" s="52">
        <f ca="1">('TUSD BE'!$AM$12+'TUSD BF'!$AM$12+'TUSD CVA'!$AM$12)*1*(1-0.02)</f>
        <v>100.66205186369288</v>
      </c>
      <c r="AA63" s="52">
        <f>('TE BE'!$AB$6+'TE BF'!$AB$6+'TE CVA'!$AB$6)*1*(1-0.02)</f>
        <v>246.88600565553992</v>
      </c>
      <c r="AB63" s="52">
        <f>(SUBSIDIO!$J$63*SUBSIDIO!$V$63)*(0.04)/(1-0.04)</f>
        <v>0</v>
      </c>
      <c r="AC63" s="52">
        <f>((SUBSIDIO!$L$63*SUBSIDIO!$W$63)+(SUBSIDIO!$N$63*SUBSIDIO!$X$63))*(0.04)/(1-0.04)</f>
        <v>313.2787768</v>
      </c>
      <c r="AD63" s="52">
        <f>(SUBSIDIO!$J$63*SUBSIDIO!$Y$63)*(0.02)/(1-0.02)</f>
        <v>0</v>
      </c>
      <c r="AE63" s="52">
        <f ca="1">((SUBSIDIO!$L$63*SUBSIDIO!$Z$63)+(SUBSIDIO!$N$63*SUBSIDIO!$AA$63))*(0.02)/(1-0.02)</f>
        <v>167.55362781177215</v>
      </c>
      <c r="AF63" s="4" t="s">
        <v>561</v>
      </c>
    </row>
    <row r="64" spans="1:32" ht="11.25" customHeight="1" x14ac:dyDescent="0.25">
      <c r="A64" s="4" t="s">
        <v>21</v>
      </c>
      <c r="B64" s="4" t="s">
        <v>35</v>
      </c>
      <c r="C64" s="4" t="s">
        <v>36</v>
      </c>
      <c r="D64" s="4" t="s">
        <v>41</v>
      </c>
      <c r="E64" s="4" t="s">
        <v>49</v>
      </c>
      <c r="F64" s="4" t="s">
        <v>25</v>
      </c>
      <c r="G64" s="4" t="s">
        <v>25</v>
      </c>
      <c r="H64" s="4" t="s">
        <v>38</v>
      </c>
      <c r="I64" s="5">
        <v>44531</v>
      </c>
      <c r="J64" s="6">
        <v>0</v>
      </c>
      <c r="K64" s="52">
        <v>0</v>
      </c>
      <c r="L64" s="6">
        <v>512.14300000000003</v>
      </c>
      <c r="M64" s="52">
        <v>512.14300000000003</v>
      </c>
      <c r="N64" s="6">
        <v>512.14300000000003</v>
      </c>
      <c r="O64" s="52">
        <v>512.14300000000003</v>
      </c>
      <c r="P64" s="6">
        <v>0</v>
      </c>
      <c r="Q64" s="4" t="s">
        <v>26</v>
      </c>
      <c r="R64" s="4">
        <v>0</v>
      </c>
      <c r="S64" s="4">
        <v>0</v>
      </c>
      <c r="T64" s="4">
        <v>15</v>
      </c>
      <c r="U64" s="4">
        <v>28</v>
      </c>
      <c r="V64" s="52">
        <f>IF(ISERROR(VLOOKUP($S$64,'TAR FIN'!$A$1:$O$88,15,0)),0,VLOOKUP($S$64,'TAR FIN'!$A$1:$O$88,15,0))</f>
        <v>0</v>
      </c>
      <c r="W64" s="52">
        <f>IF(ISERROR(VLOOKUP($T$64,'TAR FIN'!$A$1:$O$88,15,0)),0,VLOOKUP($T$64,'TAR FIN'!$A$1:$O$88,15,0))*(1-0.04)</f>
        <v>76.147199999999984</v>
      </c>
      <c r="X64" s="52">
        <f>IF(ISERROR(VLOOKUP($U$64,'TAR FIN'!$A$1:$O$88,15,0)),0,VLOOKUP($U$64,'TAR FIN'!$A$1:$O$88,15,0))*(1-0.04)</f>
        <v>242.13119999999998</v>
      </c>
      <c r="Y64" s="52"/>
      <c r="Z64" s="52">
        <f ca="1">('TUSD BE'!$AM$12+'TUSD BF'!$AM$12+'TUSD CVA'!$AM$12)*1*(1-0.02)</f>
        <v>100.66205186369288</v>
      </c>
      <c r="AA64" s="52">
        <f>('TE BE'!$AB$6+'TE BF'!$AB$6+'TE CVA'!$AB$6)*1*(1-0.02)</f>
        <v>246.88600565553992</v>
      </c>
      <c r="AB64" s="52">
        <f>(SUBSIDIO!$J$64*SUBSIDIO!$V$64)*(0.04)/(1-0.04)</f>
        <v>0</v>
      </c>
      <c r="AC64" s="52">
        <f>((SUBSIDIO!$L$64*SUBSIDIO!$W$64)+(SUBSIDIO!$N$64*SUBSIDIO!$X$64))*(0.04)/(1-0.04)</f>
        <v>6791.835608800001</v>
      </c>
      <c r="AD64" s="52">
        <f>(SUBSIDIO!$J$64*SUBSIDIO!$Y$64)*(0.02)/(1-0.02)</f>
        <v>0</v>
      </c>
      <c r="AE64" s="52">
        <f ca="1">((SUBSIDIO!$L$64*SUBSIDIO!$Z$64)+(SUBSIDIO!$N$64*SUBSIDIO!$AA$64))*(0.02)/(1-0.02)</f>
        <v>3632.5368331035193</v>
      </c>
      <c r="AF64" s="4" t="s">
        <v>561</v>
      </c>
    </row>
    <row r="65" spans="1:32" ht="11.25" customHeight="1" x14ac:dyDescent="0.25">
      <c r="A65" s="4" t="s">
        <v>28</v>
      </c>
      <c r="B65" s="4" t="s">
        <v>35</v>
      </c>
      <c r="C65" s="4" t="s">
        <v>36</v>
      </c>
      <c r="D65" s="4" t="s">
        <v>41</v>
      </c>
      <c r="E65" s="4" t="s">
        <v>49</v>
      </c>
      <c r="F65" s="4" t="s">
        <v>25</v>
      </c>
      <c r="G65" s="4" t="s">
        <v>25</v>
      </c>
      <c r="H65" s="4" t="s">
        <v>38</v>
      </c>
      <c r="I65" s="5">
        <v>44531</v>
      </c>
      <c r="J65" s="6">
        <v>0</v>
      </c>
      <c r="K65" s="52">
        <v>0</v>
      </c>
      <c r="L65" s="6">
        <v>16.667000000000002</v>
      </c>
      <c r="M65" s="52">
        <v>16.667000000000002</v>
      </c>
      <c r="N65" s="6">
        <v>16.667000000000002</v>
      </c>
      <c r="O65" s="52">
        <v>16.667000000000002</v>
      </c>
      <c r="P65" s="6">
        <v>0</v>
      </c>
      <c r="Q65" s="4" t="s">
        <v>26</v>
      </c>
      <c r="R65" s="4">
        <v>0</v>
      </c>
      <c r="S65" s="4">
        <v>0</v>
      </c>
      <c r="T65" s="4">
        <v>15</v>
      </c>
      <c r="U65" s="4">
        <v>28</v>
      </c>
      <c r="V65" s="52">
        <f>IF(ISERROR(VLOOKUP($S$65,'TAR FIN'!$A$1:$O$88,15,0)),0,VLOOKUP($S$65,'TAR FIN'!$A$1:$O$88,15,0))</f>
        <v>0</v>
      </c>
      <c r="W65" s="52">
        <f>IF(ISERROR(VLOOKUP($T$65,'TAR FIN'!$A$1:$O$88,15,0)),0,VLOOKUP($T$65,'TAR FIN'!$A$1:$O$88,15,0))*(1-0.04)</f>
        <v>76.147199999999984</v>
      </c>
      <c r="X65" s="52">
        <f>IF(ISERROR(VLOOKUP($U$65,'TAR FIN'!$A$1:$O$88,15,0)),0,VLOOKUP($U$65,'TAR FIN'!$A$1:$O$88,15,0))*(1-0.04)</f>
        <v>242.13119999999998</v>
      </c>
      <c r="Y65" s="52"/>
      <c r="Z65" s="52">
        <f ca="1">('TUSD BE'!$AM$12+'TUSD BF'!$AM$12+'TUSD CVA'!$AM$12)*1*(1-0.02)</f>
        <v>100.66205186369288</v>
      </c>
      <c r="AA65" s="52">
        <f>('TE BE'!$AB$6+'TE BF'!$AB$6+'TE CVA'!$AB$6)*1*(1-0.02)</f>
        <v>246.88600565553992</v>
      </c>
      <c r="AB65" s="52">
        <f>(SUBSIDIO!$J$65*SUBSIDIO!$V$65)*(0.04)/(1-0.04)</f>
        <v>0</v>
      </c>
      <c r="AC65" s="52">
        <f>((SUBSIDIO!$L$65*SUBSIDIO!$W$65)+(SUBSIDIO!$N$65*SUBSIDIO!$X$65))*(0.04)/(1-0.04)</f>
        <v>221.0310872</v>
      </c>
      <c r="AD65" s="52">
        <f>(SUBSIDIO!$J$65*SUBSIDIO!$Y$65)*(0.02)/(1-0.02)</f>
        <v>0</v>
      </c>
      <c r="AE65" s="52">
        <f ca="1">((SUBSIDIO!$L$65*SUBSIDIO!$Z$65)+(SUBSIDIO!$N$65*SUBSIDIO!$AA$65))*(0.02)/(1-0.02)</f>
        <v>118.21598927904192</v>
      </c>
      <c r="AF65" s="4" t="s">
        <v>561</v>
      </c>
    </row>
    <row r="66" spans="1:32" ht="11.25" customHeight="1" x14ac:dyDescent="0.25">
      <c r="A66" s="4" t="s">
        <v>21</v>
      </c>
      <c r="B66" s="4" t="s">
        <v>35</v>
      </c>
      <c r="C66" s="4" t="s">
        <v>36</v>
      </c>
      <c r="D66" s="4" t="s">
        <v>41</v>
      </c>
      <c r="E66" s="4" t="s">
        <v>49</v>
      </c>
      <c r="F66" s="4" t="s">
        <v>25</v>
      </c>
      <c r="G66" s="4" t="s">
        <v>25</v>
      </c>
      <c r="H66" s="4" t="s">
        <v>38</v>
      </c>
      <c r="I66" s="5">
        <v>44562</v>
      </c>
      <c r="J66" s="6">
        <v>0</v>
      </c>
      <c r="K66" s="52">
        <v>0</v>
      </c>
      <c r="L66" s="6">
        <v>578.43700000000001</v>
      </c>
      <c r="M66" s="52">
        <v>578.43700000000001</v>
      </c>
      <c r="N66" s="6">
        <v>578.43700000000001</v>
      </c>
      <c r="O66" s="52">
        <v>578.43700000000001</v>
      </c>
      <c r="P66" s="6">
        <v>0</v>
      </c>
      <c r="Q66" s="4" t="s">
        <v>26</v>
      </c>
      <c r="R66" s="4">
        <v>0</v>
      </c>
      <c r="S66" s="4">
        <v>0</v>
      </c>
      <c r="T66" s="4">
        <v>15</v>
      </c>
      <c r="U66" s="4">
        <v>28</v>
      </c>
      <c r="V66" s="52">
        <f>IF(ISERROR(VLOOKUP($S$66,'TAR FIN'!$A$1:$O$88,15,0)),0,VLOOKUP($S$66,'TAR FIN'!$A$1:$O$88,15,0))</f>
        <v>0</v>
      </c>
      <c r="W66" s="52">
        <f>IF(ISERROR(VLOOKUP($T$66,'TAR FIN'!$A$1:$O$88,15,0)),0,VLOOKUP($T$66,'TAR FIN'!$A$1:$O$88,15,0))*(1-0.04)</f>
        <v>76.147199999999984</v>
      </c>
      <c r="X66" s="52">
        <f>IF(ISERROR(VLOOKUP($U$66,'TAR FIN'!$A$1:$O$88,15,0)),0,VLOOKUP($U$66,'TAR FIN'!$A$1:$O$88,15,0))*(1-0.04)</f>
        <v>242.13119999999998</v>
      </c>
      <c r="Y66" s="52"/>
      <c r="Z66" s="52">
        <f ca="1">('TUSD BE'!$AM$12+'TUSD BF'!$AM$12+'TUSD CVA'!$AM$12)*1*(1-0.02)</f>
        <v>100.66205186369288</v>
      </c>
      <c r="AA66" s="52">
        <f>('TE BE'!$AB$6+'TE BF'!$AB$6+'TE CVA'!$AB$6)*1*(1-0.02)</f>
        <v>246.88600565553992</v>
      </c>
      <c r="AB66" s="52">
        <f>(SUBSIDIO!$J$66*SUBSIDIO!$V$66)*(0.04)/(1-0.04)</f>
        <v>0</v>
      </c>
      <c r="AC66" s="52">
        <f>((SUBSIDIO!$L$66*SUBSIDIO!$W$66)+(SUBSIDIO!$N$66*SUBSIDIO!$X$66))*(0.04)/(1-0.04)</f>
        <v>7671.0001192</v>
      </c>
      <c r="AD66" s="52">
        <f>(SUBSIDIO!$J$66*SUBSIDIO!$Y$66)*(0.02)/(1-0.02)</f>
        <v>0</v>
      </c>
      <c r="AE66" s="52">
        <f ca="1">((SUBSIDIO!$L$66*SUBSIDIO!$Z$66)+(SUBSIDIO!$N$66*SUBSIDIO!$AA$66))*(0.02)/(1-0.02)</f>
        <v>4102.7480764745405</v>
      </c>
      <c r="AF66" s="4" t="s">
        <v>561</v>
      </c>
    </row>
    <row r="67" spans="1:32" ht="11.25" customHeight="1" x14ac:dyDescent="0.25">
      <c r="A67" s="4" t="s">
        <v>28</v>
      </c>
      <c r="B67" s="4" t="s">
        <v>35</v>
      </c>
      <c r="C67" s="4" t="s">
        <v>36</v>
      </c>
      <c r="D67" s="4" t="s">
        <v>41</v>
      </c>
      <c r="E67" s="4" t="s">
        <v>49</v>
      </c>
      <c r="F67" s="4" t="s">
        <v>25</v>
      </c>
      <c r="G67" s="4" t="s">
        <v>25</v>
      </c>
      <c r="H67" s="4" t="s">
        <v>38</v>
      </c>
      <c r="I67" s="5">
        <v>44562</v>
      </c>
      <c r="J67" s="6">
        <v>0</v>
      </c>
      <c r="K67" s="52">
        <v>0</v>
      </c>
      <c r="L67" s="6">
        <v>31.791</v>
      </c>
      <c r="M67" s="52">
        <v>31.791</v>
      </c>
      <c r="N67" s="6">
        <v>31.791</v>
      </c>
      <c r="O67" s="52">
        <v>31.791</v>
      </c>
      <c r="P67" s="6">
        <v>0</v>
      </c>
      <c r="Q67" s="4" t="s">
        <v>26</v>
      </c>
      <c r="R67" s="4">
        <v>0</v>
      </c>
      <c r="S67" s="4">
        <v>0</v>
      </c>
      <c r="T67" s="4">
        <v>15</v>
      </c>
      <c r="U67" s="4">
        <v>28</v>
      </c>
      <c r="V67" s="52">
        <f>IF(ISERROR(VLOOKUP($S$67,'TAR FIN'!$A$1:$O$88,15,0)),0,VLOOKUP($S$67,'TAR FIN'!$A$1:$O$88,15,0))</f>
        <v>0</v>
      </c>
      <c r="W67" s="52">
        <f>IF(ISERROR(VLOOKUP($T$67,'TAR FIN'!$A$1:$O$88,15,0)),0,VLOOKUP($T$67,'TAR FIN'!$A$1:$O$88,15,0))*(1-0.04)</f>
        <v>76.147199999999984</v>
      </c>
      <c r="X67" s="52">
        <f>IF(ISERROR(VLOOKUP($U$67,'TAR FIN'!$A$1:$O$88,15,0)),0,VLOOKUP($U$67,'TAR FIN'!$A$1:$O$88,15,0))*(1-0.04)</f>
        <v>242.13119999999998</v>
      </c>
      <c r="Y67" s="52"/>
      <c r="Z67" s="52">
        <f ca="1">('TUSD BE'!$AM$12+'TUSD BF'!$AM$12+'TUSD CVA'!$AM$12)*1*(1-0.02)</f>
        <v>100.66205186369288</v>
      </c>
      <c r="AA67" s="52">
        <f>('TE BE'!$AB$6+'TE BF'!$AB$6+'TE CVA'!$AB$6)*1*(1-0.02)</f>
        <v>246.88600565553992</v>
      </c>
      <c r="AB67" s="52">
        <f>(SUBSIDIO!$J$67*SUBSIDIO!$V$67)*(0.04)/(1-0.04)</f>
        <v>0</v>
      </c>
      <c r="AC67" s="52">
        <f>((SUBSIDIO!$L$67*SUBSIDIO!$W$67)+(SUBSIDIO!$N$67*SUBSIDIO!$X$67))*(0.04)/(1-0.04)</f>
        <v>421.59952559999994</v>
      </c>
      <c r="AD67" s="52">
        <f>(SUBSIDIO!$J$67*SUBSIDIO!$Y$67)*(0.02)/(1-0.02)</f>
        <v>0</v>
      </c>
      <c r="AE67" s="52">
        <f ca="1">((SUBSIDIO!$L$67*SUBSIDIO!$Z$67)+(SUBSIDIO!$N$67*SUBSIDIO!$AA$67))*(0.02)/(1-0.02)</f>
        <v>225.48776115497819</v>
      </c>
      <c r="AF67" s="4" t="s">
        <v>561</v>
      </c>
    </row>
    <row r="68" spans="1:32" ht="11.25" customHeight="1" x14ac:dyDescent="0.25">
      <c r="A68" s="4" t="s">
        <v>21</v>
      </c>
      <c r="B68" s="4" t="s">
        <v>35</v>
      </c>
      <c r="C68" s="4" t="s">
        <v>36</v>
      </c>
      <c r="D68" s="4" t="s">
        <v>41</v>
      </c>
      <c r="E68" s="4" t="s">
        <v>49</v>
      </c>
      <c r="F68" s="4" t="s">
        <v>25</v>
      </c>
      <c r="G68" s="4" t="s">
        <v>25</v>
      </c>
      <c r="H68" s="4" t="s">
        <v>38</v>
      </c>
      <c r="I68" s="5">
        <v>44593</v>
      </c>
      <c r="J68" s="6">
        <v>0</v>
      </c>
      <c r="K68" s="52">
        <v>0</v>
      </c>
      <c r="L68" s="6">
        <v>467.863</v>
      </c>
      <c r="M68" s="52">
        <v>467.863</v>
      </c>
      <c r="N68" s="6">
        <v>467.863</v>
      </c>
      <c r="O68" s="52">
        <v>467.863</v>
      </c>
      <c r="P68" s="6">
        <v>0</v>
      </c>
      <c r="Q68" s="4" t="s">
        <v>26</v>
      </c>
      <c r="R68" s="4">
        <v>0</v>
      </c>
      <c r="S68" s="4">
        <v>0</v>
      </c>
      <c r="T68" s="4">
        <v>15</v>
      </c>
      <c r="U68" s="4">
        <v>28</v>
      </c>
      <c r="V68" s="52">
        <f>IF(ISERROR(VLOOKUP($S$68,'TAR FIN'!$A$1:$O$88,15,0)),0,VLOOKUP($S$68,'TAR FIN'!$A$1:$O$88,15,0))</f>
        <v>0</v>
      </c>
      <c r="W68" s="52">
        <f>IF(ISERROR(VLOOKUP($T$68,'TAR FIN'!$A$1:$O$88,15,0)),0,VLOOKUP($T$68,'TAR FIN'!$A$1:$O$88,15,0))*(1-0.04)</f>
        <v>76.147199999999984</v>
      </c>
      <c r="X68" s="52">
        <f>IF(ISERROR(VLOOKUP($U$68,'TAR FIN'!$A$1:$O$88,15,0)),0,VLOOKUP($U$68,'TAR FIN'!$A$1:$O$88,15,0))*(1-0.04)</f>
        <v>242.13119999999998</v>
      </c>
      <c r="Y68" s="52"/>
      <c r="Z68" s="52">
        <f ca="1">('TUSD BE'!$AM$12+'TUSD BF'!$AM$12+'TUSD CVA'!$AM$12)*1*(1-0.02)</f>
        <v>100.66205186369288</v>
      </c>
      <c r="AA68" s="52">
        <f>('TE BE'!$AB$6+'TE BF'!$AB$6+'TE CVA'!$AB$6)*1*(1-0.02)</f>
        <v>246.88600565553992</v>
      </c>
      <c r="AB68" s="52">
        <f>(SUBSIDIO!$J$68*SUBSIDIO!$V$68)*(0.04)/(1-0.04)</f>
        <v>0</v>
      </c>
      <c r="AC68" s="52">
        <f>((SUBSIDIO!$L$68*SUBSIDIO!$W$68)+(SUBSIDIO!$N$68*SUBSIDIO!$X$68))*(0.04)/(1-0.04)</f>
        <v>6204.611960799999</v>
      </c>
      <c r="AD68" s="52">
        <f>(SUBSIDIO!$J$68*SUBSIDIO!$Y$68)*(0.02)/(1-0.02)</f>
        <v>0</v>
      </c>
      <c r="AE68" s="52">
        <f ca="1">((SUBSIDIO!$L$68*SUBSIDIO!$Z$68)+(SUBSIDIO!$N$68*SUBSIDIO!$AA$68))*(0.02)/(1-0.02)</f>
        <v>3318.4668741861392</v>
      </c>
      <c r="AF68" s="4" t="s">
        <v>561</v>
      </c>
    </row>
    <row r="69" spans="1:32" ht="11.25" customHeight="1" x14ac:dyDescent="0.25">
      <c r="A69" s="4" t="s">
        <v>28</v>
      </c>
      <c r="B69" s="4" t="s">
        <v>35</v>
      </c>
      <c r="C69" s="4" t="s">
        <v>36</v>
      </c>
      <c r="D69" s="4" t="s">
        <v>41</v>
      </c>
      <c r="E69" s="4" t="s">
        <v>49</v>
      </c>
      <c r="F69" s="4" t="s">
        <v>25</v>
      </c>
      <c r="G69" s="4" t="s">
        <v>25</v>
      </c>
      <c r="H69" s="4" t="s">
        <v>38</v>
      </c>
      <c r="I69" s="5">
        <v>44593</v>
      </c>
      <c r="J69" s="6">
        <v>0</v>
      </c>
      <c r="K69" s="52">
        <v>0</v>
      </c>
      <c r="L69" s="6">
        <v>53.62</v>
      </c>
      <c r="M69" s="52">
        <v>53.62</v>
      </c>
      <c r="N69" s="6">
        <v>53.62</v>
      </c>
      <c r="O69" s="52">
        <v>53.62</v>
      </c>
      <c r="P69" s="6">
        <v>0</v>
      </c>
      <c r="Q69" s="4" t="s">
        <v>26</v>
      </c>
      <c r="R69" s="4">
        <v>0</v>
      </c>
      <c r="S69" s="4">
        <v>0</v>
      </c>
      <c r="T69" s="4">
        <v>15</v>
      </c>
      <c r="U69" s="4">
        <v>28</v>
      </c>
      <c r="V69" s="52">
        <f>IF(ISERROR(VLOOKUP($S$69,'TAR FIN'!$A$1:$O$88,15,0)),0,VLOOKUP($S$69,'TAR FIN'!$A$1:$O$88,15,0))</f>
        <v>0</v>
      </c>
      <c r="W69" s="52">
        <f>IF(ISERROR(VLOOKUP($T$69,'TAR FIN'!$A$1:$O$88,15,0)),0,VLOOKUP($T$69,'TAR FIN'!$A$1:$O$88,15,0))*(1-0.04)</f>
        <v>76.147199999999984</v>
      </c>
      <c r="X69" s="52">
        <f>IF(ISERROR(VLOOKUP($U$69,'TAR FIN'!$A$1:$O$88,15,0)),0,VLOOKUP($U$69,'TAR FIN'!$A$1:$O$88,15,0))*(1-0.04)</f>
        <v>242.13119999999998</v>
      </c>
      <c r="Y69" s="52"/>
      <c r="Z69" s="52">
        <f ca="1">('TUSD BE'!$AM$12+'TUSD BF'!$AM$12+'TUSD CVA'!$AM$12)*1*(1-0.02)</f>
        <v>100.66205186369288</v>
      </c>
      <c r="AA69" s="52">
        <f>('TE BE'!$AB$6+'TE BF'!$AB$6+'TE CVA'!$AB$6)*1*(1-0.02)</f>
        <v>246.88600565553992</v>
      </c>
      <c r="AB69" s="52">
        <f>(SUBSIDIO!$J$69*SUBSIDIO!$V$69)*(0.04)/(1-0.04)</f>
        <v>0</v>
      </c>
      <c r="AC69" s="52">
        <f>((SUBSIDIO!$L$69*SUBSIDIO!$W$69)+(SUBSIDIO!$N$69*SUBSIDIO!$X$69))*(0.04)/(1-0.04)</f>
        <v>711.0869919999999</v>
      </c>
      <c r="AD69" s="52">
        <f>(SUBSIDIO!$J$69*SUBSIDIO!$Y$69)*(0.02)/(1-0.02)</f>
        <v>0</v>
      </c>
      <c r="AE69" s="52">
        <f ca="1">((SUBSIDIO!$L$69*SUBSIDIO!$Z$69)+(SUBSIDIO!$N$69*SUBSIDIO!$AA$69))*(0.02)/(1-0.02)</f>
        <v>380.3168743710462</v>
      </c>
      <c r="AF69" s="4" t="s">
        <v>561</v>
      </c>
    </row>
    <row r="70" spans="1:32" ht="11.25" customHeight="1" x14ac:dyDescent="0.25">
      <c r="A70" s="4" t="s">
        <v>21</v>
      </c>
      <c r="B70" s="4" t="s">
        <v>35</v>
      </c>
      <c r="C70" s="4" t="s">
        <v>36</v>
      </c>
      <c r="D70" s="4" t="s">
        <v>41</v>
      </c>
      <c r="E70" s="4" t="s">
        <v>49</v>
      </c>
      <c r="F70" s="4" t="s">
        <v>25</v>
      </c>
      <c r="G70" s="4" t="s">
        <v>25</v>
      </c>
      <c r="H70" s="4" t="s">
        <v>38</v>
      </c>
      <c r="I70" s="5">
        <v>44621</v>
      </c>
      <c r="J70" s="6">
        <v>0</v>
      </c>
      <c r="K70" s="52">
        <v>0</v>
      </c>
      <c r="L70" s="6">
        <v>212.17500000000001</v>
      </c>
      <c r="M70" s="52">
        <v>212.17500000000001</v>
      </c>
      <c r="N70" s="6">
        <v>212.17500000000001</v>
      </c>
      <c r="O70" s="52">
        <v>212.17500000000001</v>
      </c>
      <c r="P70" s="6">
        <v>0</v>
      </c>
      <c r="Q70" s="4" t="s">
        <v>26</v>
      </c>
      <c r="R70" s="4">
        <v>0</v>
      </c>
      <c r="S70" s="4">
        <v>0</v>
      </c>
      <c r="T70" s="4">
        <v>15</v>
      </c>
      <c r="U70" s="4">
        <v>28</v>
      </c>
      <c r="V70" s="52">
        <f>IF(ISERROR(VLOOKUP($S$70,'TAR FIN'!$A$1:$O$88,15,0)),0,VLOOKUP($S$70,'TAR FIN'!$A$1:$O$88,15,0))</f>
        <v>0</v>
      </c>
      <c r="W70" s="52">
        <f>IF(ISERROR(VLOOKUP($T$70,'TAR FIN'!$A$1:$O$88,15,0)),0,VLOOKUP($T$70,'TAR FIN'!$A$1:$O$88,15,0))*(1-0.04)</f>
        <v>76.147199999999984</v>
      </c>
      <c r="X70" s="52">
        <f>IF(ISERROR(VLOOKUP($U$70,'TAR FIN'!$A$1:$O$88,15,0)),0,VLOOKUP($U$70,'TAR FIN'!$A$1:$O$88,15,0))*(1-0.04)</f>
        <v>242.13119999999998</v>
      </c>
      <c r="Y70" s="52"/>
      <c r="Z70" s="52">
        <f ca="1">('TUSD BE'!$AM$12+'TUSD BF'!$AM$12+'TUSD CVA'!$AM$12)*1*(1-0.02)</f>
        <v>100.66205186369288</v>
      </c>
      <c r="AA70" s="52">
        <f>('TE BE'!$AB$6+'TE BF'!$AB$6+'TE CVA'!$AB$6)*1*(1-0.02)</f>
        <v>246.88600565553992</v>
      </c>
      <c r="AB70" s="52">
        <f>(SUBSIDIO!$J$70*SUBSIDIO!$V$70)*(0.04)/(1-0.04)</f>
        <v>0</v>
      </c>
      <c r="AC70" s="52">
        <f>((SUBSIDIO!$L$70*SUBSIDIO!$W$70)+(SUBSIDIO!$N$70*SUBSIDIO!$X$70))*(0.04)/(1-0.04)</f>
        <v>2813.7799800000003</v>
      </c>
      <c r="AD70" s="52">
        <f>(SUBSIDIO!$J$70*SUBSIDIO!$Y$70)*(0.02)/(1-0.02)</f>
        <v>0</v>
      </c>
      <c r="AE70" s="52">
        <f ca="1">((SUBSIDIO!$L$70*SUBSIDIO!$Z$70)+(SUBSIDIO!$N$70*SUBSIDIO!$AA$70))*(0.02)/(1-0.02)</f>
        <v>1504.9185531457802</v>
      </c>
      <c r="AF70" s="4" t="s">
        <v>561</v>
      </c>
    </row>
    <row r="71" spans="1:32" ht="11.25" customHeight="1" x14ac:dyDescent="0.25">
      <c r="A71" s="4" t="s">
        <v>28</v>
      </c>
      <c r="B71" s="4" t="s">
        <v>35</v>
      </c>
      <c r="C71" s="4" t="s">
        <v>36</v>
      </c>
      <c r="D71" s="4" t="s">
        <v>41</v>
      </c>
      <c r="E71" s="4" t="s">
        <v>49</v>
      </c>
      <c r="F71" s="4" t="s">
        <v>25</v>
      </c>
      <c r="G71" s="4" t="s">
        <v>25</v>
      </c>
      <c r="H71" s="4" t="s">
        <v>38</v>
      </c>
      <c r="I71" s="5">
        <v>44621</v>
      </c>
      <c r="J71" s="6">
        <v>0</v>
      </c>
      <c r="K71" s="52">
        <v>0</v>
      </c>
      <c r="L71" s="6">
        <v>3.9430000000000001</v>
      </c>
      <c r="M71" s="52">
        <v>3.9430000000000001</v>
      </c>
      <c r="N71" s="6">
        <v>3.9430000000000001</v>
      </c>
      <c r="O71" s="52">
        <v>3.9430000000000001</v>
      </c>
      <c r="P71" s="6">
        <v>0</v>
      </c>
      <c r="Q71" s="4" t="s">
        <v>26</v>
      </c>
      <c r="R71" s="4">
        <v>0</v>
      </c>
      <c r="S71" s="4">
        <v>0</v>
      </c>
      <c r="T71" s="4">
        <v>15</v>
      </c>
      <c r="U71" s="4">
        <v>28</v>
      </c>
      <c r="V71" s="52">
        <f>IF(ISERROR(VLOOKUP($S$71,'TAR FIN'!$A$1:$O$88,15,0)),0,VLOOKUP($S$71,'TAR FIN'!$A$1:$O$88,15,0))</f>
        <v>0</v>
      </c>
      <c r="W71" s="52">
        <f>IF(ISERROR(VLOOKUP($T$71,'TAR FIN'!$A$1:$O$88,15,0)),0,VLOOKUP($T$71,'TAR FIN'!$A$1:$O$88,15,0))*(1-0.04)</f>
        <v>76.147199999999984</v>
      </c>
      <c r="X71" s="52">
        <f>IF(ISERROR(VLOOKUP($U$71,'TAR FIN'!$A$1:$O$88,15,0)),0,VLOOKUP($U$71,'TAR FIN'!$A$1:$O$88,15,0))*(1-0.04)</f>
        <v>242.13119999999998</v>
      </c>
      <c r="Y71" s="52"/>
      <c r="Z71" s="52">
        <f ca="1">('TUSD BE'!$AM$12+'TUSD BF'!$AM$12+'TUSD CVA'!$AM$12)*1*(1-0.02)</f>
        <v>100.66205186369288</v>
      </c>
      <c r="AA71" s="52">
        <f>('TE BE'!$AB$6+'TE BF'!$AB$6+'TE CVA'!$AB$6)*1*(1-0.02)</f>
        <v>246.88600565553992</v>
      </c>
      <c r="AB71" s="52">
        <f>(SUBSIDIO!$J$71*SUBSIDIO!$V$71)*(0.04)/(1-0.04)</f>
        <v>0</v>
      </c>
      <c r="AC71" s="52">
        <f>((SUBSIDIO!$L$71*SUBSIDIO!$W$71)+(SUBSIDIO!$N$71*SUBSIDIO!$X$71))*(0.04)/(1-0.04)</f>
        <v>52.290488799999999</v>
      </c>
      <c r="AD71" s="52">
        <f>(SUBSIDIO!$J$71*SUBSIDIO!$Y$71)*(0.02)/(1-0.02)</f>
        <v>0</v>
      </c>
      <c r="AE71" s="52">
        <f ca="1">((SUBSIDIO!$L$71*SUBSIDIO!$Z$71)+(SUBSIDIO!$N$71*SUBSIDIO!$AA$71))*(0.02)/(1-0.02)</f>
        <v>27.966979404047652</v>
      </c>
      <c r="AF71" s="4" t="s">
        <v>561</v>
      </c>
    </row>
    <row r="72" spans="1:32" ht="11.25" customHeight="1" x14ac:dyDescent="0.25">
      <c r="A72" s="4" t="s">
        <v>21</v>
      </c>
      <c r="B72" s="4" t="s">
        <v>35</v>
      </c>
      <c r="C72" s="4" t="s">
        <v>36</v>
      </c>
      <c r="D72" s="4" t="s">
        <v>41</v>
      </c>
      <c r="E72" s="4" t="s">
        <v>49</v>
      </c>
      <c r="F72" s="4" t="s">
        <v>25</v>
      </c>
      <c r="G72" s="4" t="s">
        <v>25</v>
      </c>
      <c r="H72" s="4" t="s">
        <v>38</v>
      </c>
      <c r="I72" s="5">
        <v>44652</v>
      </c>
      <c r="J72" s="6">
        <v>0</v>
      </c>
      <c r="K72" s="52">
        <v>0</v>
      </c>
      <c r="L72" s="6">
        <v>53.862000000000002</v>
      </c>
      <c r="M72" s="52">
        <v>53.862000000000002</v>
      </c>
      <c r="N72" s="6">
        <v>53.862000000000002</v>
      </c>
      <c r="O72" s="52">
        <v>53.862000000000002</v>
      </c>
      <c r="P72" s="6">
        <v>0</v>
      </c>
      <c r="Q72" s="4" t="s">
        <v>26</v>
      </c>
      <c r="R72" s="4">
        <v>0</v>
      </c>
      <c r="S72" s="4">
        <v>0</v>
      </c>
      <c r="T72" s="4">
        <v>15</v>
      </c>
      <c r="U72" s="4">
        <v>28</v>
      </c>
      <c r="V72" s="52">
        <f>IF(ISERROR(VLOOKUP($S$72,'TAR FIN'!$A$1:$O$88,15,0)),0,VLOOKUP($S$72,'TAR FIN'!$A$1:$O$88,15,0))</f>
        <v>0</v>
      </c>
      <c r="W72" s="52">
        <f>IF(ISERROR(VLOOKUP($T$72,'TAR FIN'!$A$1:$O$88,15,0)),0,VLOOKUP($T$72,'TAR FIN'!$A$1:$O$88,15,0))*(1-0.04)</f>
        <v>76.147199999999984</v>
      </c>
      <c r="X72" s="52">
        <f>IF(ISERROR(VLOOKUP($U$72,'TAR FIN'!$A$1:$O$88,15,0)),0,VLOOKUP($U$72,'TAR FIN'!$A$1:$O$88,15,0))*(1-0.04)</f>
        <v>242.13119999999998</v>
      </c>
      <c r="Y72" s="52"/>
      <c r="Z72" s="52">
        <f ca="1">('TUSD BE'!$AM$12+'TUSD BF'!$AM$12+'TUSD CVA'!$AM$12)*1*(1-0.02)</f>
        <v>100.66205186369288</v>
      </c>
      <c r="AA72" s="52">
        <f>('TE BE'!$AB$6+'TE BF'!$AB$6+'TE CVA'!$AB$6)*1*(1-0.02)</f>
        <v>246.88600565553992</v>
      </c>
      <c r="AB72" s="52">
        <f>(SUBSIDIO!$J$72*SUBSIDIO!$V$72)*(0.04)/(1-0.04)</f>
        <v>0</v>
      </c>
      <c r="AC72" s="52">
        <f>((SUBSIDIO!$L$72*SUBSIDIO!$W$72)+(SUBSIDIO!$N$72*SUBSIDIO!$X$72))*(0.04)/(1-0.04)</f>
        <v>714.29629920000002</v>
      </c>
      <c r="AD72" s="52">
        <f>(SUBSIDIO!$J$72*SUBSIDIO!$Y$72)*(0.02)/(1-0.02)</f>
        <v>0</v>
      </c>
      <c r="AE72" s="52">
        <f ca="1">((SUBSIDIO!$L$72*SUBSIDIO!$Z$72)+(SUBSIDIO!$N$72*SUBSIDIO!$AA$72))*(0.02)/(1-0.02)</f>
        <v>382.0333362061412</v>
      </c>
      <c r="AF72" s="4" t="s">
        <v>561</v>
      </c>
    </row>
    <row r="73" spans="1:32" ht="11.25" customHeight="1" x14ac:dyDescent="0.25">
      <c r="A73" s="4" t="s">
        <v>21</v>
      </c>
      <c r="B73" s="4" t="s">
        <v>35</v>
      </c>
      <c r="C73" s="4" t="s">
        <v>36</v>
      </c>
      <c r="D73" s="4" t="s">
        <v>41</v>
      </c>
      <c r="E73" s="4" t="s">
        <v>49</v>
      </c>
      <c r="F73" s="4" t="s">
        <v>25</v>
      </c>
      <c r="G73" s="4" t="s">
        <v>25</v>
      </c>
      <c r="H73" s="4" t="s">
        <v>38</v>
      </c>
      <c r="I73" s="5">
        <v>44682</v>
      </c>
      <c r="J73" s="6">
        <v>0</v>
      </c>
      <c r="K73" s="52">
        <v>0</v>
      </c>
      <c r="L73" s="6">
        <v>29.379000000000001</v>
      </c>
      <c r="M73" s="52">
        <v>29.379000000000001</v>
      </c>
      <c r="N73" s="6">
        <v>29.379000000000001</v>
      </c>
      <c r="O73" s="52">
        <v>29.379000000000001</v>
      </c>
      <c r="P73" s="6">
        <v>0</v>
      </c>
      <c r="Q73" s="4" t="s">
        <v>26</v>
      </c>
      <c r="R73" s="4">
        <v>0</v>
      </c>
      <c r="S73" s="4">
        <v>0</v>
      </c>
      <c r="T73" s="4">
        <v>15</v>
      </c>
      <c r="U73" s="4">
        <v>28</v>
      </c>
      <c r="V73" s="52">
        <f>IF(ISERROR(VLOOKUP($S$73,'TAR FIN'!$A$1:$O$88,15,0)),0,VLOOKUP($S$73,'TAR FIN'!$A$1:$O$88,15,0))</f>
        <v>0</v>
      </c>
      <c r="W73" s="52">
        <f>IF(ISERROR(VLOOKUP($T$73,'TAR FIN'!$A$1:$O$88,15,0)),0,VLOOKUP($T$73,'TAR FIN'!$A$1:$O$88,15,0))*(1-0.04)</f>
        <v>76.147199999999984</v>
      </c>
      <c r="X73" s="52">
        <f>IF(ISERROR(VLOOKUP($U$73,'TAR FIN'!$A$1:$O$88,15,0)),0,VLOOKUP($U$73,'TAR FIN'!$A$1:$O$88,15,0))*(1-0.04)</f>
        <v>242.13119999999998</v>
      </c>
      <c r="Y73" s="52"/>
      <c r="Z73" s="52">
        <f ca="1">('TUSD BE'!$AM$12+'TUSD BF'!$AM$12+'TUSD CVA'!$AM$12)*1*(1-0.02)</f>
        <v>100.66205186369288</v>
      </c>
      <c r="AA73" s="52">
        <f>('TE BE'!$AB$6+'TE BF'!$AB$6+'TE CVA'!$AB$6)*1*(1-0.02)</f>
        <v>246.88600565553992</v>
      </c>
      <c r="AB73" s="52">
        <f>(SUBSIDIO!$J$73*SUBSIDIO!$V$73)*(0.04)/(1-0.04)</f>
        <v>0</v>
      </c>
      <c r="AC73" s="52">
        <f>((SUBSIDIO!$L$73*SUBSIDIO!$W$73)+(SUBSIDIO!$N$73*SUBSIDIO!$X$73))*(0.04)/(1-0.04)</f>
        <v>389.61254640000004</v>
      </c>
      <c r="AD73" s="52">
        <f>(SUBSIDIO!$J$73*SUBSIDIO!$Y$73)*(0.02)/(1-0.02)</f>
        <v>0</v>
      </c>
      <c r="AE73" s="52">
        <f ca="1">((SUBSIDIO!$L$73*SUBSIDIO!$Z$73)+(SUBSIDIO!$N$73*SUBSIDIO!$AA$73))*(0.02)/(1-0.02)</f>
        <v>208.37988534403144</v>
      </c>
      <c r="AF73" s="4" t="s">
        <v>561</v>
      </c>
    </row>
    <row r="74" spans="1:32" ht="11.25" customHeight="1" x14ac:dyDescent="0.25">
      <c r="A74" s="4" t="s">
        <v>21</v>
      </c>
      <c r="B74" s="4" t="s">
        <v>35</v>
      </c>
      <c r="C74" s="4" t="s">
        <v>36</v>
      </c>
      <c r="D74" s="4" t="s">
        <v>41</v>
      </c>
      <c r="E74" s="4" t="s">
        <v>49</v>
      </c>
      <c r="F74" s="4" t="s">
        <v>25</v>
      </c>
      <c r="G74" s="4" t="s">
        <v>25</v>
      </c>
      <c r="H74" s="4" t="s">
        <v>38</v>
      </c>
      <c r="I74" s="5">
        <v>44713</v>
      </c>
      <c r="J74" s="6">
        <v>0</v>
      </c>
      <c r="K74" s="52">
        <v>0</v>
      </c>
      <c r="L74" s="6">
        <v>18.062999999999999</v>
      </c>
      <c r="M74" s="52">
        <v>18.062999999999999</v>
      </c>
      <c r="N74" s="6">
        <v>18.062999999999999</v>
      </c>
      <c r="O74" s="52">
        <v>18.062999999999999</v>
      </c>
      <c r="P74" s="6">
        <v>0</v>
      </c>
      <c r="Q74" s="4" t="s">
        <v>26</v>
      </c>
      <c r="R74" s="4">
        <v>0</v>
      </c>
      <c r="S74" s="4">
        <v>0</v>
      </c>
      <c r="T74" s="4">
        <v>15</v>
      </c>
      <c r="U74" s="4">
        <v>28</v>
      </c>
      <c r="V74" s="52">
        <f>IF(ISERROR(VLOOKUP($S$74,'TAR FIN'!$A$1:$O$88,15,0)),0,VLOOKUP($S$74,'TAR FIN'!$A$1:$O$88,15,0))</f>
        <v>0</v>
      </c>
      <c r="W74" s="52">
        <f>IF(ISERROR(VLOOKUP($T$74,'TAR FIN'!$A$1:$O$88,15,0)),0,VLOOKUP($T$74,'TAR FIN'!$A$1:$O$88,15,0))*(1-0.04)</f>
        <v>76.147199999999984</v>
      </c>
      <c r="X74" s="52">
        <f>IF(ISERROR(VLOOKUP($U$74,'TAR FIN'!$A$1:$O$88,15,0)),0,VLOOKUP($U$74,'TAR FIN'!$A$1:$O$88,15,0))*(1-0.04)</f>
        <v>242.13119999999998</v>
      </c>
      <c r="Y74" s="52"/>
      <c r="Z74" s="52">
        <f ca="1">('TUSD BE'!$AM$12+'TUSD BF'!$AM$12+'TUSD CVA'!$AM$12)*1*(1-0.02)</f>
        <v>100.66205186369288</v>
      </c>
      <c r="AA74" s="52">
        <f>('TE BE'!$AB$6+'TE BF'!$AB$6+'TE CVA'!$AB$6)*1*(1-0.02)</f>
        <v>246.88600565553992</v>
      </c>
      <c r="AB74" s="52">
        <f>(SUBSIDIO!$J$74*SUBSIDIO!$V$74)*(0.04)/(1-0.04)</f>
        <v>0</v>
      </c>
      <c r="AC74" s="52">
        <f>((SUBSIDIO!$L$74*SUBSIDIO!$W$74)+(SUBSIDIO!$N$74*SUBSIDIO!$X$74))*(0.04)/(1-0.04)</f>
        <v>239.54428080000002</v>
      </c>
      <c r="AD74" s="52">
        <f>(SUBSIDIO!$J$74*SUBSIDIO!$Y$74)*(0.02)/(1-0.02)</f>
        <v>0</v>
      </c>
      <c r="AE74" s="52">
        <f ca="1">((SUBSIDIO!$L$74*SUBSIDIO!$Z$74)+(SUBSIDIO!$N$74*SUBSIDIO!$AA$74))*(0.02)/(1-0.02)</f>
        <v>128.11756250958982</v>
      </c>
      <c r="AF74" s="4" t="s">
        <v>561</v>
      </c>
    </row>
    <row r="75" spans="1:32" ht="11.25" customHeight="1" x14ac:dyDescent="0.25">
      <c r="A75" s="4" t="s">
        <v>21</v>
      </c>
      <c r="B75" s="4" t="s">
        <v>35</v>
      </c>
      <c r="C75" s="4" t="s">
        <v>36</v>
      </c>
      <c r="D75" s="4" t="s">
        <v>41</v>
      </c>
      <c r="E75" s="4" t="s">
        <v>49</v>
      </c>
      <c r="F75" s="4" t="s">
        <v>25</v>
      </c>
      <c r="G75" s="4" t="s">
        <v>25</v>
      </c>
      <c r="H75" s="4" t="s">
        <v>25</v>
      </c>
      <c r="I75" s="5">
        <v>44378</v>
      </c>
      <c r="J75" s="6">
        <v>1250</v>
      </c>
      <c r="K75" s="52">
        <v>1250</v>
      </c>
      <c r="L75" s="6">
        <v>0</v>
      </c>
      <c r="M75" s="52">
        <v>0</v>
      </c>
      <c r="N75" s="6">
        <v>0</v>
      </c>
      <c r="O75" s="52">
        <v>0</v>
      </c>
      <c r="P75" s="6">
        <v>24</v>
      </c>
      <c r="Q75" s="4" t="s">
        <v>26</v>
      </c>
      <c r="R75" s="4">
        <v>0</v>
      </c>
      <c r="S75" s="4">
        <v>11</v>
      </c>
      <c r="T75" s="4">
        <v>0</v>
      </c>
      <c r="U75" s="4">
        <v>0</v>
      </c>
      <c r="V75" s="52">
        <f>IF(ISERROR(VLOOKUP($S$75,'TAR FIN'!$A$1:$O$88,15,0)),0,VLOOKUP($S$75,'TAR FIN'!$A$1:$O$88,15,0))*(1-0.04)</f>
        <v>43.603200000000001</v>
      </c>
      <c r="W75" s="52">
        <f>IF(ISERROR(VLOOKUP($T$75,'TAR FIN'!$A$1:$O$88,15,0)),0,VLOOKUP($T$75,'TAR FIN'!$A$1:$O$88,15,0))</f>
        <v>0</v>
      </c>
      <c r="X75" s="52">
        <f>IF(ISERROR(VLOOKUP($U$75,'TAR FIN'!$A$1:$O$88,15,0)),0,VLOOKUP($U$75,'TAR FIN'!$A$1:$O$88,15,0))</f>
        <v>0</v>
      </c>
      <c r="Y75" s="52">
        <f ca="1">('TUSD BE'!$AM$10+'TUSD BF'!$AM$10+'TUSD CVA'!$AM$10)*1*(1-0.02)</f>
        <v>50.510684974163915</v>
      </c>
      <c r="Z75" s="52"/>
      <c r="AA75" s="52"/>
      <c r="AB75" s="52">
        <f>(SUBSIDIO!$J$75*SUBSIDIO!$V$75)*(0.04)/(1-0.04)</f>
        <v>2271</v>
      </c>
      <c r="AC75" s="52">
        <f>((SUBSIDIO!$L$75*SUBSIDIO!$W$75)+(SUBSIDIO!$N$75*SUBSIDIO!$X$75))*(0.04)/(1-0.04)</f>
        <v>0</v>
      </c>
      <c r="AD75" s="52">
        <f ca="1">(SUBSIDIO!$J$75*SUBSIDIO!$Y$75)*(0.02)/(1-0.02)</f>
        <v>1288.5378819939774</v>
      </c>
      <c r="AE75" s="52">
        <f>((SUBSIDIO!$L$75*SUBSIDIO!$Z$75)+(SUBSIDIO!$N$75*SUBSIDIO!$AA$75))*(0.02)/(1-0.02)</f>
        <v>0</v>
      </c>
      <c r="AF75" s="4" t="s">
        <v>561</v>
      </c>
    </row>
    <row r="76" spans="1:32" ht="11.25" customHeight="1" x14ac:dyDescent="0.25">
      <c r="A76" s="4" t="s">
        <v>21</v>
      </c>
      <c r="B76" s="4" t="s">
        <v>35</v>
      </c>
      <c r="C76" s="4" t="s">
        <v>36</v>
      </c>
      <c r="D76" s="4" t="s">
        <v>41</v>
      </c>
      <c r="E76" s="4" t="s">
        <v>49</v>
      </c>
      <c r="F76" s="4" t="s">
        <v>25</v>
      </c>
      <c r="G76" s="4" t="s">
        <v>25</v>
      </c>
      <c r="H76" s="4" t="s">
        <v>25</v>
      </c>
      <c r="I76" s="5">
        <v>44409</v>
      </c>
      <c r="J76" s="6">
        <v>1487</v>
      </c>
      <c r="K76" s="52">
        <v>1487</v>
      </c>
      <c r="L76" s="6">
        <v>0</v>
      </c>
      <c r="M76" s="52">
        <v>0</v>
      </c>
      <c r="N76" s="6">
        <v>0</v>
      </c>
      <c r="O76" s="52">
        <v>0</v>
      </c>
      <c r="P76" s="6">
        <v>24</v>
      </c>
      <c r="Q76" s="4" t="s">
        <v>26</v>
      </c>
      <c r="R76" s="4">
        <v>0</v>
      </c>
      <c r="S76" s="4">
        <v>11</v>
      </c>
      <c r="T76" s="4">
        <v>0</v>
      </c>
      <c r="U76" s="4">
        <v>0</v>
      </c>
      <c r="V76" s="52">
        <f>IF(ISERROR(VLOOKUP($S$76,'TAR FIN'!$A$1:$O$88,15,0)),0,VLOOKUP($S$76,'TAR FIN'!$A$1:$O$88,15,0))*(1-0.04)</f>
        <v>43.603200000000001</v>
      </c>
      <c r="W76" s="52">
        <f>IF(ISERROR(VLOOKUP($T$76,'TAR FIN'!$A$1:$O$88,15,0)),0,VLOOKUP($T$76,'TAR FIN'!$A$1:$O$88,15,0))</f>
        <v>0</v>
      </c>
      <c r="X76" s="52">
        <f>IF(ISERROR(VLOOKUP($U$76,'TAR FIN'!$A$1:$O$88,15,0)),0,VLOOKUP($U$76,'TAR FIN'!$A$1:$O$88,15,0))</f>
        <v>0</v>
      </c>
      <c r="Y76" s="52">
        <f ca="1">('TUSD BE'!$AM$10+'TUSD BF'!$AM$10+'TUSD CVA'!$AM$10)*1*(1-0.02)</f>
        <v>50.510684974163915</v>
      </c>
      <c r="Z76" s="52"/>
      <c r="AA76" s="52"/>
      <c r="AB76" s="52">
        <f>(SUBSIDIO!$J$76*SUBSIDIO!$V$76)*(0.04)/(1-0.04)</f>
        <v>2701.5816</v>
      </c>
      <c r="AC76" s="52">
        <f>((SUBSIDIO!$L$76*SUBSIDIO!$W$76)+(SUBSIDIO!$N$76*SUBSIDIO!$X$76))*(0.04)/(1-0.04)</f>
        <v>0</v>
      </c>
      <c r="AD76" s="52">
        <f ca="1">(SUBSIDIO!$J$76*SUBSIDIO!$Y$76)*(0.02)/(1-0.02)</f>
        <v>1532.8446644200358</v>
      </c>
      <c r="AE76" s="52">
        <f>((SUBSIDIO!$L$76*SUBSIDIO!$Z$76)+(SUBSIDIO!$N$76*SUBSIDIO!$AA$76))*(0.02)/(1-0.02)</f>
        <v>0</v>
      </c>
      <c r="AF76" s="4" t="s">
        <v>561</v>
      </c>
    </row>
    <row r="77" spans="1:32" ht="11.25" customHeight="1" x14ac:dyDescent="0.25">
      <c r="A77" s="4" t="s">
        <v>21</v>
      </c>
      <c r="B77" s="4" t="s">
        <v>35</v>
      </c>
      <c r="C77" s="4" t="s">
        <v>36</v>
      </c>
      <c r="D77" s="4" t="s">
        <v>41</v>
      </c>
      <c r="E77" s="4" t="s">
        <v>49</v>
      </c>
      <c r="F77" s="4" t="s">
        <v>25</v>
      </c>
      <c r="G77" s="4" t="s">
        <v>25</v>
      </c>
      <c r="H77" s="4" t="s">
        <v>25</v>
      </c>
      <c r="I77" s="5">
        <v>44440</v>
      </c>
      <c r="J77" s="6">
        <v>1999</v>
      </c>
      <c r="K77" s="52">
        <v>1999</v>
      </c>
      <c r="L77" s="6">
        <v>0</v>
      </c>
      <c r="M77" s="52">
        <v>0</v>
      </c>
      <c r="N77" s="6">
        <v>0</v>
      </c>
      <c r="O77" s="52">
        <v>0</v>
      </c>
      <c r="P77" s="6">
        <v>24</v>
      </c>
      <c r="Q77" s="4" t="s">
        <v>26</v>
      </c>
      <c r="R77" s="4">
        <v>0</v>
      </c>
      <c r="S77" s="4">
        <v>11</v>
      </c>
      <c r="T77" s="4">
        <v>0</v>
      </c>
      <c r="U77" s="4">
        <v>0</v>
      </c>
      <c r="V77" s="52">
        <f>IF(ISERROR(VLOOKUP($S$77,'TAR FIN'!$A$1:$O$88,15,0)),0,VLOOKUP($S$77,'TAR FIN'!$A$1:$O$88,15,0))*(1-0.04)</f>
        <v>43.603200000000001</v>
      </c>
      <c r="W77" s="52">
        <f>IF(ISERROR(VLOOKUP($T$77,'TAR FIN'!$A$1:$O$88,15,0)),0,VLOOKUP($T$77,'TAR FIN'!$A$1:$O$88,15,0))</f>
        <v>0</v>
      </c>
      <c r="X77" s="52">
        <f>IF(ISERROR(VLOOKUP($U$77,'TAR FIN'!$A$1:$O$88,15,0)),0,VLOOKUP($U$77,'TAR FIN'!$A$1:$O$88,15,0))</f>
        <v>0</v>
      </c>
      <c r="Y77" s="52">
        <f ca="1">('TUSD BE'!$AM$10+'TUSD BF'!$AM$10+'TUSD CVA'!$AM$10)*1*(1-0.02)</f>
        <v>50.510684974163915</v>
      </c>
      <c r="Z77" s="52"/>
      <c r="AA77" s="52"/>
      <c r="AB77" s="52">
        <f>(SUBSIDIO!$J$77*SUBSIDIO!$V$77)*(0.04)/(1-0.04)</f>
        <v>3631.7832000000003</v>
      </c>
      <c r="AC77" s="52">
        <f>((SUBSIDIO!$L$77*SUBSIDIO!$W$77)+(SUBSIDIO!$N$77*SUBSIDIO!$X$77))*(0.04)/(1-0.04)</f>
        <v>0</v>
      </c>
      <c r="AD77" s="52">
        <f ca="1">(SUBSIDIO!$J$77*SUBSIDIO!$Y$77)*(0.02)/(1-0.02)</f>
        <v>2060.6297808847689</v>
      </c>
      <c r="AE77" s="52">
        <f>((SUBSIDIO!$L$77*SUBSIDIO!$Z$77)+(SUBSIDIO!$N$77*SUBSIDIO!$AA$77))*(0.02)/(1-0.02)</f>
        <v>0</v>
      </c>
      <c r="AF77" s="4" t="s">
        <v>561</v>
      </c>
    </row>
    <row r="78" spans="1:32" ht="11.25" customHeight="1" x14ac:dyDescent="0.25">
      <c r="A78" s="4" t="s">
        <v>21</v>
      </c>
      <c r="B78" s="4" t="s">
        <v>35</v>
      </c>
      <c r="C78" s="4" t="s">
        <v>36</v>
      </c>
      <c r="D78" s="4" t="s">
        <v>41</v>
      </c>
      <c r="E78" s="4" t="s">
        <v>49</v>
      </c>
      <c r="F78" s="4" t="s">
        <v>25</v>
      </c>
      <c r="G78" s="4" t="s">
        <v>25</v>
      </c>
      <c r="H78" s="4" t="s">
        <v>25</v>
      </c>
      <c r="I78" s="5">
        <v>44470</v>
      </c>
      <c r="J78" s="6">
        <v>1982</v>
      </c>
      <c r="K78" s="52">
        <v>1982</v>
      </c>
      <c r="L78" s="6">
        <v>0</v>
      </c>
      <c r="M78" s="52">
        <v>0</v>
      </c>
      <c r="N78" s="6">
        <v>0</v>
      </c>
      <c r="O78" s="52">
        <v>0</v>
      </c>
      <c r="P78" s="6">
        <v>25</v>
      </c>
      <c r="Q78" s="4" t="s">
        <v>26</v>
      </c>
      <c r="R78" s="4">
        <v>0</v>
      </c>
      <c r="S78" s="4">
        <v>11</v>
      </c>
      <c r="T78" s="4">
        <v>0</v>
      </c>
      <c r="U78" s="4">
        <v>0</v>
      </c>
      <c r="V78" s="52">
        <f>IF(ISERROR(VLOOKUP($S$78,'TAR FIN'!$A$1:$O$88,15,0)),0,VLOOKUP($S$78,'TAR FIN'!$A$1:$O$88,15,0))*(1-0.04)</f>
        <v>43.603200000000001</v>
      </c>
      <c r="W78" s="52">
        <f>IF(ISERROR(VLOOKUP($T$78,'TAR FIN'!$A$1:$O$88,15,0)),0,VLOOKUP($T$78,'TAR FIN'!$A$1:$O$88,15,0))</f>
        <v>0</v>
      </c>
      <c r="X78" s="52">
        <f>IF(ISERROR(VLOOKUP($U$78,'TAR FIN'!$A$1:$O$88,15,0)),0,VLOOKUP($U$78,'TAR FIN'!$A$1:$O$88,15,0))</f>
        <v>0</v>
      </c>
      <c r="Y78" s="52">
        <f ca="1">('TUSD BE'!$AM$10+'TUSD BF'!$AM$10+'TUSD CVA'!$AM$10)*1*(1-0.02)</f>
        <v>50.510684974163915</v>
      </c>
      <c r="Z78" s="52"/>
      <c r="AA78" s="52"/>
      <c r="AB78" s="52">
        <f>(SUBSIDIO!$J$78*SUBSIDIO!$V$78)*(0.04)/(1-0.04)</f>
        <v>3600.8976000000007</v>
      </c>
      <c r="AC78" s="52">
        <f>((SUBSIDIO!$L$78*SUBSIDIO!$W$78)+(SUBSIDIO!$N$78*SUBSIDIO!$X$78))*(0.04)/(1-0.04)</f>
        <v>0</v>
      </c>
      <c r="AD78" s="52">
        <f ca="1">(SUBSIDIO!$J$78*SUBSIDIO!$Y$78)*(0.02)/(1-0.02)</f>
        <v>2043.1056656896508</v>
      </c>
      <c r="AE78" s="52">
        <f>((SUBSIDIO!$L$78*SUBSIDIO!$Z$78)+(SUBSIDIO!$N$78*SUBSIDIO!$AA$78))*(0.02)/(1-0.02)</f>
        <v>0</v>
      </c>
      <c r="AF78" s="4" t="s">
        <v>561</v>
      </c>
    </row>
    <row r="79" spans="1:32" ht="11.25" customHeight="1" x14ac:dyDescent="0.25">
      <c r="A79" s="4" t="s">
        <v>21</v>
      </c>
      <c r="B79" s="4" t="s">
        <v>35</v>
      </c>
      <c r="C79" s="4" t="s">
        <v>36</v>
      </c>
      <c r="D79" s="4" t="s">
        <v>41</v>
      </c>
      <c r="E79" s="4" t="s">
        <v>49</v>
      </c>
      <c r="F79" s="4" t="s">
        <v>25</v>
      </c>
      <c r="G79" s="4" t="s">
        <v>25</v>
      </c>
      <c r="H79" s="4" t="s">
        <v>25</v>
      </c>
      <c r="I79" s="5">
        <v>44501</v>
      </c>
      <c r="J79" s="6">
        <v>3630</v>
      </c>
      <c r="K79" s="52">
        <v>3630</v>
      </c>
      <c r="L79" s="6">
        <v>0</v>
      </c>
      <c r="M79" s="52">
        <v>0</v>
      </c>
      <c r="N79" s="6">
        <v>0</v>
      </c>
      <c r="O79" s="52">
        <v>0</v>
      </c>
      <c r="P79" s="6">
        <v>24</v>
      </c>
      <c r="Q79" s="4" t="s">
        <v>26</v>
      </c>
      <c r="R79" s="4">
        <v>0</v>
      </c>
      <c r="S79" s="4">
        <v>11</v>
      </c>
      <c r="T79" s="4">
        <v>0</v>
      </c>
      <c r="U79" s="4">
        <v>0</v>
      </c>
      <c r="V79" s="52">
        <f>IF(ISERROR(VLOOKUP($S$79,'TAR FIN'!$A$1:$O$88,15,0)),0,VLOOKUP($S$79,'TAR FIN'!$A$1:$O$88,15,0))*(1-0.04)</f>
        <v>43.603200000000001</v>
      </c>
      <c r="W79" s="52">
        <f>IF(ISERROR(VLOOKUP($T$79,'TAR FIN'!$A$1:$O$88,15,0)),0,VLOOKUP($T$79,'TAR FIN'!$A$1:$O$88,15,0))</f>
        <v>0</v>
      </c>
      <c r="X79" s="52">
        <f>IF(ISERROR(VLOOKUP($U$79,'TAR FIN'!$A$1:$O$88,15,0)),0,VLOOKUP($U$79,'TAR FIN'!$A$1:$O$88,15,0))</f>
        <v>0</v>
      </c>
      <c r="Y79" s="52">
        <f ca="1">('TUSD BE'!$AM$10+'TUSD BF'!$AM$10+'TUSD CVA'!$AM$10)*1*(1-0.02)</f>
        <v>50.510684974163915</v>
      </c>
      <c r="Z79" s="52"/>
      <c r="AA79" s="52"/>
      <c r="AB79" s="52">
        <f>(SUBSIDIO!$J$79*SUBSIDIO!$V$79)*(0.04)/(1-0.04)</f>
        <v>6594.9840000000004</v>
      </c>
      <c r="AC79" s="52">
        <f>((SUBSIDIO!$L$79*SUBSIDIO!$W$79)+(SUBSIDIO!$N$79*SUBSIDIO!$X$79))*(0.04)/(1-0.04)</f>
        <v>0</v>
      </c>
      <c r="AD79" s="52">
        <f ca="1">(SUBSIDIO!$J$79*SUBSIDIO!$Y$79)*(0.02)/(1-0.02)</f>
        <v>3741.9140093105107</v>
      </c>
      <c r="AE79" s="52">
        <f>((SUBSIDIO!$L$79*SUBSIDIO!$Z$79)+(SUBSIDIO!$N$79*SUBSIDIO!$AA$79))*(0.02)/(1-0.02)</f>
        <v>0</v>
      </c>
      <c r="AF79" s="4" t="s">
        <v>561</v>
      </c>
    </row>
    <row r="80" spans="1:32" ht="11.25" customHeight="1" x14ac:dyDescent="0.25">
      <c r="A80" s="4" t="s">
        <v>28</v>
      </c>
      <c r="B80" s="4" t="s">
        <v>35</v>
      </c>
      <c r="C80" s="4" t="s">
        <v>36</v>
      </c>
      <c r="D80" s="4" t="s">
        <v>41</v>
      </c>
      <c r="E80" s="4" t="s">
        <v>49</v>
      </c>
      <c r="F80" s="4" t="s">
        <v>25</v>
      </c>
      <c r="G80" s="4" t="s">
        <v>25</v>
      </c>
      <c r="H80" s="4" t="s">
        <v>25</v>
      </c>
      <c r="I80" s="5">
        <v>44501</v>
      </c>
      <c r="J80" s="6">
        <v>257</v>
      </c>
      <c r="K80" s="52">
        <v>257</v>
      </c>
      <c r="L80" s="6">
        <v>0</v>
      </c>
      <c r="M80" s="52">
        <v>0</v>
      </c>
      <c r="N80" s="6">
        <v>0</v>
      </c>
      <c r="O80" s="52">
        <v>0</v>
      </c>
      <c r="P80" s="6">
        <v>1</v>
      </c>
      <c r="Q80" s="4" t="s">
        <v>26</v>
      </c>
      <c r="R80" s="4">
        <v>0</v>
      </c>
      <c r="S80" s="4">
        <v>11</v>
      </c>
      <c r="T80" s="4">
        <v>0</v>
      </c>
      <c r="U80" s="4">
        <v>0</v>
      </c>
      <c r="V80" s="52">
        <f>IF(ISERROR(VLOOKUP($S$80,'TAR FIN'!$A$1:$O$88,15,0)),0,VLOOKUP($S$80,'TAR FIN'!$A$1:$O$88,15,0))*(1-0.04)</f>
        <v>43.603200000000001</v>
      </c>
      <c r="W80" s="52">
        <f>IF(ISERROR(VLOOKUP($T$80,'TAR FIN'!$A$1:$O$88,15,0)),0,VLOOKUP($T$80,'TAR FIN'!$A$1:$O$88,15,0))</f>
        <v>0</v>
      </c>
      <c r="X80" s="52">
        <f>IF(ISERROR(VLOOKUP($U$80,'TAR FIN'!$A$1:$O$88,15,0)),0,VLOOKUP($U$80,'TAR FIN'!$A$1:$O$88,15,0))</f>
        <v>0</v>
      </c>
      <c r="Y80" s="52">
        <f ca="1">('TUSD BE'!$AM$10+'TUSD BF'!$AM$10+'TUSD CVA'!$AM$10)*1*(1-0.02)</f>
        <v>50.510684974163915</v>
      </c>
      <c r="Z80" s="52"/>
      <c r="AA80" s="52"/>
      <c r="AB80" s="52">
        <f>(SUBSIDIO!$J$80*SUBSIDIO!$V$80)*(0.04)/(1-0.04)</f>
        <v>466.91760000000005</v>
      </c>
      <c r="AC80" s="52">
        <f>((SUBSIDIO!$L$80*SUBSIDIO!$W$80)+(SUBSIDIO!$N$80*SUBSIDIO!$X$80))*(0.04)/(1-0.04)</f>
        <v>0</v>
      </c>
      <c r="AD80" s="52">
        <f ca="1">(SUBSIDIO!$J$80*SUBSIDIO!$Y$80)*(0.02)/(1-0.02)</f>
        <v>264.92338853796178</v>
      </c>
      <c r="AE80" s="52">
        <f>((SUBSIDIO!$L$80*SUBSIDIO!$Z$80)+(SUBSIDIO!$N$80*SUBSIDIO!$AA$80))*(0.02)/(1-0.02)</f>
        <v>0</v>
      </c>
      <c r="AF80" s="4" t="s">
        <v>561</v>
      </c>
    </row>
    <row r="81" spans="1:32" ht="11.25" customHeight="1" x14ac:dyDescent="0.25">
      <c r="A81" s="4" t="s">
        <v>21</v>
      </c>
      <c r="B81" s="4" t="s">
        <v>35</v>
      </c>
      <c r="C81" s="4" t="s">
        <v>36</v>
      </c>
      <c r="D81" s="4" t="s">
        <v>41</v>
      </c>
      <c r="E81" s="4" t="s">
        <v>49</v>
      </c>
      <c r="F81" s="4" t="s">
        <v>25</v>
      </c>
      <c r="G81" s="4" t="s">
        <v>25</v>
      </c>
      <c r="H81" s="4" t="s">
        <v>25</v>
      </c>
      <c r="I81" s="5">
        <v>44531</v>
      </c>
      <c r="J81" s="6">
        <v>4370</v>
      </c>
      <c r="K81" s="52">
        <v>4370</v>
      </c>
      <c r="L81" s="6">
        <v>0</v>
      </c>
      <c r="M81" s="52">
        <v>0</v>
      </c>
      <c r="N81" s="6">
        <v>0</v>
      </c>
      <c r="O81" s="52">
        <v>0</v>
      </c>
      <c r="P81" s="6">
        <v>23</v>
      </c>
      <c r="Q81" s="4" t="s">
        <v>26</v>
      </c>
      <c r="R81" s="4">
        <v>0</v>
      </c>
      <c r="S81" s="4">
        <v>11</v>
      </c>
      <c r="T81" s="4">
        <v>0</v>
      </c>
      <c r="U81" s="4">
        <v>0</v>
      </c>
      <c r="V81" s="52">
        <f>IF(ISERROR(VLOOKUP($S$81,'TAR FIN'!$A$1:$O$88,15,0)),0,VLOOKUP($S$81,'TAR FIN'!$A$1:$O$88,15,0))*(1-0.04)</f>
        <v>43.603200000000001</v>
      </c>
      <c r="W81" s="52">
        <f>IF(ISERROR(VLOOKUP($T$81,'TAR FIN'!$A$1:$O$88,15,0)),0,VLOOKUP($T$81,'TAR FIN'!$A$1:$O$88,15,0))</f>
        <v>0</v>
      </c>
      <c r="X81" s="52">
        <f>IF(ISERROR(VLOOKUP($U$81,'TAR FIN'!$A$1:$O$88,15,0)),0,VLOOKUP($U$81,'TAR FIN'!$A$1:$O$88,15,0))</f>
        <v>0</v>
      </c>
      <c r="Y81" s="52">
        <f ca="1">('TUSD BE'!$AM$10+'TUSD BF'!$AM$10+'TUSD CVA'!$AM$10)*1*(1-0.02)</f>
        <v>50.510684974163915</v>
      </c>
      <c r="Z81" s="52"/>
      <c r="AA81" s="52"/>
      <c r="AB81" s="52">
        <f>(SUBSIDIO!$J$81*SUBSIDIO!$V$81)*(0.04)/(1-0.04)</f>
        <v>7939.4160000000002</v>
      </c>
      <c r="AC81" s="52">
        <f>((SUBSIDIO!$L$81*SUBSIDIO!$W$81)+(SUBSIDIO!$N$81*SUBSIDIO!$X$81))*(0.04)/(1-0.04)</f>
        <v>0</v>
      </c>
      <c r="AD81" s="52">
        <f ca="1">(SUBSIDIO!$J$81*SUBSIDIO!$Y$81)*(0.02)/(1-0.02)</f>
        <v>4504.7284354509447</v>
      </c>
      <c r="AE81" s="52">
        <f>((SUBSIDIO!$L$81*SUBSIDIO!$Z$81)+(SUBSIDIO!$N$81*SUBSIDIO!$AA$81))*(0.02)/(1-0.02)</f>
        <v>0</v>
      </c>
      <c r="AF81" s="4" t="s">
        <v>561</v>
      </c>
    </row>
    <row r="82" spans="1:32" ht="11.25" customHeight="1" x14ac:dyDescent="0.25">
      <c r="A82" s="4" t="s">
        <v>28</v>
      </c>
      <c r="B82" s="4" t="s">
        <v>35</v>
      </c>
      <c r="C82" s="4" t="s">
        <v>36</v>
      </c>
      <c r="D82" s="4" t="s">
        <v>41</v>
      </c>
      <c r="E82" s="4" t="s">
        <v>49</v>
      </c>
      <c r="F82" s="4" t="s">
        <v>25</v>
      </c>
      <c r="G82" s="4" t="s">
        <v>25</v>
      </c>
      <c r="H82" s="4" t="s">
        <v>25</v>
      </c>
      <c r="I82" s="5">
        <v>44531</v>
      </c>
      <c r="J82" s="6">
        <v>130</v>
      </c>
      <c r="K82" s="52">
        <v>130</v>
      </c>
      <c r="L82" s="6">
        <v>0</v>
      </c>
      <c r="M82" s="52">
        <v>0</v>
      </c>
      <c r="N82" s="6">
        <v>0</v>
      </c>
      <c r="O82" s="52">
        <v>0</v>
      </c>
      <c r="P82" s="6">
        <v>1</v>
      </c>
      <c r="Q82" s="4" t="s">
        <v>26</v>
      </c>
      <c r="R82" s="4">
        <v>0</v>
      </c>
      <c r="S82" s="4">
        <v>11</v>
      </c>
      <c r="T82" s="4">
        <v>0</v>
      </c>
      <c r="U82" s="4">
        <v>0</v>
      </c>
      <c r="V82" s="52">
        <f>IF(ISERROR(VLOOKUP($S$82,'TAR FIN'!$A$1:$O$88,15,0)),0,VLOOKUP($S$82,'TAR FIN'!$A$1:$O$88,15,0))*(1-0.04)</f>
        <v>43.603200000000001</v>
      </c>
      <c r="W82" s="52">
        <f>IF(ISERROR(VLOOKUP($T$82,'TAR FIN'!$A$1:$O$88,15,0)),0,VLOOKUP($T$82,'TAR FIN'!$A$1:$O$88,15,0))</f>
        <v>0</v>
      </c>
      <c r="X82" s="52">
        <f>IF(ISERROR(VLOOKUP($U$82,'TAR FIN'!$A$1:$O$88,15,0)),0,VLOOKUP($U$82,'TAR FIN'!$A$1:$O$88,15,0))</f>
        <v>0</v>
      </c>
      <c r="Y82" s="52">
        <f ca="1">('TUSD BE'!$AM$10+'TUSD BF'!$AM$10+'TUSD CVA'!$AM$10)*1*(1-0.02)</f>
        <v>50.510684974163915</v>
      </c>
      <c r="Z82" s="52"/>
      <c r="AA82" s="52"/>
      <c r="AB82" s="52">
        <f>(SUBSIDIO!$J$82*SUBSIDIO!$V$82)*(0.04)/(1-0.04)</f>
        <v>236.18400000000003</v>
      </c>
      <c r="AC82" s="52">
        <f>((SUBSIDIO!$L$82*SUBSIDIO!$W$82)+(SUBSIDIO!$N$82*SUBSIDIO!$X$82))*(0.04)/(1-0.04)</f>
        <v>0</v>
      </c>
      <c r="AD82" s="52">
        <f ca="1">(SUBSIDIO!$J$82*SUBSIDIO!$Y$82)*(0.02)/(1-0.02)</f>
        <v>134.00793972737367</v>
      </c>
      <c r="AE82" s="52">
        <f>((SUBSIDIO!$L$82*SUBSIDIO!$Z$82)+(SUBSIDIO!$N$82*SUBSIDIO!$AA$82))*(0.02)/(1-0.02)</f>
        <v>0</v>
      </c>
      <c r="AF82" s="4" t="s">
        <v>561</v>
      </c>
    </row>
    <row r="83" spans="1:32" ht="11.25" customHeight="1" x14ac:dyDescent="0.25">
      <c r="A83" s="4" t="s">
        <v>21</v>
      </c>
      <c r="B83" s="4" t="s">
        <v>35</v>
      </c>
      <c r="C83" s="4" t="s">
        <v>36</v>
      </c>
      <c r="D83" s="4" t="s">
        <v>41</v>
      </c>
      <c r="E83" s="4" t="s">
        <v>49</v>
      </c>
      <c r="F83" s="4" t="s">
        <v>25</v>
      </c>
      <c r="G83" s="4" t="s">
        <v>25</v>
      </c>
      <c r="H83" s="4" t="s">
        <v>25</v>
      </c>
      <c r="I83" s="5">
        <v>44562</v>
      </c>
      <c r="J83" s="6">
        <v>4701</v>
      </c>
      <c r="K83" s="52">
        <v>4701</v>
      </c>
      <c r="L83" s="6">
        <v>0</v>
      </c>
      <c r="M83" s="52">
        <v>0</v>
      </c>
      <c r="N83" s="6">
        <v>0</v>
      </c>
      <c r="O83" s="52">
        <v>0</v>
      </c>
      <c r="P83" s="6">
        <v>24</v>
      </c>
      <c r="Q83" s="4" t="s">
        <v>26</v>
      </c>
      <c r="R83" s="4">
        <v>0</v>
      </c>
      <c r="S83" s="4">
        <v>11</v>
      </c>
      <c r="T83" s="4">
        <v>0</v>
      </c>
      <c r="U83" s="4">
        <v>0</v>
      </c>
      <c r="V83" s="52">
        <f>IF(ISERROR(VLOOKUP($S$83,'TAR FIN'!$A$1:$O$88,15,0)),0,VLOOKUP($S$83,'TAR FIN'!$A$1:$O$88,15,0))*(1-0.04)</f>
        <v>43.603200000000001</v>
      </c>
      <c r="W83" s="52">
        <f>IF(ISERROR(VLOOKUP($T$83,'TAR FIN'!$A$1:$O$88,15,0)),0,VLOOKUP($T$83,'TAR FIN'!$A$1:$O$88,15,0))</f>
        <v>0</v>
      </c>
      <c r="X83" s="52">
        <f>IF(ISERROR(VLOOKUP($U$83,'TAR FIN'!$A$1:$O$88,15,0)),0,VLOOKUP($U$83,'TAR FIN'!$A$1:$O$88,15,0))</f>
        <v>0</v>
      </c>
      <c r="Y83" s="52">
        <f ca="1">('TUSD BE'!$AM$10+'TUSD BF'!$AM$10+'TUSD CVA'!$AM$10)*1*(1-0.02)</f>
        <v>50.510684974163915</v>
      </c>
      <c r="Z83" s="52"/>
      <c r="AA83" s="52"/>
      <c r="AB83" s="52">
        <f>(SUBSIDIO!$J$83*SUBSIDIO!$V$83)*(0.04)/(1-0.04)</f>
        <v>8540.7767999999996</v>
      </c>
      <c r="AC83" s="52">
        <f>((SUBSIDIO!$L$83*SUBSIDIO!$W$83)+(SUBSIDIO!$N$83*SUBSIDIO!$X$83))*(0.04)/(1-0.04)</f>
        <v>0</v>
      </c>
      <c r="AD83" s="52">
        <f ca="1">(SUBSIDIO!$J$83*SUBSIDIO!$Y$83)*(0.02)/(1-0.02)</f>
        <v>4845.9332666029504</v>
      </c>
      <c r="AE83" s="52">
        <f>((SUBSIDIO!$L$83*SUBSIDIO!$Z$83)+(SUBSIDIO!$N$83*SUBSIDIO!$AA$83))*(0.02)/(1-0.02)</f>
        <v>0</v>
      </c>
      <c r="AF83" s="4" t="s">
        <v>561</v>
      </c>
    </row>
    <row r="84" spans="1:32" ht="11.25" customHeight="1" x14ac:dyDescent="0.25">
      <c r="A84" s="4" t="s">
        <v>28</v>
      </c>
      <c r="B84" s="4" t="s">
        <v>35</v>
      </c>
      <c r="C84" s="4" t="s">
        <v>36</v>
      </c>
      <c r="D84" s="4" t="s">
        <v>41</v>
      </c>
      <c r="E84" s="4" t="s">
        <v>49</v>
      </c>
      <c r="F84" s="4" t="s">
        <v>25</v>
      </c>
      <c r="G84" s="4" t="s">
        <v>25</v>
      </c>
      <c r="H84" s="4" t="s">
        <v>25</v>
      </c>
      <c r="I84" s="5">
        <v>44562</v>
      </c>
      <c r="J84" s="6">
        <v>130</v>
      </c>
      <c r="K84" s="52">
        <v>130</v>
      </c>
      <c r="L84" s="6">
        <v>0</v>
      </c>
      <c r="M84" s="52">
        <v>0</v>
      </c>
      <c r="N84" s="6">
        <v>0</v>
      </c>
      <c r="O84" s="52">
        <v>0</v>
      </c>
      <c r="P84" s="6">
        <v>1</v>
      </c>
      <c r="Q84" s="4" t="s">
        <v>26</v>
      </c>
      <c r="R84" s="4">
        <v>0</v>
      </c>
      <c r="S84" s="4">
        <v>11</v>
      </c>
      <c r="T84" s="4">
        <v>0</v>
      </c>
      <c r="U84" s="4">
        <v>0</v>
      </c>
      <c r="V84" s="52">
        <f>IF(ISERROR(VLOOKUP($S$84,'TAR FIN'!$A$1:$O$88,15,0)),0,VLOOKUP($S$84,'TAR FIN'!$A$1:$O$88,15,0))*(1-0.04)</f>
        <v>43.603200000000001</v>
      </c>
      <c r="W84" s="52">
        <f>IF(ISERROR(VLOOKUP($T$84,'TAR FIN'!$A$1:$O$88,15,0)),0,VLOOKUP($T$84,'TAR FIN'!$A$1:$O$88,15,0))</f>
        <v>0</v>
      </c>
      <c r="X84" s="52">
        <f>IF(ISERROR(VLOOKUP($U$84,'TAR FIN'!$A$1:$O$88,15,0)),0,VLOOKUP($U$84,'TAR FIN'!$A$1:$O$88,15,0))</f>
        <v>0</v>
      </c>
      <c r="Y84" s="52">
        <f ca="1">('TUSD BE'!$AM$10+'TUSD BF'!$AM$10+'TUSD CVA'!$AM$10)*1*(1-0.02)</f>
        <v>50.510684974163915</v>
      </c>
      <c r="Z84" s="52"/>
      <c r="AA84" s="52"/>
      <c r="AB84" s="52">
        <f>(SUBSIDIO!$J$84*SUBSIDIO!$V$84)*(0.04)/(1-0.04)</f>
        <v>236.18400000000003</v>
      </c>
      <c r="AC84" s="52">
        <f>((SUBSIDIO!$L$84*SUBSIDIO!$W$84)+(SUBSIDIO!$N$84*SUBSIDIO!$X$84))*(0.04)/(1-0.04)</f>
        <v>0</v>
      </c>
      <c r="AD84" s="52">
        <f ca="1">(SUBSIDIO!$J$84*SUBSIDIO!$Y$84)*(0.02)/(1-0.02)</f>
        <v>134.00793972737367</v>
      </c>
      <c r="AE84" s="52">
        <f>((SUBSIDIO!$L$84*SUBSIDIO!$Z$84)+(SUBSIDIO!$N$84*SUBSIDIO!$AA$84))*(0.02)/(1-0.02)</f>
        <v>0</v>
      </c>
      <c r="AF84" s="4" t="s">
        <v>561</v>
      </c>
    </row>
    <row r="85" spans="1:32" ht="11.25" customHeight="1" x14ac:dyDescent="0.25">
      <c r="A85" s="4" t="s">
        <v>21</v>
      </c>
      <c r="B85" s="4" t="s">
        <v>35</v>
      </c>
      <c r="C85" s="4" t="s">
        <v>36</v>
      </c>
      <c r="D85" s="4" t="s">
        <v>41</v>
      </c>
      <c r="E85" s="4" t="s">
        <v>49</v>
      </c>
      <c r="F85" s="4" t="s">
        <v>25</v>
      </c>
      <c r="G85" s="4" t="s">
        <v>25</v>
      </c>
      <c r="H85" s="4" t="s">
        <v>25</v>
      </c>
      <c r="I85" s="5">
        <v>44593</v>
      </c>
      <c r="J85" s="6">
        <v>5370</v>
      </c>
      <c r="K85" s="52">
        <v>5370</v>
      </c>
      <c r="L85" s="6">
        <v>0</v>
      </c>
      <c r="M85" s="52">
        <v>0</v>
      </c>
      <c r="N85" s="6">
        <v>0</v>
      </c>
      <c r="O85" s="52">
        <v>0</v>
      </c>
      <c r="P85" s="6">
        <v>25</v>
      </c>
      <c r="Q85" s="4" t="s">
        <v>26</v>
      </c>
      <c r="R85" s="4">
        <v>0</v>
      </c>
      <c r="S85" s="4">
        <v>11</v>
      </c>
      <c r="T85" s="4">
        <v>0</v>
      </c>
      <c r="U85" s="4">
        <v>0</v>
      </c>
      <c r="V85" s="52">
        <f>IF(ISERROR(VLOOKUP($S$85,'TAR FIN'!$A$1:$O$88,15,0)),0,VLOOKUP($S$85,'TAR FIN'!$A$1:$O$88,15,0))*(1-0.04)</f>
        <v>43.603200000000001</v>
      </c>
      <c r="W85" s="52">
        <f>IF(ISERROR(VLOOKUP($T$85,'TAR FIN'!$A$1:$O$88,15,0)),0,VLOOKUP($T$85,'TAR FIN'!$A$1:$O$88,15,0))</f>
        <v>0</v>
      </c>
      <c r="X85" s="52">
        <f>IF(ISERROR(VLOOKUP($U$85,'TAR FIN'!$A$1:$O$88,15,0)),0,VLOOKUP($U$85,'TAR FIN'!$A$1:$O$88,15,0))</f>
        <v>0</v>
      </c>
      <c r="Y85" s="52">
        <f ca="1">('TUSD BE'!$AM$10+'TUSD BF'!$AM$10+'TUSD CVA'!$AM$10)*1*(1-0.02)</f>
        <v>50.510684974163915</v>
      </c>
      <c r="Z85" s="52"/>
      <c r="AA85" s="52"/>
      <c r="AB85" s="52">
        <f>(SUBSIDIO!$J$85*SUBSIDIO!$V$85)*(0.04)/(1-0.04)</f>
        <v>9756.2160000000003</v>
      </c>
      <c r="AC85" s="52">
        <f>((SUBSIDIO!$L$85*SUBSIDIO!$W$85)+(SUBSIDIO!$N$85*SUBSIDIO!$X$85))*(0.04)/(1-0.04)</f>
        <v>0</v>
      </c>
      <c r="AD85" s="52">
        <f ca="1">(SUBSIDIO!$J$85*SUBSIDIO!$Y$85)*(0.02)/(1-0.02)</f>
        <v>5535.5587410461267</v>
      </c>
      <c r="AE85" s="52">
        <f>((SUBSIDIO!$L$85*SUBSIDIO!$Z$85)+(SUBSIDIO!$N$85*SUBSIDIO!$AA$85))*(0.02)/(1-0.02)</f>
        <v>0</v>
      </c>
      <c r="AF85" s="4" t="s">
        <v>561</v>
      </c>
    </row>
    <row r="86" spans="1:32" ht="11.25" customHeight="1" x14ac:dyDescent="0.25">
      <c r="A86" s="4" t="s">
        <v>28</v>
      </c>
      <c r="B86" s="4" t="s">
        <v>35</v>
      </c>
      <c r="C86" s="4" t="s">
        <v>36</v>
      </c>
      <c r="D86" s="4" t="s">
        <v>41</v>
      </c>
      <c r="E86" s="4" t="s">
        <v>49</v>
      </c>
      <c r="F86" s="4" t="s">
        <v>25</v>
      </c>
      <c r="G86" s="4" t="s">
        <v>25</v>
      </c>
      <c r="H86" s="4" t="s">
        <v>25</v>
      </c>
      <c r="I86" s="5">
        <v>44593</v>
      </c>
      <c r="J86" s="6">
        <v>202</v>
      </c>
      <c r="K86" s="52">
        <v>202</v>
      </c>
      <c r="L86" s="6">
        <v>0</v>
      </c>
      <c r="M86" s="52">
        <v>0</v>
      </c>
      <c r="N86" s="6">
        <v>0</v>
      </c>
      <c r="O86" s="52">
        <v>0</v>
      </c>
      <c r="P86" s="6">
        <v>2</v>
      </c>
      <c r="Q86" s="4" t="s">
        <v>26</v>
      </c>
      <c r="R86" s="4">
        <v>0</v>
      </c>
      <c r="S86" s="4">
        <v>11</v>
      </c>
      <c r="T86" s="4">
        <v>0</v>
      </c>
      <c r="U86" s="4">
        <v>0</v>
      </c>
      <c r="V86" s="52">
        <f>IF(ISERROR(VLOOKUP($S$86,'TAR FIN'!$A$1:$O$88,15,0)),0,VLOOKUP($S$86,'TAR FIN'!$A$1:$O$88,15,0))*(1-0.04)</f>
        <v>43.603200000000001</v>
      </c>
      <c r="W86" s="52">
        <f>IF(ISERROR(VLOOKUP($T$86,'TAR FIN'!$A$1:$O$88,15,0)),0,VLOOKUP($T$86,'TAR FIN'!$A$1:$O$88,15,0))</f>
        <v>0</v>
      </c>
      <c r="X86" s="52">
        <f>IF(ISERROR(VLOOKUP($U$86,'TAR FIN'!$A$1:$O$88,15,0)),0,VLOOKUP($U$86,'TAR FIN'!$A$1:$O$88,15,0))</f>
        <v>0</v>
      </c>
      <c r="Y86" s="52">
        <f ca="1">('TUSD BE'!$AM$10+'TUSD BF'!$AM$10+'TUSD CVA'!$AM$10)*1*(1-0.02)</f>
        <v>50.510684974163915</v>
      </c>
      <c r="Z86" s="52"/>
      <c r="AA86" s="52"/>
      <c r="AB86" s="52">
        <f>(SUBSIDIO!$J$86*SUBSIDIO!$V$86)*(0.04)/(1-0.04)</f>
        <v>366.99360000000007</v>
      </c>
      <c r="AC86" s="52">
        <f>((SUBSIDIO!$L$86*SUBSIDIO!$W$86)+(SUBSIDIO!$N$86*SUBSIDIO!$X$86))*(0.04)/(1-0.04)</f>
        <v>0</v>
      </c>
      <c r="AD86" s="52">
        <f ca="1">(SUBSIDIO!$J$86*SUBSIDIO!$Y$86)*(0.02)/(1-0.02)</f>
        <v>208.22772173022676</v>
      </c>
      <c r="AE86" s="52">
        <f>((SUBSIDIO!$L$86*SUBSIDIO!$Z$86)+(SUBSIDIO!$N$86*SUBSIDIO!$AA$86))*(0.02)/(1-0.02)</f>
        <v>0</v>
      </c>
      <c r="AF86" s="4" t="s">
        <v>561</v>
      </c>
    </row>
    <row r="87" spans="1:32" ht="11.25" customHeight="1" x14ac:dyDescent="0.25">
      <c r="A87" s="4" t="s">
        <v>21</v>
      </c>
      <c r="B87" s="4" t="s">
        <v>35</v>
      </c>
      <c r="C87" s="4" t="s">
        <v>36</v>
      </c>
      <c r="D87" s="4" t="s">
        <v>41</v>
      </c>
      <c r="E87" s="4" t="s">
        <v>49</v>
      </c>
      <c r="F87" s="4" t="s">
        <v>25</v>
      </c>
      <c r="G87" s="4" t="s">
        <v>25</v>
      </c>
      <c r="H87" s="4" t="s">
        <v>25</v>
      </c>
      <c r="I87" s="5">
        <v>44621</v>
      </c>
      <c r="J87" s="6">
        <v>3986</v>
      </c>
      <c r="K87" s="52">
        <v>3986</v>
      </c>
      <c r="L87" s="6">
        <v>0</v>
      </c>
      <c r="M87" s="52">
        <v>0</v>
      </c>
      <c r="N87" s="6">
        <v>0</v>
      </c>
      <c r="O87" s="52">
        <v>0</v>
      </c>
      <c r="P87" s="6">
        <v>23</v>
      </c>
      <c r="Q87" s="4" t="s">
        <v>26</v>
      </c>
      <c r="R87" s="4">
        <v>0</v>
      </c>
      <c r="S87" s="4">
        <v>11</v>
      </c>
      <c r="T87" s="4">
        <v>0</v>
      </c>
      <c r="U87" s="4">
        <v>0</v>
      </c>
      <c r="V87" s="52">
        <f>IF(ISERROR(VLOOKUP($S$87,'TAR FIN'!$A$1:$O$88,15,0)),0,VLOOKUP($S$87,'TAR FIN'!$A$1:$O$88,15,0))*(1-0.04)</f>
        <v>43.603200000000001</v>
      </c>
      <c r="W87" s="52">
        <f>IF(ISERROR(VLOOKUP($T$87,'TAR FIN'!$A$1:$O$88,15,0)),0,VLOOKUP($T$87,'TAR FIN'!$A$1:$O$88,15,0))</f>
        <v>0</v>
      </c>
      <c r="X87" s="52">
        <f>IF(ISERROR(VLOOKUP($U$87,'TAR FIN'!$A$1:$O$88,15,0)),0,VLOOKUP($U$87,'TAR FIN'!$A$1:$O$88,15,0))</f>
        <v>0</v>
      </c>
      <c r="Y87" s="52">
        <f ca="1">('TUSD BE'!$AM$10+'TUSD BF'!$AM$10+'TUSD CVA'!$AM$10)*1*(1-0.02)</f>
        <v>50.510684974163915</v>
      </c>
      <c r="Z87" s="52"/>
      <c r="AA87" s="52"/>
      <c r="AB87" s="52">
        <f>(SUBSIDIO!$J$87*SUBSIDIO!$V$87)*(0.04)/(1-0.04)</f>
        <v>7241.7647999999999</v>
      </c>
      <c r="AC87" s="52">
        <f>((SUBSIDIO!$L$87*SUBSIDIO!$W$87)+(SUBSIDIO!$N$87*SUBSIDIO!$X$87))*(0.04)/(1-0.04)</f>
        <v>0</v>
      </c>
      <c r="AD87" s="52">
        <f ca="1">(SUBSIDIO!$J$87*SUBSIDIO!$Y$87)*(0.02)/(1-0.02)</f>
        <v>4108.8895981023952</v>
      </c>
      <c r="AE87" s="52">
        <f>((SUBSIDIO!$L$87*SUBSIDIO!$Z$87)+(SUBSIDIO!$N$87*SUBSIDIO!$AA$87))*(0.02)/(1-0.02)</f>
        <v>0</v>
      </c>
      <c r="AF87" s="4" t="s">
        <v>561</v>
      </c>
    </row>
    <row r="88" spans="1:32" ht="11.25" customHeight="1" x14ac:dyDescent="0.25">
      <c r="A88" s="4" t="s">
        <v>27</v>
      </c>
      <c r="B88" s="4" t="s">
        <v>35</v>
      </c>
      <c r="C88" s="4" t="s">
        <v>36</v>
      </c>
      <c r="D88" s="4" t="s">
        <v>41</v>
      </c>
      <c r="E88" s="4" t="s">
        <v>49</v>
      </c>
      <c r="F88" s="4" t="s">
        <v>25</v>
      </c>
      <c r="G88" s="4" t="s">
        <v>25</v>
      </c>
      <c r="H88" s="4" t="s">
        <v>25</v>
      </c>
      <c r="I88" s="5">
        <v>44621</v>
      </c>
      <c r="J88" s="6">
        <v>-348</v>
      </c>
      <c r="K88" s="52">
        <v>-348</v>
      </c>
      <c r="L88" s="6">
        <v>0</v>
      </c>
      <c r="M88" s="52">
        <v>0</v>
      </c>
      <c r="N88" s="6">
        <v>0</v>
      </c>
      <c r="O88" s="52">
        <v>0</v>
      </c>
      <c r="P88" s="6">
        <v>0</v>
      </c>
      <c r="Q88" s="4" t="s">
        <v>26</v>
      </c>
      <c r="R88" s="4">
        <v>0</v>
      </c>
      <c r="S88" s="4">
        <v>11</v>
      </c>
      <c r="T88" s="4">
        <v>0</v>
      </c>
      <c r="U88" s="4">
        <v>0</v>
      </c>
      <c r="V88" s="52">
        <f>IF(ISERROR(VLOOKUP($S$88,'TAR FIN'!$A$1:$O$88,15,0)),0,VLOOKUP($S$88,'TAR FIN'!$A$1:$O$88,15,0))*(1-0.04)</f>
        <v>43.603200000000001</v>
      </c>
      <c r="W88" s="52">
        <f>IF(ISERROR(VLOOKUP($T$88,'TAR FIN'!$A$1:$O$88,15,0)),0,VLOOKUP($T$88,'TAR FIN'!$A$1:$O$88,15,0))</f>
        <v>0</v>
      </c>
      <c r="X88" s="52">
        <f>IF(ISERROR(VLOOKUP($U$88,'TAR FIN'!$A$1:$O$88,15,0)),0,VLOOKUP($U$88,'TAR FIN'!$A$1:$O$88,15,0))</f>
        <v>0</v>
      </c>
      <c r="Y88" s="52">
        <f ca="1">('TUSD BE'!$AM$10+'TUSD BF'!$AM$10+'TUSD CVA'!$AM$10)*1*(1-0.02)</f>
        <v>50.510684974163915</v>
      </c>
      <c r="Z88" s="52"/>
      <c r="AA88" s="52"/>
      <c r="AB88" s="52">
        <f>(SUBSIDIO!$J$88*SUBSIDIO!$V$88)*(0.04)/(1-0.04)</f>
        <v>-632.24639999999999</v>
      </c>
      <c r="AC88" s="52">
        <f>((SUBSIDIO!$L$88*SUBSIDIO!$W$88)+(SUBSIDIO!$N$88*SUBSIDIO!$X$88))*(0.04)/(1-0.04)</f>
        <v>0</v>
      </c>
      <c r="AD88" s="52">
        <f ca="1">(SUBSIDIO!$J$88*SUBSIDIO!$Y$88)*(0.02)/(1-0.02)</f>
        <v>-358.72894634712338</v>
      </c>
      <c r="AE88" s="52">
        <f>((SUBSIDIO!$L$88*SUBSIDIO!$Z$88)+(SUBSIDIO!$N$88*SUBSIDIO!$AA$88))*(0.02)/(1-0.02)</f>
        <v>0</v>
      </c>
      <c r="AF88" s="4" t="s">
        <v>561</v>
      </c>
    </row>
    <row r="89" spans="1:32" ht="11.25" customHeight="1" x14ac:dyDescent="0.25">
      <c r="A89" s="4" t="s">
        <v>28</v>
      </c>
      <c r="B89" s="4" t="s">
        <v>35</v>
      </c>
      <c r="C89" s="4" t="s">
        <v>36</v>
      </c>
      <c r="D89" s="4" t="s">
        <v>41</v>
      </c>
      <c r="E89" s="4" t="s">
        <v>49</v>
      </c>
      <c r="F89" s="4" t="s">
        <v>25</v>
      </c>
      <c r="G89" s="4" t="s">
        <v>25</v>
      </c>
      <c r="H89" s="4" t="s">
        <v>25</v>
      </c>
      <c r="I89" s="5">
        <v>44621</v>
      </c>
      <c r="J89" s="6">
        <v>148</v>
      </c>
      <c r="K89" s="52">
        <v>148</v>
      </c>
      <c r="L89" s="6">
        <v>0</v>
      </c>
      <c r="M89" s="52">
        <v>0</v>
      </c>
      <c r="N89" s="6">
        <v>0</v>
      </c>
      <c r="O89" s="52">
        <v>0</v>
      </c>
      <c r="P89" s="6">
        <v>3</v>
      </c>
      <c r="Q89" s="4" t="s">
        <v>26</v>
      </c>
      <c r="R89" s="4">
        <v>0</v>
      </c>
      <c r="S89" s="4">
        <v>11</v>
      </c>
      <c r="T89" s="4">
        <v>0</v>
      </c>
      <c r="U89" s="4">
        <v>0</v>
      </c>
      <c r="V89" s="52">
        <f>IF(ISERROR(VLOOKUP($S$89,'TAR FIN'!$A$1:$O$88,15,0)),0,VLOOKUP($S$89,'TAR FIN'!$A$1:$O$88,15,0))*(1-0.04)</f>
        <v>43.603200000000001</v>
      </c>
      <c r="W89" s="52">
        <f>IF(ISERROR(VLOOKUP($T$89,'TAR FIN'!$A$1:$O$88,15,0)),0,VLOOKUP($T$89,'TAR FIN'!$A$1:$O$88,15,0))</f>
        <v>0</v>
      </c>
      <c r="X89" s="52">
        <f>IF(ISERROR(VLOOKUP($U$89,'TAR FIN'!$A$1:$O$88,15,0)),0,VLOOKUP($U$89,'TAR FIN'!$A$1:$O$88,15,0))</f>
        <v>0</v>
      </c>
      <c r="Y89" s="52">
        <f ca="1">('TUSD BE'!$AM$10+'TUSD BF'!$AM$10+'TUSD CVA'!$AM$10)*1*(1-0.02)</f>
        <v>50.510684974163915</v>
      </c>
      <c r="Z89" s="52"/>
      <c r="AA89" s="52"/>
      <c r="AB89" s="52">
        <f>(SUBSIDIO!$J$89*SUBSIDIO!$V$89)*(0.04)/(1-0.04)</f>
        <v>268.88640000000004</v>
      </c>
      <c r="AC89" s="52">
        <f>((SUBSIDIO!$L$89*SUBSIDIO!$W$89)+(SUBSIDIO!$N$89*SUBSIDIO!$X$89))*(0.04)/(1-0.04)</f>
        <v>0</v>
      </c>
      <c r="AD89" s="52">
        <f ca="1">(SUBSIDIO!$J$89*SUBSIDIO!$Y$89)*(0.02)/(1-0.02)</f>
        <v>152.56288522808694</v>
      </c>
      <c r="AE89" s="52">
        <f>((SUBSIDIO!$L$89*SUBSIDIO!$Z$89)+(SUBSIDIO!$N$89*SUBSIDIO!$AA$89))*(0.02)/(1-0.02)</f>
        <v>0</v>
      </c>
      <c r="AF89" s="4" t="s">
        <v>561</v>
      </c>
    </row>
    <row r="90" spans="1:32" ht="11.25" customHeight="1" x14ac:dyDescent="0.25">
      <c r="A90" s="4" t="s">
        <v>21</v>
      </c>
      <c r="B90" s="4" t="s">
        <v>35</v>
      </c>
      <c r="C90" s="4" t="s">
        <v>36</v>
      </c>
      <c r="D90" s="4" t="s">
        <v>41</v>
      </c>
      <c r="E90" s="4" t="s">
        <v>49</v>
      </c>
      <c r="F90" s="4" t="s">
        <v>25</v>
      </c>
      <c r="G90" s="4" t="s">
        <v>25</v>
      </c>
      <c r="H90" s="4" t="s">
        <v>25</v>
      </c>
      <c r="I90" s="5">
        <v>44652</v>
      </c>
      <c r="J90" s="6">
        <v>5013</v>
      </c>
      <c r="K90" s="52">
        <v>5013</v>
      </c>
      <c r="L90" s="6">
        <v>0</v>
      </c>
      <c r="M90" s="52">
        <v>0</v>
      </c>
      <c r="N90" s="6">
        <v>0</v>
      </c>
      <c r="O90" s="52">
        <v>0</v>
      </c>
      <c r="P90" s="6">
        <v>25</v>
      </c>
      <c r="Q90" s="4" t="s">
        <v>26</v>
      </c>
      <c r="R90" s="4">
        <v>0</v>
      </c>
      <c r="S90" s="4">
        <v>11</v>
      </c>
      <c r="T90" s="4">
        <v>0</v>
      </c>
      <c r="U90" s="4">
        <v>0</v>
      </c>
      <c r="V90" s="52">
        <f>IF(ISERROR(VLOOKUP($S$90,'TAR FIN'!$A$1:$O$88,15,0)),0,VLOOKUP($S$90,'TAR FIN'!$A$1:$O$88,15,0))*(1-0.04)</f>
        <v>43.603200000000001</v>
      </c>
      <c r="W90" s="52">
        <f>IF(ISERROR(VLOOKUP($T$90,'TAR FIN'!$A$1:$O$88,15,0)),0,VLOOKUP($T$90,'TAR FIN'!$A$1:$O$88,15,0))</f>
        <v>0</v>
      </c>
      <c r="X90" s="52">
        <f>IF(ISERROR(VLOOKUP($U$90,'TAR FIN'!$A$1:$O$88,15,0)),0,VLOOKUP($U$90,'TAR FIN'!$A$1:$O$88,15,0))</f>
        <v>0</v>
      </c>
      <c r="Y90" s="52">
        <f ca="1">('TUSD BE'!$AM$10+'TUSD BF'!$AM$10+'TUSD CVA'!$AM$10)*1*(1-0.02)</f>
        <v>50.510684974163915</v>
      </c>
      <c r="Z90" s="52"/>
      <c r="AA90" s="52"/>
      <c r="AB90" s="52">
        <f>(SUBSIDIO!$J$90*SUBSIDIO!$V$90)*(0.04)/(1-0.04)</f>
        <v>9107.6184000000012</v>
      </c>
      <c r="AC90" s="52">
        <f>((SUBSIDIO!$L$90*SUBSIDIO!$W$90)+(SUBSIDIO!$N$90*SUBSIDIO!$X$90))*(0.04)/(1-0.04)</f>
        <v>0</v>
      </c>
      <c r="AD90" s="52">
        <f ca="1">(SUBSIDIO!$J$90*SUBSIDIO!$Y$90)*(0.02)/(1-0.02)</f>
        <v>5167.5523219486467</v>
      </c>
      <c r="AE90" s="52">
        <f>((SUBSIDIO!$L$90*SUBSIDIO!$Z$90)+(SUBSIDIO!$N$90*SUBSIDIO!$AA$90))*(0.02)/(1-0.02)</f>
        <v>0</v>
      </c>
      <c r="AF90" s="4" t="s">
        <v>561</v>
      </c>
    </row>
    <row r="91" spans="1:32" ht="11.25" customHeight="1" x14ac:dyDescent="0.25">
      <c r="A91" s="4" t="s">
        <v>28</v>
      </c>
      <c r="B91" s="4" t="s">
        <v>35</v>
      </c>
      <c r="C91" s="4" t="s">
        <v>36</v>
      </c>
      <c r="D91" s="4" t="s">
        <v>41</v>
      </c>
      <c r="E91" s="4" t="s">
        <v>49</v>
      </c>
      <c r="F91" s="4" t="s">
        <v>25</v>
      </c>
      <c r="G91" s="4" t="s">
        <v>25</v>
      </c>
      <c r="H91" s="4" t="s">
        <v>25</v>
      </c>
      <c r="I91" s="5">
        <v>44652</v>
      </c>
      <c r="J91" s="6">
        <v>18</v>
      </c>
      <c r="K91" s="52">
        <v>18</v>
      </c>
      <c r="L91" s="6">
        <v>0</v>
      </c>
      <c r="M91" s="52">
        <v>0</v>
      </c>
      <c r="N91" s="6">
        <v>0</v>
      </c>
      <c r="O91" s="52">
        <v>0</v>
      </c>
      <c r="P91" s="6">
        <v>2</v>
      </c>
      <c r="Q91" s="4" t="s">
        <v>26</v>
      </c>
      <c r="R91" s="4">
        <v>0</v>
      </c>
      <c r="S91" s="4">
        <v>11</v>
      </c>
      <c r="T91" s="4">
        <v>0</v>
      </c>
      <c r="U91" s="4">
        <v>0</v>
      </c>
      <c r="V91" s="52">
        <f>IF(ISERROR(VLOOKUP($S$91,'TAR FIN'!$A$1:$O$88,15,0)),0,VLOOKUP($S$91,'TAR FIN'!$A$1:$O$88,15,0))*(1-0.04)</f>
        <v>43.603200000000001</v>
      </c>
      <c r="W91" s="52">
        <f>IF(ISERROR(VLOOKUP($T$91,'TAR FIN'!$A$1:$O$88,15,0)),0,VLOOKUP($T$91,'TAR FIN'!$A$1:$O$88,15,0))</f>
        <v>0</v>
      </c>
      <c r="X91" s="52">
        <f>IF(ISERROR(VLOOKUP($U$91,'TAR FIN'!$A$1:$O$88,15,0)),0,VLOOKUP($U$91,'TAR FIN'!$A$1:$O$88,15,0))</f>
        <v>0</v>
      </c>
      <c r="Y91" s="52">
        <f ca="1">('TUSD BE'!$AM$10+'TUSD BF'!$AM$10+'TUSD CVA'!$AM$10)*1*(1-0.02)</f>
        <v>50.510684974163915</v>
      </c>
      <c r="Z91" s="52"/>
      <c r="AA91" s="52"/>
      <c r="AB91" s="52">
        <f>(SUBSIDIO!$J$91*SUBSIDIO!$V$91)*(0.04)/(1-0.04)</f>
        <v>32.702400000000004</v>
      </c>
      <c r="AC91" s="52">
        <f>((SUBSIDIO!$L$91*SUBSIDIO!$W$91)+(SUBSIDIO!$N$91*SUBSIDIO!$X$91))*(0.04)/(1-0.04)</f>
        <v>0</v>
      </c>
      <c r="AD91" s="52">
        <f ca="1">(SUBSIDIO!$J$91*SUBSIDIO!$Y$91)*(0.02)/(1-0.02)</f>
        <v>18.554945500713274</v>
      </c>
      <c r="AE91" s="52">
        <f>((SUBSIDIO!$L$91*SUBSIDIO!$Z$91)+(SUBSIDIO!$N$91*SUBSIDIO!$AA$91))*(0.02)/(1-0.02)</f>
        <v>0</v>
      </c>
      <c r="AF91" s="4" t="s">
        <v>561</v>
      </c>
    </row>
    <row r="92" spans="1:32" ht="11.25" customHeight="1" x14ac:dyDescent="0.25">
      <c r="A92" s="4" t="s">
        <v>21</v>
      </c>
      <c r="B92" s="4" t="s">
        <v>35</v>
      </c>
      <c r="C92" s="4" t="s">
        <v>36</v>
      </c>
      <c r="D92" s="4" t="s">
        <v>41</v>
      </c>
      <c r="E92" s="4" t="s">
        <v>49</v>
      </c>
      <c r="F92" s="4" t="s">
        <v>25</v>
      </c>
      <c r="G92" s="4" t="s">
        <v>25</v>
      </c>
      <c r="H92" s="4" t="s">
        <v>25</v>
      </c>
      <c r="I92" s="5">
        <v>44682</v>
      </c>
      <c r="J92" s="6">
        <v>637</v>
      </c>
      <c r="K92" s="52">
        <v>637</v>
      </c>
      <c r="L92" s="6">
        <v>0</v>
      </c>
      <c r="M92" s="52">
        <v>0</v>
      </c>
      <c r="N92" s="6">
        <v>0</v>
      </c>
      <c r="O92" s="52">
        <v>0</v>
      </c>
      <c r="P92" s="6">
        <v>24</v>
      </c>
      <c r="Q92" s="4" t="s">
        <v>26</v>
      </c>
      <c r="R92" s="4">
        <v>0</v>
      </c>
      <c r="S92" s="4">
        <v>11</v>
      </c>
      <c r="T92" s="4">
        <v>0</v>
      </c>
      <c r="U92" s="4">
        <v>0</v>
      </c>
      <c r="V92" s="52">
        <f>IF(ISERROR(VLOOKUP($S$92,'TAR FIN'!$A$1:$O$88,15,0)),0,VLOOKUP($S$92,'TAR FIN'!$A$1:$O$88,15,0))*(1-0.04)</f>
        <v>43.603200000000001</v>
      </c>
      <c r="W92" s="52">
        <f>IF(ISERROR(VLOOKUP($T$92,'TAR FIN'!$A$1:$O$88,15,0)),0,VLOOKUP($T$92,'TAR FIN'!$A$1:$O$88,15,0))</f>
        <v>0</v>
      </c>
      <c r="X92" s="52">
        <f>IF(ISERROR(VLOOKUP($U$92,'TAR FIN'!$A$1:$O$88,15,0)),0,VLOOKUP($U$92,'TAR FIN'!$A$1:$O$88,15,0))</f>
        <v>0</v>
      </c>
      <c r="Y92" s="52">
        <f ca="1">('TUSD BE'!$AM$10+'TUSD BF'!$AM$10+'TUSD CVA'!$AM$10)*1*(1-0.02)</f>
        <v>50.510684974163915</v>
      </c>
      <c r="Z92" s="52"/>
      <c r="AA92" s="52"/>
      <c r="AB92" s="52">
        <f>(SUBSIDIO!$J$92*SUBSIDIO!$V$92)*(0.04)/(1-0.04)</f>
        <v>1157.3016</v>
      </c>
      <c r="AC92" s="52">
        <f>((SUBSIDIO!$L$92*SUBSIDIO!$W$92)+(SUBSIDIO!$N$92*SUBSIDIO!$X$92))*(0.04)/(1-0.04)</f>
        <v>0</v>
      </c>
      <c r="AD92" s="52">
        <f ca="1">(SUBSIDIO!$J$92*SUBSIDIO!$Y$92)*(0.02)/(1-0.02)</f>
        <v>656.63890466413091</v>
      </c>
      <c r="AE92" s="52">
        <f>((SUBSIDIO!$L$92*SUBSIDIO!$Z$92)+(SUBSIDIO!$N$92*SUBSIDIO!$AA$92))*(0.02)/(1-0.02)</f>
        <v>0</v>
      </c>
      <c r="AF92" s="4" t="s">
        <v>561</v>
      </c>
    </row>
    <row r="93" spans="1:32" ht="11.25" customHeight="1" x14ac:dyDescent="0.25">
      <c r="A93" s="4" t="s">
        <v>27</v>
      </c>
      <c r="B93" s="4" t="s">
        <v>35</v>
      </c>
      <c r="C93" s="4" t="s">
        <v>36</v>
      </c>
      <c r="D93" s="4" t="s">
        <v>41</v>
      </c>
      <c r="E93" s="4" t="s">
        <v>49</v>
      </c>
      <c r="F93" s="4" t="s">
        <v>25</v>
      </c>
      <c r="G93" s="4" t="s">
        <v>25</v>
      </c>
      <c r="H93" s="4" t="s">
        <v>25</v>
      </c>
      <c r="I93" s="5">
        <v>44682</v>
      </c>
      <c r="J93" s="6">
        <v>-3781</v>
      </c>
      <c r="K93" s="52">
        <v>-3781</v>
      </c>
      <c r="L93" s="6">
        <v>0</v>
      </c>
      <c r="M93" s="52">
        <v>0</v>
      </c>
      <c r="N93" s="6">
        <v>0</v>
      </c>
      <c r="O93" s="52">
        <v>0</v>
      </c>
      <c r="P93" s="6">
        <v>0</v>
      </c>
      <c r="Q93" s="4" t="s">
        <v>26</v>
      </c>
      <c r="R93" s="4">
        <v>0</v>
      </c>
      <c r="S93" s="4">
        <v>11</v>
      </c>
      <c r="T93" s="4">
        <v>0</v>
      </c>
      <c r="U93" s="4">
        <v>0</v>
      </c>
      <c r="V93" s="52">
        <f>IF(ISERROR(VLOOKUP($S$93,'TAR FIN'!$A$1:$O$88,15,0)),0,VLOOKUP($S$93,'TAR FIN'!$A$1:$O$88,15,0))*(1-0.04)</f>
        <v>43.603200000000001</v>
      </c>
      <c r="W93" s="52">
        <f>IF(ISERROR(VLOOKUP($T$93,'TAR FIN'!$A$1:$O$88,15,0)),0,VLOOKUP($T$93,'TAR FIN'!$A$1:$O$88,15,0))</f>
        <v>0</v>
      </c>
      <c r="X93" s="52">
        <f>IF(ISERROR(VLOOKUP($U$93,'TAR FIN'!$A$1:$O$88,15,0)),0,VLOOKUP($U$93,'TAR FIN'!$A$1:$O$88,15,0))</f>
        <v>0</v>
      </c>
      <c r="Y93" s="52">
        <f ca="1">('TUSD BE'!$AM$10+'TUSD BF'!$AM$10+'TUSD CVA'!$AM$10)*1*(1-0.02)</f>
        <v>50.510684974163915</v>
      </c>
      <c r="Z93" s="52"/>
      <c r="AA93" s="52"/>
      <c r="AB93" s="52">
        <f>(SUBSIDIO!$J$93*SUBSIDIO!$V$93)*(0.04)/(1-0.04)</f>
        <v>-6869.3208000000004</v>
      </c>
      <c r="AC93" s="52">
        <f>((SUBSIDIO!$L$93*SUBSIDIO!$W$93)+(SUBSIDIO!$N$93*SUBSIDIO!$X$93))*(0.04)/(1-0.04)</f>
        <v>0</v>
      </c>
      <c r="AD93" s="52">
        <f ca="1">(SUBSIDIO!$J$93*SUBSIDIO!$Y$93)*(0.02)/(1-0.02)</f>
        <v>-3897.5693854553833</v>
      </c>
      <c r="AE93" s="52">
        <f>((SUBSIDIO!$L$93*SUBSIDIO!$Z$93)+(SUBSIDIO!$N$93*SUBSIDIO!$AA$93))*(0.02)/(1-0.02)</f>
        <v>0</v>
      </c>
      <c r="AF93" s="4" t="s">
        <v>561</v>
      </c>
    </row>
    <row r="94" spans="1:32" ht="11.25" customHeight="1" x14ac:dyDescent="0.25">
      <c r="A94" s="4" t="s">
        <v>28</v>
      </c>
      <c r="B94" s="4" t="s">
        <v>35</v>
      </c>
      <c r="C94" s="4" t="s">
        <v>36</v>
      </c>
      <c r="D94" s="4" t="s">
        <v>41</v>
      </c>
      <c r="E94" s="4" t="s">
        <v>49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44</v>
      </c>
      <c r="K94" s="52">
        <v>44</v>
      </c>
      <c r="L94" s="6">
        <v>0</v>
      </c>
      <c r="M94" s="52">
        <v>0</v>
      </c>
      <c r="N94" s="6">
        <v>0</v>
      </c>
      <c r="O94" s="52">
        <v>0</v>
      </c>
      <c r="P94" s="6">
        <v>3</v>
      </c>
      <c r="Q94" s="4" t="s">
        <v>26</v>
      </c>
      <c r="R94" s="4">
        <v>0</v>
      </c>
      <c r="S94" s="4">
        <v>11</v>
      </c>
      <c r="T94" s="4">
        <v>0</v>
      </c>
      <c r="U94" s="4">
        <v>0</v>
      </c>
      <c r="V94" s="52">
        <f>IF(ISERROR(VLOOKUP($S$94,'TAR FIN'!$A$1:$O$88,15,0)),0,VLOOKUP($S$94,'TAR FIN'!$A$1:$O$88,15,0))*(1-0.04)</f>
        <v>43.603200000000001</v>
      </c>
      <c r="W94" s="52">
        <f>IF(ISERROR(VLOOKUP($T$94,'TAR FIN'!$A$1:$O$88,15,0)),0,VLOOKUP($T$94,'TAR FIN'!$A$1:$O$88,15,0))</f>
        <v>0</v>
      </c>
      <c r="X94" s="52">
        <f>IF(ISERROR(VLOOKUP($U$94,'TAR FIN'!$A$1:$O$88,15,0)),0,VLOOKUP($U$94,'TAR FIN'!$A$1:$O$88,15,0))</f>
        <v>0</v>
      </c>
      <c r="Y94" s="52">
        <f ca="1">('TUSD BE'!$AM$10+'TUSD BF'!$AM$10+'TUSD CVA'!$AM$10)*1*(1-0.02)</f>
        <v>50.510684974163915</v>
      </c>
      <c r="Z94" s="52"/>
      <c r="AA94" s="52"/>
      <c r="AB94" s="52">
        <f>(SUBSIDIO!$J$94*SUBSIDIO!$V$94)*(0.04)/(1-0.04)</f>
        <v>79.9392</v>
      </c>
      <c r="AC94" s="52">
        <f>((SUBSIDIO!$L$94*SUBSIDIO!$W$94)+(SUBSIDIO!$N$94*SUBSIDIO!$X$94))*(0.04)/(1-0.04)</f>
        <v>0</v>
      </c>
      <c r="AD94" s="52">
        <f ca="1">(SUBSIDIO!$J$94*SUBSIDIO!$Y$94)*(0.02)/(1-0.02)</f>
        <v>45.35653344618801</v>
      </c>
      <c r="AE94" s="52">
        <f>((SUBSIDIO!$L$94*SUBSIDIO!$Z$94)+(SUBSIDIO!$N$94*SUBSIDIO!$AA$94))*(0.02)/(1-0.02)</f>
        <v>0</v>
      </c>
      <c r="AF94" s="4" t="s">
        <v>561</v>
      </c>
    </row>
    <row r="95" spans="1:32" ht="11.25" customHeight="1" x14ac:dyDescent="0.25">
      <c r="A95" s="4" t="s">
        <v>21</v>
      </c>
      <c r="B95" s="4" t="s">
        <v>35</v>
      </c>
      <c r="C95" s="4" t="s">
        <v>36</v>
      </c>
      <c r="D95" s="4" t="s">
        <v>41</v>
      </c>
      <c r="E95" s="4" t="s">
        <v>49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803</v>
      </c>
      <c r="K95" s="52">
        <v>803</v>
      </c>
      <c r="L95" s="6">
        <v>0</v>
      </c>
      <c r="M95" s="52">
        <v>0</v>
      </c>
      <c r="N95" s="6">
        <v>0</v>
      </c>
      <c r="O95" s="52">
        <v>0</v>
      </c>
      <c r="P95" s="6">
        <v>24</v>
      </c>
      <c r="Q95" s="4" t="s">
        <v>26</v>
      </c>
      <c r="R95" s="4">
        <v>0</v>
      </c>
      <c r="S95" s="4">
        <v>11</v>
      </c>
      <c r="T95" s="4">
        <v>0</v>
      </c>
      <c r="U95" s="4">
        <v>0</v>
      </c>
      <c r="V95" s="52">
        <f>IF(ISERROR(VLOOKUP($S$95,'TAR FIN'!$A$1:$O$88,15,0)),0,VLOOKUP($S$95,'TAR FIN'!$A$1:$O$88,15,0))*(1-0.04)</f>
        <v>43.603200000000001</v>
      </c>
      <c r="W95" s="52">
        <f>IF(ISERROR(VLOOKUP($T$95,'TAR FIN'!$A$1:$O$88,15,0)),0,VLOOKUP($T$95,'TAR FIN'!$A$1:$O$88,15,0))</f>
        <v>0</v>
      </c>
      <c r="X95" s="52">
        <f>IF(ISERROR(VLOOKUP($U$95,'TAR FIN'!$A$1:$O$88,15,0)),0,VLOOKUP($U$95,'TAR FIN'!$A$1:$O$88,15,0))</f>
        <v>0</v>
      </c>
      <c r="Y95" s="52">
        <f ca="1">('TUSD BE'!$AM$10+'TUSD BF'!$AM$10+'TUSD CVA'!$AM$10)*1*(1-0.02)</f>
        <v>50.510684974163915</v>
      </c>
      <c r="Z95" s="52"/>
      <c r="AA95" s="52"/>
      <c r="AB95" s="52">
        <f>(SUBSIDIO!$J$95*SUBSIDIO!$V$95)*(0.04)/(1-0.04)</f>
        <v>1458.8904</v>
      </c>
      <c r="AC95" s="52">
        <f>((SUBSIDIO!$L$95*SUBSIDIO!$W$95)+(SUBSIDIO!$N$95*SUBSIDIO!$X$95))*(0.04)/(1-0.04)</f>
        <v>0</v>
      </c>
      <c r="AD95" s="52">
        <f ca="1">(SUBSIDIO!$J$95*SUBSIDIO!$Y$95)*(0.02)/(1-0.02)</f>
        <v>827.7567353929312</v>
      </c>
      <c r="AE95" s="52">
        <f>((SUBSIDIO!$L$95*SUBSIDIO!$Z$95)+(SUBSIDIO!$N$95*SUBSIDIO!$AA$95))*(0.02)/(1-0.02)</f>
        <v>0</v>
      </c>
      <c r="AF95" s="4" t="s">
        <v>561</v>
      </c>
    </row>
    <row r="96" spans="1:32" ht="11.25" customHeight="1" x14ac:dyDescent="0.25">
      <c r="A96" s="4" t="s">
        <v>28</v>
      </c>
      <c r="B96" s="4" t="s">
        <v>35</v>
      </c>
      <c r="C96" s="4" t="s">
        <v>36</v>
      </c>
      <c r="D96" s="4" t="s">
        <v>41</v>
      </c>
      <c r="E96" s="4" t="s">
        <v>49</v>
      </c>
      <c r="F96" s="4" t="s">
        <v>25</v>
      </c>
      <c r="G96" s="4" t="s">
        <v>25</v>
      </c>
      <c r="H96" s="4" t="s">
        <v>25</v>
      </c>
      <c r="I96" s="5">
        <v>44713</v>
      </c>
      <c r="J96" s="6">
        <v>18</v>
      </c>
      <c r="K96" s="52">
        <v>18</v>
      </c>
      <c r="L96" s="6">
        <v>0</v>
      </c>
      <c r="M96" s="52">
        <v>0</v>
      </c>
      <c r="N96" s="6">
        <v>0</v>
      </c>
      <c r="O96" s="52">
        <v>0</v>
      </c>
      <c r="P96" s="6">
        <v>2</v>
      </c>
      <c r="Q96" s="4" t="s">
        <v>26</v>
      </c>
      <c r="R96" s="4">
        <v>0</v>
      </c>
      <c r="S96" s="4">
        <v>11</v>
      </c>
      <c r="T96" s="4">
        <v>0</v>
      </c>
      <c r="U96" s="4">
        <v>0</v>
      </c>
      <c r="V96" s="52">
        <f>IF(ISERROR(VLOOKUP($S$96,'TAR FIN'!$A$1:$O$88,15,0)),0,VLOOKUP($S$96,'TAR FIN'!$A$1:$O$88,15,0))*(1-0.04)</f>
        <v>43.603200000000001</v>
      </c>
      <c r="W96" s="52">
        <f>IF(ISERROR(VLOOKUP($T$96,'TAR FIN'!$A$1:$O$88,15,0)),0,VLOOKUP($T$96,'TAR FIN'!$A$1:$O$88,15,0))</f>
        <v>0</v>
      </c>
      <c r="X96" s="52">
        <f>IF(ISERROR(VLOOKUP($U$96,'TAR FIN'!$A$1:$O$88,15,0)),0,VLOOKUP($U$96,'TAR FIN'!$A$1:$O$88,15,0))</f>
        <v>0</v>
      </c>
      <c r="Y96" s="52">
        <f ca="1">('TUSD BE'!$AM$10+'TUSD BF'!$AM$10+'TUSD CVA'!$AM$10)*1*(1-0.02)</f>
        <v>50.510684974163915</v>
      </c>
      <c r="Z96" s="52"/>
      <c r="AA96" s="52"/>
      <c r="AB96" s="52">
        <f>(SUBSIDIO!$J$96*SUBSIDIO!$V$96)*(0.04)/(1-0.04)</f>
        <v>32.702400000000004</v>
      </c>
      <c r="AC96" s="52">
        <f>((SUBSIDIO!$L$96*SUBSIDIO!$W$96)+(SUBSIDIO!$N$96*SUBSIDIO!$X$96))*(0.04)/(1-0.04)</f>
        <v>0</v>
      </c>
      <c r="AD96" s="52">
        <f ca="1">(SUBSIDIO!$J$96*SUBSIDIO!$Y$96)*(0.02)/(1-0.02)</f>
        <v>18.554945500713274</v>
      </c>
      <c r="AE96" s="52">
        <f>((SUBSIDIO!$L$96*SUBSIDIO!$Z$96)+(SUBSIDIO!$N$96*SUBSIDIO!$AA$96))*(0.02)/(1-0.02)</f>
        <v>0</v>
      </c>
      <c r="AF96" s="4" t="s">
        <v>561</v>
      </c>
    </row>
    <row r="97" spans="1:32" ht="11.25" customHeight="1" x14ac:dyDescent="0.25">
      <c r="A97" s="4" t="s">
        <v>21</v>
      </c>
      <c r="B97" s="4" t="s">
        <v>35</v>
      </c>
      <c r="C97" s="4" t="s">
        <v>36</v>
      </c>
      <c r="D97" s="4" t="s">
        <v>41</v>
      </c>
      <c r="E97" s="4" t="s">
        <v>49</v>
      </c>
      <c r="F97" s="4" t="s">
        <v>25</v>
      </c>
      <c r="G97" s="4" t="s">
        <v>25</v>
      </c>
      <c r="H97" s="4" t="s">
        <v>37</v>
      </c>
      <c r="I97" s="5">
        <v>44378</v>
      </c>
      <c r="J97" s="6">
        <v>0</v>
      </c>
      <c r="K97" s="52">
        <v>0</v>
      </c>
      <c r="L97" s="6">
        <v>4.1559999999999997</v>
      </c>
      <c r="M97" s="52">
        <v>4.1559999999999997</v>
      </c>
      <c r="N97" s="6">
        <v>4.1559999999999997</v>
      </c>
      <c r="O97" s="52">
        <v>4.1559999999999997</v>
      </c>
      <c r="P97" s="6">
        <v>0</v>
      </c>
      <c r="Q97" s="4" t="s">
        <v>26</v>
      </c>
      <c r="R97" s="4">
        <v>0</v>
      </c>
      <c r="S97" s="4">
        <v>0</v>
      </c>
      <c r="T97" s="4">
        <v>7</v>
      </c>
      <c r="U97" s="4">
        <v>41</v>
      </c>
      <c r="V97" s="52">
        <f>IF(ISERROR(VLOOKUP($S$97,'TAR FIN'!$A$1:$O$88,15,0)),0,VLOOKUP($S$97,'TAR FIN'!$A$1:$O$88,15,0))</f>
        <v>0</v>
      </c>
      <c r="W97" s="52">
        <f>IF(ISERROR(VLOOKUP($T$97,'TAR FIN'!$A$1:$O$88,15,0)),0,VLOOKUP($T$97,'TAR FIN'!$A$1:$O$88,15,0))*(1-0.04)</f>
        <v>1406.5151999999998</v>
      </c>
      <c r="X97" s="52">
        <f>IF(ISERROR(VLOOKUP($U$97,'TAR FIN'!$A$1:$O$88,15,0)),0,VLOOKUP($U$97,'TAR FIN'!$A$1:$O$88,15,0))*(1-0.04)</f>
        <v>242.13119999999998</v>
      </c>
      <c r="Y97" s="52"/>
      <c r="Z97" s="52">
        <f ca="1">('TUSD BE'!$AM$11+'TUSD BF'!$AM$11+'TUSD CVA'!$AM$11)*1*(1-0.02)</f>
        <v>1619.5733401074451</v>
      </c>
      <c r="AA97" s="52">
        <f>('TE BE'!$AB$5+'TE BF'!$AB$5+'TE CVA'!$AB$5)*1*(1-0.02)</f>
        <v>246.88600565553992</v>
      </c>
      <c r="AB97" s="52">
        <f>(SUBSIDIO!$J$97*SUBSIDIO!$V$97)*(0.04)/(1-0.04)</f>
        <v>0</v>
      </c>
      <c r="AC97" s="52">
        <f>((SUBSIDIO!$L$97*SUBSIDIO!$W$97)+(SUBSIDIO!$N$97*SUBSIDIO!$X$97))*(0.04)/(1-0.04)</f>
        <v>285.49060159999999</v>
      </c>
      <c r="AD97" s="52">
        <f>(SUBSIDIO!$J$97*SUBSIDIO!$Y$97)*(0.02)/(1-0.02)</f>
        <v>0</v>
      </c>
      <c r="AE97" s="52">
        <f ca="1">((SUBSIDIO!$L$97*SUBSIDIO!$Z$97)+(SUBSIDIO!$N$97*SUBSIDIO!$AA$97))*(0.02)/(1-0.02)</f>
        <v>158.30622532634624</v>
      </c>
      <c r="AF97" s="4" t="s">
        <v>561</v>
      </c>
    </row>
    <row r="98" spans="1:32" ht="11.25" customHeight="1" x14ac:dyDescent="0.25">
      <c r="A98" s="4" t="s">
        <v>21</v>
      </c>
      <c r="B98" s="4" t="s">
        <v>35</v>
      </c>
      <c r="C98" s="4" t="s">
        <v>36</v>
      </c>
      <c r="D98" s="4" t="s">
        <v>41</v>
      </c>
      <c r="E98" s="4" t="s">
        <v>49</v>
      </c>
      <c r="F98" s="4" t="s">
        <v>25</v>
      </c>
      <c r="G98" s="4" t="s">
        <v>25</v>
      </c>
      <c r="H98" s="4" t="s">
        <v>37</v>
      </c>
      <c r="I98" s="5">
        <v>44409</v>
      </c>
      <c r="J98" s="6">
        <v>0</v>
      </c>
      <c r="K98" s="52">
        <v>0</v>
      </c>
      <c r="L98" s="6">
        <v>7.4409999999999998</v>
      </c>
      <c r="M98" s="52">
        <v>7.4409999999999998</v>
      </c>
      <c r="N98" s="6">
        <v>7.4409999999999998</v>
      </c>
      <c r="O98" s="52">
        <v>7.4409999999999998</v>
      </c>
      <c r="P98" s="6">
        <v>0</v>
      </c>
      <c r="Q98" s="4" t="s">
        <v>26</v>
      </c>
      <c r="R98" s="4">
        <v>0</v>
      </c>
      <c r="S98" s="4">
        <v>0</v>
      </c>
      <c r="T98" s="4">
        <v>7</v>
      </c>
      <c r="U98" s="4">
        <v>41</v>
      </c>
      <c r="V98" s="52">
        <f>IF(ISERROR(VLOOKUP($S$98,'TAR FIN'!$A$1:$O$88,15,0)),0,VLOOKUP($S$98,'TAR FIN'!$A$1:$O$88,15,0))</f>
        <v>0</v>
      </c>
      <c r="W98" s="52">
        <f>IF(ISERROR(VLOOKUP($T$98,'TAR FIN'!$A$1:$O$88,15,0)),0,VLOOKUP($T$98,'TAR FIN'!$A$1:$O$88,15,0))*(1-0.04)</f>
        <v>1406.5151999999998</v>
      </c>
      <c r="X98" s="52">
        <f>IF(ISERROR(VLOOKUP($U$98,'TAR FIN'!$A$1:$O$88,15,0)),0,VLOOKUP($U$98,'TAR FIN'!$A$1:$O$88,15,0))*(1-0.04)</f>
        <v>242.13119999999998</v>
      </c>
      <c r="Y98" s="52"/>
      <c r="Z98" s="52">
        <f ca="1">('TUSD BE'!$AM$11+'TUSD BF'!$AM$11+'TUSD CVA'!$AM$11)*1*(1-0.02)</f>
        <v>1619.5733401074451</v>
      </c>
      <c r="AA98" s="52">
        <f>('TE BE'!$AB$5+'TE BF'!$AB$5+'TE CVA'!$AB$5)*1*(1-0.02)</f>
        <v>246.88600565553992</v>
      </c>
      <c r="AB98" s="52">
        <f>(SUBSIDIO!$J$98*SUBSIDIO!$V$98)*(0.04)/(1-0.04)</f>
        <v>0</v>
      </c>
      <c r="AC98" s="52">
        <f>((SUBSIDIO!$L$98*SUBSIDIO!$W$98)+(SUBSIDIO!$N$98*SUBSIDIO!$X$98))*(0.04)/(1-0.04)</f>
        <v>511.14907760000006</v>
      </c>
      <c r="AD98" s="52">
        <f>(SUBSIDIO!$J$98*SUBSIDIO!$Y$98)*(0.02)/(1-0.02)</f>
        <v>0</v>
      </c>
      <c r="AE98" s="52">
        <f ca="1">((SUBSIDIO!$L$98*SUBSIDIO!$Z$98)+(SUBSIDIO!$N$98*SUBSIDIO!$AA$98))*(0.02)/(1-0.02)</f>
        <v>283.43518350657905</v>
      </c>
      <c r="AF98" s="4" t="s">
        <v>561</v>
      </c>
    </row>
    <row r="99" spans="1:32" ht="11.25" customHeight="1" x14ac:dyDescent="0.25">
      <c r="A99" s="4" t="s">
        <v>21</v>
      </c>
      <c r="B99" s="4" t="s">
        <v>35</v>
      </c>
      <c r="C99" s="4" t="s">
        <v>36</v>
      </c>
      <c r="D99" s="4" t="s">
        <v>41</v>
      </c>
      <c r="E99" s="4" t="s">
        <v>49</v>
      </c>
      <c r="F99" s="4" t="s">
        <v>25</v>
      </c>
      <c r="G99" s="4" t="s">
        <v>25</v>
      </c>
      <c r="H99" s="4" t="s">
        <v>37</v>
      </c>
      <c r="I99" s="5">
        <v>44440</v>
      </c>
      <c r="J99" s="6">
        <v>0</v>
      </c>
      <c r="K99" s="52">
        <v>0</v>
      </c>
      <c r="L99" s="6">
        <v>5.2210000000000001</v>
      </c>
      <c r="M99" s="52">
        <v>5.2210000000000001</v>
      </c>
      <c r="N99" s="6">
        <v>5.2210000000000001</v>
      </c>
      <c r="O99" s="52">
        <v>5.2210000000000001</v>
      </c>
      <c r="P99" s="6">
        <v>0</v>
      </c>
      <c r="Q99" s="4" t="s">
        <v>26</v>
      </c>
      <c r="R99" s="4">
        <v>0</v>
      </c>
      <c r="S99" s="4">
        <v>0</v>
      </c>
      <c r="T99" s="4">
        <v>7</v>
      </c>
      <c r="U99" s="4">
        <v>41</v>
      </c>
      <c r="V99" s="52">
        <f>IF(ISERROR(VLOOKUP($S$99,'TAR FIN'!$A$1:$O$88,15,0)),0,VLOOKUP($S$99,'TAR FIN'!$A$1:$O$88,15,0))</f>
        <v>0</v>
      </c>
      <c r="W99" s="52">
        <f>IF(ISERROR(VLOOKUP($T$99,'TAR FIN'!$A$1:$O$88,15,0)),0,VLOOKUP($T$99,'TAR FIN'!$A$1:$O$88,15,0))*(1-0.04)</f>
        <v>1406.5151999999998</v>
      </c>
      <c r="X99" s="52">
        <f>IF(ISERROR(VLOOKUP($U$99,'TAR FIN'!$A$1:$O$88,15,0)),0,VLOOKUP($U$99,'TAR FIN'!$A$1:$O$88,15,0))*(1-0.04)</f>
        <v>242.13119999999998</v>
      </c>
      <c r="Y99" s="52"/>
      <c r="Z99" s="52">
        <f ca="1">('TUSD BE'!$AM$11+'TUSD BF'!$AM$11+'TUSD CVA'!$AM$11)*1*(1-0.02)</f>
        <v>1619.5733401074451</v>
      </c>
      <c r="AA99" s="52">
        <f>('TE BE'!$AB$5+'TE BF'!$AB$5+'TE CVA'!$AB$5)*1*(1-0.02)</f>
        <v>246.88600565553992</v>
      </c>
      <c r="AB99" s="52">
        <f>(SUBSIDIO!$J$99*SUBSIDIO!$V$99)*(0.04)/(1-0.04)</f>
        <v>0</v>
      </c>
      <c r="AC99" s="52">
        <f>((SUBSIDIO!$L$99*SUBSIDIO!$W$99)+(SUBSIDIO!$N$99*SUBSIDIO!$X$99))*(0.04)/(1-0.04)</f>
        <v>358.64928560000004</v>
      </c>
      <c r="AD99" s="52">
        <f>(SUBSIDIO!$J$99*SUBSIDIO!$Y$99)*(0.02)/(1-0.02)</f>
        <v>0</v>
      </c>
      <c r="AE99" s="52">
        <f ca="1">((SUBSIDIO!$L$99*SUBSIDIO!$Z$99)+(SUBSIDIO!$N$99*SUBSIDIO!$AA$99))*(0.02)/(1-0.02)</f>
        <v>198.87314784139886</v>
      </c>
      <c r="AF99" s="4" t="s">
        <v>561</v>
      </c>
    </row>
    <row r="100" spans="1:32" ht="11.25" customHeight="1" x14ac:dyDescent="0.25">
      <c r="A100" s="4" t="s">
        <v>21</v>
      </c>
      <c r="B100" s="4" t="s">
        <v>35</v>
      </c>
      <c r="C100" s="4" t="s">
        <v>36</v>
      </c>
      <c r="D100" s="4" t="s">
        <v>41</v>
      </c>
      <c r="E100" s="4" t="s">
        <v>49</v>
      </c>
      <c r="F100" s="4" t="s">
        <v>25</v>
      </c>
      <c r="G100" s="4" t="s">
        <v>25</v>
      </c>
      <c r="H100" s="4" t="s">
        <v>37</v>
      </c>
      <c r="I100" s="5">
        <v>44470</v>
      </c>
      <c r="J100" s="6">
        <v>0</v>
      </c>
      <c r="K100" s="52">
        <v>0</v>
      </c>
      <c r="L100" s="6">
        <v>5.0190000000000001</v>
      </c>
      <c r="M100" s="52">
        <v>5.0190000000000001</v>
      </c>
      <c r="N100" s="6">
        <v>5.0190000000000001</v>
      </c>
      <c r="O100" s="52">
        <v>5.0190000000000001</v>
      </c>
      <c r="P100" s="6">
        <v>0</v>
      </c>
      <c r="Q100" s="4" t="s">
        <v>26</v>
      </c>
      <c r="R100" s="4">
        <v>0</v>
      </c>
      <c r="S100" s="4">
        <v>0</v>
      </c>
      <c r="T100" s="4">
        <v>7</v>
      </c>
      <c r="U100" s="4">
        <v>41</v>
      </c>
      <c r="V100" s="52">
        <f>IF(ISERROR(VLOOKUP($S$100,'TAR FIN'!$A$1:$O$88,15,0)),0,VLOOKUP($S$100,'TAR FIN'!$A$1:$O$88,15,0))</f>
        <v>0</v>
      </c>
      <c r="W100" s="52">
        <f>IF(ISERROR(VLOOKUP($T$100,'TAR FIN'!$A$1:$O$88,15,0)),0,VLOOKUP($T$100,'TAR FIN'!$A$1:$O$88,15,0))*(1-0.04)</f>
        <v>1406.5151999999998</v>
      </c>
      <c r="X100" s="52">
        <f>IF(ISERROR(VLOOKUP($U$100,'TAR FIN'!$A$1:$O$88,15,0)),0,VLOOKUP($U$100,'TAR FIN'!$A$1:$O$88,15,0))*(1-0.04)</f>
        <v>242.13119999999998</v>
      </c>
      <c r="Y100" s="52"/>
      <c r="Z100" s="52">
        <f ca="1">('TUSD BE'!$AM$11+'TUSD BF'!$AM$11+'TUSD CVA'!$AM$11)*1*(1-0.02)</f>
        <v>1619.5733401074451</v>
      </c>
      <c r="AA100" s="52">
        <f>('TE BE'!$AB$5+'TE BF'!$AB$5+'TE CVA'!$AB$5)*1*(1-0.02)</f>
        <v>246.88600565553992</v>
      </c>
      <c r="AB100" s="52">
        <f>(SUBSIDIO!$J$100*SUBSIDIO!$V$100)*(0.04)/(1-0.04)</f>
        <v>0</v>
      </c>
      <c r="AC100" s="52">
        <f>((SUBSIDIO!$L$100*SUBSIDIO!$W$100)+(SUBSIDIO!$N$100*SUBSIDIO!$X$100))*(0.04)/(1-0.04)</f>
        <v>344.77317839999995</v>
      </c>
      <c r="AD100" s="52">
        <f>(SUBSIDIO!$J$100*SUBSIDIO!$Y$100)*(0.02)/(1-0.02)</f>
        <v>0</v>
      </c>
      <c r="AE100" s="52">
        <f ca="1">((SUBSIDIO!$L$100*SUBSIDIO!$Z$100)+(SUBSIDIO!$N$100*SUBSIDIO!$AA$100))*(0.02)/(1-0.02)</f>
        <v>191.17876441600859</v>
      </c>
      <c r="AF100" s="4" t="s">
        <v>561</v>
      </c>
    </row>
    <row r="101" spans="1:32" ht="11.25" customHeight="1" x14ac:dyDescent="0.25">
      <c r="A101" s="4" t="s">
        <v>21</v>
      </c>
      <c r="B101" s="4" t="s">
        <v>35</v>
      </c>
      <c r="C101" s="4" t="s">
        <v>36</v>
      </c>
      <c r="D101" s="4" t="s">
        <v>41</v>
      </c>
      <c r="E101" s="4" t="s">
        <v>49</v>
      </c>
      <c r="F101" s="4" t="s">
        <v>25</v>
      </c>
      <c r="G101" s="4" t="s">
        <v>25</v>
      </c>
      <c r="H101" s="4" t="s">
        <v>37</v>
      </c>
      <c r="I101" s="5">
        <v>44501</v>
      </c>
      <c r="J101" s="6">
        <v>0</v>
      </c>
      <c r="K101" s="52">
        <v>0</v>
      </c>
      <c r="L101" s="6">
        <v>34.173000000000002</v>
      </c>
      <c r="M101" s="52">
        <v>34.173000000000002</v>
      </c>
      <c r="N101" s="6">
        <v>34.173000000000002</v>
      </c>
      <c r="O101" s="52">
        <v>34.173000000000002</v>
      </c>
      <c r="P101" s="6">
        <v>0</v>
      </c>
      <c r="Q101" s="4" t="s">
        <v>26</v>
      </c>
      <c r="R101" s="4">
        <v>0</v>
      </c>
      <c r="S101" s="4">
        <v>0</v>
      </c>
      <c r="T101" s="4">
        <v>7</v>
      </c>
      <c r="U101" s="4">
        <v>41</v>
      </c>
      <c r="V101" s="52">
        <f>IF(ISERROR(VLOOKUP($S$101,'TAR FIN'!$A$1:$O$88,15,0)),0,VLOOKUP($S$101,'TAR FIN'!$A$1:$O$88,15,0))</f>
        <v>0</v>
      </c>
      <c r="W101" s="52">
        <f>IF(ISERROR(VLOOKUP($T$101,'TAR FIN'!$A$1:$O$88,15,0)),0,VLOOKUP($T$101,'TAR FIN'!$A$1:$O$88,15,0))*(1-0.04)</f>
        <v>1406.5151999999998</v>
      </c>
      <c r="X101" s="52">
        <f>IF(ISERROR(VLOOKUP($U$101,'TAR FIN'!$A$1:$O$88,15,0)),0,VLOOKUP($U$101,'TAR FIN'!$A$1:$O$88,15,0))*(1-0.04)</f>
        <v>242.13119999999998</v>
      </c>
      <c r="Y101" s="52"/>
      <c r="Z101" s="52">
        <f ca="1">('TUSD BE'!$AM$11+'TUSD BF'!$AM$11+'TUSD CVA'!$AM$11)*1*(1-0.02)</f>
        <v>1619.5733401074451</v>
      </c>
      <c r="AA101" s="52">
        <f>('TE BE'!$AB$5+'TE BF'!$AB$5+'TE CVA'!$AB$5)*1*(1-0.02)</f>
        <v>246.88600565553992</v>
      </c>
      <c r="AB101" s="52">
        <f>(SUBSIDIO!$J$101*SUBSIDIO!$V$101)*(0.04)/(1-0.04)</f>
        <v>0</v>
      </c>
      <c r="AC101" s="52">
        <f>((SUBSIDIO!$L$101*SUBSIDIO!$W$101)+(SUBSIDIO!$N$101*SUBSIDIO!$X$101))*(0.04)/(1-0.04)</f>
        <v>2347.4663928</v>
      </c>
      <c r="AD101" s="52">
        <f>(SUBSIDIO!$J$101*SUBSIDIO!$Y$101)*(0.02)/(1-0.02)</f>
        <v>0</v>
      </c>
      <c r="AE101" s="52">
        <f ca="1">((SUBSIDIO!$L$101*SUBSIDIO!$Z$101)+(SUBSIDIO!$N$101*SUBSIDIO!$AA$101))*(0.02)/(1-0.02)</f>
        <v>1301.6839841379285</v>
      </c>
      <c r="AF101" s="4" t="s">
        <v>561</v>
      </c>
    </row>
    <row r="102" spans="1:32" ht="11.25" customHeight="1" x14ac:dyDescent="0.25">
      <c r="A102" s="4" t="s">
        <v>21</v>
      </c>
      <c r="B102" s="4" t="s">
        <v>35</v>
      </c>
      <c r="C102" s="4" t="s">
        <v>36</v>
      </c>
      <c r="D102" s="4" t="s">
        <v>41</v>
      </c>
      <c r="E102" s="4" t="s">
        <v>49</v>
      </c>
      <c r="F102" s="4" t="s">
        <v>25</v>
      </c>
      <c r="G102" s="4" t="s">
        <v>25</v>
      </c>
      <c r="H102" s="4" t="s">
        <v>37</v>
      </c>
      <c r="I102" s="5">
        <v>44531</v>
      </c>
      <c r="J102" s="6">
        <v>0</v>
      </c>
      <c r="K102" s="52">
        <v>0</v>
      </c>
      <c r="L102" s="6">
        <v>58.46</v>
      </c>
      <c r="M102" s="52">
        <v>58.46</v>
      </c>
      <c r="N102" s="6">
        <v>58.46</v>
      </c>
      <c r="O102" s="52">
        <v>58.46</v>
      </c>
      <c r="P102" s="6">
        <v>0</v>
      </c>
      <c r="Q102" s="4" t="s">
        <v>26</v>
      </c>
      <c r="R102" s="4">
        <v>0</v>
      </c>
      <c r="S102" s="4">
        <v>0</v>
      </c>
      <c r="T102" s="4">
        <v>7</v>
      </c>
      <c r="U102" s="4">
        <v>41</v>
      </c>
      <c r="V102" s="52">
        <f>IF(ISERROR(VLOOKUP($S$102,'TAR FIN'!$A$1:$O$88,15,0)),0,VLOOKUP($S$102,'TAR FIN'!$A$1:$O$88,15,0))</f>
        <v>0</v>
      </c>
      <c r="W102" s="52">
        <f>IF(ISERROR(VLOOKUP($T$102,'TAR FIN'!$A$1:$O$88,15,0)),0,VLOOKUP($T$102,'TAR FIN'!$A$1:$O$88,15,0))*(1-0.04)</f>
        <v>1406.5151999999998</v>
      </c>
      <c r="X102" s="52">
        <f>IF(ISERROR(VLOOKUP($U$102,'TAR FIN'!$A$1:$O$88,15,0)),0,VLOOKUP($U$102,'TAR FIN'!$A$1:$O$88,15,0))*(1-0.04)</f>
        <v>242.13119999999998</v>
      </c>
      <c r="Y102" s="52"/>
      <c r="Z102" s="52">
        <f ca="1">('TUSD BE'!$AM$11+'TUSD BF'!$AM$11+'TUSD CVA'!$AM$11)*1*(1-0.02)</f>
        <v>1619.5733401074451</v>
      </c>
      <c r="AA102" s="52">
        <f>('TE BE'!$AB$5+'TE BF'!$AB$5+'TE CVA'!$AB$5)*1*(1-0.02)</f>
        <v>246.88600565553992</v>
      </c>
      <c r="AB102" s="52">
        <f>(SUBSIDIO!$J$102*SUBSIDIO!$V$102)*(0.04)/(1-0.04)</f>
        <v>0</v>
      </c>
      <c r="AC102" s="52">
        <f>((SUBSIDIO!$L$102*SUBSIDIO!$W$102)+(SUBSIDIO!$N$102*SUBSIDIO!$X$102))*(0.04)/(1-0.04)</f>
        <v>4015.8278559999999</v>
      </c>
      <c r="AD102" s="52">
        <f>(SUBSIDIO!$J$102*SUBSIDIO!$Y$102)*(0.02)/(1-0.02)</f>
        <v>0</v>
      </c>
      <c r="AE102" s="52">
        <f ca="1">((SUBSIDIO!$L$102*SUBSIDIO!$Z$102)+(SUBSIDIO!$N$102*SUBSIDIO!$AA$102))*(0.02)/(1-0.02)</f>
        <v>2226.8002725164101</v>
      </c>
      <c r="AF102" s="4" t="s">
        <v>561</v>
      </c>
    </row>
    <row r="103" spans="1:32" ht="11.25" customHeight="1" x14ac:dyDescent="0.25">
      <c r="A103" s="4" t="s">
        <v>21</v>
      </c>
      <c r="B103" s="4" t="s">
        <v>35</v>
      </c>
      <c r="C103" s="4" t="s">
        <v>36</v>
      </c>
      <c r="D103" s="4" t="s">
        <v>41</v>
      </c>
      <c r="E103" s="4" t="s">
        <v>49</v>
      </c>
      <c r="F103" s="4" t="s">
        <v>25</v>
      </c>
      <c r="G103" s="4" t="s">
        <v>25</v>
      </c>
      <c r="H103" s="4" t="s">
        <v>37</v>
      </c>
      <c r="I103" s="5">
        <v>44562</v>
      </c>
      <c r="J103" s="6">
        <v>0</v>
      </c>
      <c r="K103" s="52">
        <v>0</v>
      </c>
      <c r="L103" s="6">
        <v>78.616</v>
      </c>
      <c r="M103" s="52">
        <v>78.616</v>
      </c>
      <c r="N103" s="6">
        <v>78.616</v>
      </c>
      <c r="O103" s="52">
        <v>78.616</v>
      </c>
      <c r="P103" s="6">
        <v>0</v>
      </c>
      <c r="Q103" s="4" t="s">
        <v>26</v>
      </c>
      <c r="R103" s="4">
        <v>0</v>
      </c>
      <c r="S103" s="4">
        <v>0</v>
      </c>
      <c r="T103" s="4">
        <v>7</v>
      </c>
      <c r="U103" s="4">
        <v>41</v>
      </c>
      <c r="V103" s="52">
        <f>IF(ISERROR(VLOOKUP($S$103,'TAR FIN'!$A$1:$O$88,15,0)),0,VLOOKUP($S$103,'TAR FIN'!$A$1:$O$88,15,0))</f>
        <v>0</v>
      </c>
      <c r="W103" s="52">
        <f>IF(ISERROR(VLOOKUP($T$103,'TAR FIN'!$A$1:$O$88,15,0)),0,VLOOKUP($T$103,'TAR FIN'!$A$1:$O$88,15,0))*(1-0.04)</f>
        <v>1406.5151999999998</v>
      </c>
      <c r="X103" s="52">
        <f>IF(ISERROR(VLOOKUP($U$103,'TAR FIN'!$A$1:$O$88,15,0)),0,VLOOKUP($U$103,'TAR FIN'!$A$1:$O$88,15,0))*(1-0.04)</f>
        <v>242.13119999999998</v>
      </c>
      <c r="Y103" s="52"/>
      <c r="Z103" s="52">
        <f ca="1">('TUSD BE'!$AM$11+'TUSD BF'!$AM$11+'TUSD CVA'!$AM$11)*1*(1-0.02)</f>
        <v>1619.5733401074451</v>
      </c>
      <c r="AA103" s="52">
        <f>('TE BE'!$AB$5+'TE BF'!$AB$5+'TE CVA'!$AB$5)*1*(1-0.02)</f>
        <v>246.88600565553992</v>
      </c>
      <c r="AB103" s="52">
        <f>(SUBSIDIO!$J$103*SUBSIDIO!$V$103)*(0.04)/(1-0.04)</f>
        <v>0</v>
      </c>
      <c r="AC103" s="52">
        <f>((SUBSIDIO!$L$103*SUBSIDIO!$W$103)+(SUBSIDIO!$N$103*SUBSIDIO!$X$103))*(0.04)/(1-0.04)</f>
        <v>5400.4160575999995</v>
      </c>
      <c r="AD103" s="52">
        <f>(SUBSIDIO!$J$103*SUBSIDIO!$Y$103)*(0.02)/(1-0.02)</f>
        <v>0</v>
      </c>
      <c r="AE103" s="52">
        <f ca="1">((SUBSIDIO!$L$103*SUBSIDIO!$Z$103)+(SUBSIDIO!$N$103*SUBSIDIO!$AA$103))*(0.02)/(1-0.02)</f>
        <v>2994.5626107449552</v>
      </c>
      <c r="AF103" s="4" t="s">
        <v>561</v>
      </c>
    </row>
    <row r="104" spans="1:32" ht="11.25" customHeight="1" x14ac:dyDescent="0.25">
      <c r="A104" s="4" t="s">
        <v>21</v>
      </c>
      <c r="B104" s="4" t="s">
        <v>35</v>
      </c>
      <c r="C104" s="4" t="s">
        <v>36</v>
      </c>
      <c r="D104" s="4" t="s">
        <v>41</v>
      </c>
      <c r="E104" s="4" t="s">
        <v>49</v>
      </c>
      <c r="F104" s="4" t="s">
        <v>25</v>
      </c>
      <c r="G104" s="4" t="s">
        <v>25</v>
      </c>
      <c r="H104" s="4" t="s">
        <v>37</v>
      </c>
      <c r="I104" s="5">
        <v>44593</v>
      </c>
      <c r="J104" s="6">
        <v>0</v>
      </c>
      <c r="K104" s="52">
        <v>0</v>
      </c>
      <c r="L104" s="6">
        <v>51.834000000000003</v>
      </c>
      <c r="M104" s="52">
        <v>51.834000000000003</v>
      </c>
      <c r="N104" s="6">
        <v>51.834000000000003</v>
      </c>
      <c r="O104" s="52">
        <v>51.834000000000003</v>
      </c>
      <c r="P104" s="6">
        <v>0</v>
      </c>
      <c r="Q104" s="4" t="s">
        <v>26</v>
      </c>
      <c r="R104" s="4">
        <v>0</v>
      </c>
      <c r="S104" s="4">
        <v>0</v>
      </c>
      <c r="T104" s="4">
        <v>7</v>
      </c>
      <c r="U104" s="4">
        <v>41</v>
      </c>
      <c r="V104" s="52">
        <f>IF(ISERROR(VLOOKUP($S$104,'TAR FIN'!$A$1:$O$88,15,0)),0,VLOOKUP($S$104,'TAR FIN'!$A$1:$O$88,15,0))</f>
        <v>0</v>
      </c>
      <c r="W104" s="52">
        <f>IF(ISERROR(VLOOKUP($T$104,'TAR FIN'!$A$1:$O$88,15,0)),0,VLOOKUP($T$104,'TAR FIN'!$A$1:$O$88,15,0))*(1-0.04)</f>
        <v>1406.5151999999998</v>
      </c>
      <c r="X104" s="52">
        <f>IF(ISERROR(VLOOKUP($U$104,'TAR FIN'!$A$1:$O$88,15,0)),0,VLOOKUP($U$104,'TAR FIN'!$A$1:$O$88,15,0))*(1-0.04)</f>
        <v>242.13119999999998</v>
      </c>
      <c r="Y104" s="52"/>
      <c r="Z104" s="52">
        <f ca="1">('TUSD BE'!$AM$11+'TUSD BF'!$AM$11+'TUSD CVA'!$AM$11)*1*(1-0.02)</f>
        <v>1619.5733401074451</v>
      </c>
      <c r="AA104" s="52">
        <f>('TE BE'!$AB$5+'TE BF'!$AB$5+'TE CVA'!$AB$5)*1*(1-0.02)</f>
        <v>246.88600565553992</v>
      </c>
      <c r="AB104" s="52">
        <f>(SUBSIDIO!$J$104*SUBSIDIO!$V$104)*(0.04)/(1-0.04)</f>
        <v>0</v>
      </c>
      <c r="AC104" s="52">
        <f>((SUBSIDIO!$L$104*SUBSIDIO!$W$104)+(SUBSIDIO!$N$104*SUBSIDIO!$X$104))*(0.04)/(1-0.04)</f>
        <v>3560.6640624000001</v>
      </c>
      <c r="AD104" s="52">
        <f>(SUBSIDIO!$J$104*SUBSIDIO!$Y$104)*(0.02)/(1-0.02)</f>
        <v>0</v>
      </c>
      <c r="AE104" s="52">
        <f ca="1">((SUBSIDIO!$L$104*SUBSIDIO!$Z$104)+(SUBSIDIO!$N$104*SUBSIDIO!$AA$104))*(0.02)/(1-0.02)</f>
        <v>1974.4092597607873</v>
      </c>
      <c r="AF104" s="4" t="s">
        <v>561</v>
      </c>
    </row>
    <row r="105" spans="1:32" ht="11.25" customHeight="1" x14ac:dyDescent="0.25">
      <c r="A105" s="4" t="s">
        <v>28</v>
      </c>
      <c r="B105" s="4" t="s">
        <v>35</v>
      </c>
      <c r="C105" s="4" t="s">
        <v>36</v>
      </c>
      <c r="D105" s="4" t="s">
        <v>41</v>
      </c>
      <c r="E105" s="4" t="s">
        <v>49</v>
      </c>
      <c r="F105" s="4" t="s">
        <v>25</v>
      </c>
      <c r="G105" s="4" t="s">
        <v>25</v>
      </c>
      <c r="H105" s="4" t="s">
        <v>37</v>
      </c>
      <c r="I105" s="5">
        <v>44593</v>
      </c>
      <c r="J105" s="6">
        <v>0</v>
      </c>
      <c r="K105" s="52">
        <v>0</v>
      </c>
      <c r="L105" s="6">
        <v>5.7590000000000003</v>
      </c>
      <c r="M105" s="52">
        <v>5.7590000000000003</v>
      </c>
      <c r="N105" s="6">
        <v>5.7590000000000003</v>
      </c>
      <c r="O105" s="52">
        <v>5.7590000000000003</v>
      </c>
      <c r="P105" s="6">
        <v>0</v>
      </c>
      <c r="Q105" s="4" t="s">
        <v>26</v>
      </c>
      <c r="R105" s="4">
        <v>0</v>
      </c>
      <c r="S105" s="4">
        <v>0</v>
      </c>
      <c r="T105" s="4">
        <v>7</v>
      </c>
      <c r="U105" s="4">
        <v>41</v>
      </c>
      <c r="V105" s="52">
        <f>IF(ISERROR(VLOOKUP($S$105,'TAR FIN'!$A$1:$O$88,15,0)),0,VLOOKUP($S$105,'TAR FIN'!$A$1:$O$88,15,0))</f>
        <v>0</v>
      </c>
      <c r="W105" s="52">
        <f>IF(ISERROR(VLOOKUP($T$105,'TAR FIN'!$A$1:$O$88,15,0)),0,VLOOKUP($T$105,'TAR FIN'!$A$1:$O$88,15,0))*(1-0.04)</f>
        <v>1406.5151999999998</v>
      </c>
      <c r="X105" s="52">
        <f>IF(ISERROR(VLOOKUP($U$105,'TAR FIN'!$A$1:$O$88,15,0)),0,VLOOKUP($U$105,'TAR FIN'!$A$1:$O$88,15,0))*(1-0.04)</f>
        <v>242.13119999999998</v>
      </c>
      <c r="Y105" s="52"/>
      <c r="Z105" s="52">
        <f ca="1">('TUSD BE'!$AM$11+'TUSD BF'!$AM$11+'TUSD CVA'!$AM$11)*1*(1-0.02)</f>
        <v>1619.5733401074451</v>
      </c>
      <c r="AA105" s="52">
        <f>('TE BE'!$AB$5+'TE BF'!$AB$5+'TE CVA'!$AB$5)*1*(1-0.02)</f>
        <v>246.88600565553992</v>
      </c>
      <c r="AB105" s="52">
        <f>(SUBSIDIO!$J$105*SUBSIDIO!$V$105)*(0.04)/(1-0.04)</f>
        <v>0</v>
      </c>
      <c r="AC105" s="52">
        <f>((SUBSIDIO!$L$105*SUBSIDIO!$W$105)+(SUBSIDIO!$N$105*SUBSIDIO!$X$105))*(0.04)/(1-0.04)</f>
        <v>395.60644239999999</v>
      </c>
      <c r="AD105" s="52">
        <f>(SUBSIDIO!$J$105*SUBSIDIO!$Y$105)*(0.02)/(1-0.02)</f>
        <v>0</v>
      </c>
      <c r="AE105" s="52">
        <f ca="1">((SUBSIDIO!$L$105*SUBSIDIO!$Z$105)+(SUBSIDIO!$N$105*SUBSIDIO!$AA$105))*(0.02)/(1-0.02)</f>
        <v>219.36610963773535</v>
      </c>
      <c r="AF105" s="4" t="s">
        <v>561</v>
      </c>
    </row>
    <row r="106" spans="1:32" ht="11.25" customHeight="1" x14ac:dyDescent="0.25">
      <c r="A106" s="4" t="s">
        <v>21</v>
      </c>
      <c r="B106" s="4" t="s">
        <v>35</v>
      </c>
      <c r="C106" s="4" t="s">
        <v>36</v>
      </c>
      <c r="D106" s="4" t="s">
        <v>41</v>
      </c>
      <c r="E106" s="4" t="s">
        <v>49</v>
      </c>
      <c r="F106" s="4" t="s">
        <v>25</v>
      </c>
      <c r="G106" s="4" t="s">
        <v>25</v>
      </c>
      <c r="H106" s="4" t="s">
        <v>37</v>
      </c>
      <c r="I106" s="5">
        <v>44621</v>
      </c>
      <c r="J106" s="6">
        <v>0</v>
      </c>
      <c r="K106" s="52">
        <v>0</v>
      </c>
      <c r="L106" s="6">
        <v>22.794</v>
      </c>
      <c r="M106" s="52">
        <v>22.794</v>
      </c>
      <c r="N106" s="6">
        <v>22.794</v>
      </c>
      <c r="O106" s="52">
        <v>22.794</v>
      </c>
      <c r="P106" s="6">
        <v>0</v>
      </c>
      <c r="Q106" s="4" t="s">
        <v>26</v>
      </c>
      <c r="R106" s="4">
        <v>0</v>
      </c>
      <c r="S106" s="4">
        <v>0</v>
      </c>
      <c r="T106" s="4">
        <v>7</v>
      </c>
      <c r="U106" s="4">
        <v>41</v>
      </c>
      <c r="V106" s="52">
        <f>IF(ISERROR(VLOOKUP($S$106,'TAR FIN'!$A$1:$O$88,15,0)),0,VLOOKUP($S$106,'TAR FIN'!$A$1:$O$88,15,0))</f>
        <v>0</v>
      </c>
      <c r="W106" s="52">
        <f>IF(ISERROR(VLOOKUP($T$106,'TAR FIN'!$A$1:$O$88,15,0)),0,VLOOKUP($T$106,'TAR FIN'!$A$1:$O$88,15,0))*(1-0.04)</f>
        <v>1406.5151999999998</v>
      </c>
      <c r="X106" s="52">
        <f>IF(ISERROR(VLOOKUP($U$106,'TAR FIN'!$A$1:$O$88,15,0)),0,VLOOKUP($U$106,'TAR FIN'!$A$1:$O$88,15,0))*(1-0.04)</f>
        <v>242.13119999999998</v>
      </c>
      <c r="Y106" s="52"/>
      <c r="Z106" s="52">
        <f ca="1">('TUSD BE'!$AM$11+'TUSD BF'!$AM$11+'TUSD CVA'!$AM$11)*1*(1-0.02)</f>
        <v>1619.5733401074451</v>
      </c>
      <c r="AA106" s="52">
        <f>('TE BE'!$AB$5+'TE BF'!$AB$5+'TE CVA'!$AB$5)*1*(1-0.02)</f>
        <v>246.88600565553992</v>
      </c>
      <c r="AB106" s="52">
        <f>(SUBSIDIO!$J$106*SUBSIDIO!$V$106)*(0.04)/(1-0.04)</f>
        <v>0</v>
      </c>
      <c r="AC106" s="52">
        <f>((SUBSIDIO!$L$106*SUBSIDIO!$W$106)+(SUBSIDIO!$N$106*SUBSIDIO!$X$106))*(0.04)/(1-0.04)</f>
        <v>1565.8019184</v>
      </c>
      <c r="AD106" s="52">
        <f>(SUBSIDIO!$J$106*SUBSIDIO!$Y$106)*(0.02)/(1-0.02)</f>
        <v>0</v>
      </c>
      <c r="AE106" s="52">
        <f ca="1">((SUBSIDIO!$L$106*SUBSIDIO!$Z$106)+(SUBSIDIO!$N$106*SUBSIDIO!$AA$106))*(0.02)/(1-0.02)</f>
        <v>868.24641484329561</v>
      </c>
      <c r="AF106" s="4" t="s">
        <v>561</v>
      </c>
    </row>
    <row r="107" spans="1:32" ht="11.25" customHeight="1" x14ac:dyDescent="0.25">
      <c r="A107" s="4" t="s">
        <v>21</v>
      </c>
      <c r="B107" s="4" t="s">
        <v>35</v>
      </c>
      <c r="C107" s="4" t="s">
        <v>36</v>
      </c>
      <c r="D107" s="4" t="s">
        <v>41</v>
      </c>
      <c r="E107" s="4" t="s">
        <v>49</v>
      </c>
      <c r="F107" s="4" t="s">
        <v>25</v>
      </c>
      <c r="G107" s="4" t="s">
        <v>25</v>
      </c>
      <c r="H107" s="4" t="s">
        <v>37</v>
      </c>
      <c r="I107" s="5">
        <v>44652</v>
      </c>
      <c r="J107" s="6">
        <v>0</v>
      </c>
      <c r="K107" s="52">
        <v>0</v>
      </c>
      <c r="L107" s="6">
        <v>5.7729999999999997</v>
      </c>
      <c r="M107" s="52">
        <v>5.7729999999999997</v>
      </c>
      <c r="N107" s="6">
        <v>5.7729999999999997</v>
      </c>
      <c r="O107" s="52">
        <v>5.7729999999999997</v>
      </c>
      <c r="P107" s="6">
        <v>0</v>
      </c>
      <c r="Q107" s="4" t="s">
        <v>26</v>
      </c>
      <c r="R107" s="4">
        <v>0</v>
      </c>
      <c r="S107" s="4">
        <v>0</v>
      </c>
      <c r="T107" s="4">
        <v>7</v>
      </c>
      <c r="U107" s="4">
        <v>41</v>
      </c>
      <c r="V107" s="52">
        <f>IF(ISERROR(VLOOKUP($S$107,'TAR FIN'!$A$1:$O$88,15,0)),0,VLOOKUP($S$107,'TAR FIN'!$A$1:$O$88,15,0))</f>
        <v>0</v>
      </c>
      <c r="W107" s="52">
        <f>IF(ISERROR(VLOOKUP($T$107,'TAR FIN'!$A$1:$O$88,15,0)),0,VLOOKUP($T$107,'TAR FIN'!$A$1:$O$88,15,0))*(1-0.04)</f>
        <v>1406.5151999999998</v>
      </c>
      <c r="X107" s="52">
        <f>IF(ISERROR(VLOOKUP($U$107,'TAR FIN'!$A$1:$O$88,15,0)),0,VLOOKUP($U$107,'TAR FIN'!$A$1:$O$88,15,0))*(1-0.04)</f>
        <v>242.13119999999998</v>
      </c>
      <c r="Y107" s="52"/>
      <c r="Z107" s="52">
        <f ca="1">('TUSD BE'!$AM$11+'TUSD BF'!$AM$11+'TUSD CVA'!$AM$11)*1*(1-0.02)</f>
        <v>1619.5733401074451</v>
      </c>
      <c r="AA107" s="52">
        <f>('TE BE'!$AB$5+'TE BF'!$AB$5+'TE CVA'!$AB$5)*1*(1-0.02)</f>
        <v>246.88600565553992</v>
      </c>
      <c r="AB107" s="52">
        <f>(SUBSIDIO!$J$107*SUBSIDIO!$V$107)*(0.04)/(1-0.04)</f>
        <v>0</v>
      </c>
      <c r="AC107" s="52">
        <f>((SUBSIDIO!$L$107*SUBSIDIO!$W$107)+(SUBSIDIO!$N$107*SUBSIDIO!$X$107))*(0.04)/(1-0.04)</f>
        <v>396.56815279999995</v>
      </c>
      <c r="AD107" s="52">
        <f>(SUBSIDIO!$J$107*SUBSIDIO!$Y$107)*(0.02)/(1-0.02)</f>
        <v>0</v>
      </c>
      <c r="AE107" s="52">
        <f ca="1">((SUBSIDIO!$L$107*SUBSIDIO!$Z$107)+(SUBSIDIO!$N$107*SUBSIDIO!$AA$107))*(0.02)/(1-0.02)</f>
        <v>219.89938373652473</v>
      </c>
      <c r="AF107" s="4" t="s">
        <v>561</v>
      </c>
    </row>
    <row r="108" spans="1:32" ht="11.25" customHeight="1" x14ac:dyDescent="0.25">
      <c r="A108" s="4" t="s">
        <v>21</v>
      </c>
      <c r="B108" s="4" t="s">
        <v>35</v>
      </c>
      <c r="C108" s="4" t="s">
        <v>36</v>
      </c>
      <c r="D108" s="4" t="s">
        <v>41</v>
      </c>
      <c r="E108" s="4" t="s">
        <v>49</v>
      </c>
      <c r="F108" s="4" t="s">
        <v>25</v>
      </c>
      <c r="G108" s="4" t="s">
        <v>25</v>
      </c>
      <c r="H108" s="4" t="s">
        <v>37</v>
      </c>
      <c r="I108" s="5">
        <v>44682</v>
      </c>
      <c r="J108" s="6">
        <v>0</v>
      </c>
      <c r="K108" s="52">
        <v>0</v>
      </c>
      <c r="L108" s="6">
        <v>5.4539999999999997</v>
      </c>
      <c r="M108" s="52">
        <v>5.4539999999999997</v>
      </c>
      <c r="N108" s="6">
        <v>5.4539999999999997</v>
      </c>
      <c r="O108" s="52">
        <v>5.4539999999999997</v>
      </c>
      <c r="P108" s="6">
        <v>0</v>
      </c>
      <c r="Q108" s="4" t="s">
        <v>26</v>
      </c>
      <c r="R108" s="4">
        <v>0</v>
      </c>
      <c r="S108" s="4">
        <v>0</v>
      </c>
      <c r="T108" s="4">
        <v>7</v>
      </c>
      <c r="U108" s="4">
        <v>41</v>
      </c>
      <c r="V108" s="52">
        <f>IF(ISERROR(VLOOKUP($S$108,'TAR FIN'!$A$1:$O$88,15,0)),0,VLOOKUP($S$108,'TAR FIN'!$A$1:$O$88,15,0))</f>
        <v>0</v>
      </c>
      <c r="W108" s="52">
        <f>IF(ISERROR(VLOOKUP($T$108,'TAR FIN'!$A$1:$O$88,15,0)),0,VLOOKUP($T$108,'TAR FIN'!$A$1:$O$88,15,0))*(1-0.04)</f>
        <v>1406.5151999999998</v>
      </c>
      <c r="X108" s="52">
        <f>IF(ISERROR(VLOOKUP($U$108,'TAR FIN'!$A$1:$O$88,15,0)),0,VLOOKUP($U$108,'TAR FIN'!$A$1:$O$88,15,0))*(1-0.04)</f>
        <v>242.13119999999998</v>
      </c>
      <c r="Y108" s="52"/>
      <c r="Z108" s="52">
        <f ca="1">('TUSD BE'!$AM$11+'TUSD BF'!$AM$11+'TUSD CVA'!$AM$11)*1*(1-0.02)</f>
        <v>1619.5733401074451</v>
      </c>
      <c r="AA108" s="52">
        <f>('TE BE'!$AB$5+'TE BF'!$AB$5+'TE CVA'!$AB$5)*1*(1-0.02)</f>
        <v>246.88600565553992</v>
      </c>
      <c r="AB108" s="52">
        <f>(SUBSIDIO!$J$108*SUBSIDIO!$V$108)*(0.04)/(1-0.04)</f>
        <v>0</v>
      </c>
      <c r="AC108" s="52">
        <f>((SUBSIDIO!$L$108*SUBSIDIO!$W$108)+(SUBSIDIO!$N$108*SUBSIDIO!$X$108))*(0.04)/(1-0.04)</f>
        <v>374.65489439999993</v>
      </c>
      <c r="AD108" s="52">
        <f>(SUBSIDIO!$J$108*SUBSIDIO!$Y$108)*(0.02)/(1-0.02)</f>
        <v>0</v>
      </c>
      <c r="AE108" s="52">
        <f ca="1">((SUBSIDIO!$L$108*SUBSIDIO!$Z$108)+(SUBSIDIO!$N$108*SUBSIDIO!$AA$108))*(0.02)/(1-0.02)</f>
        <v>207.74835248553711</v>
      </c>
      <c r="AF108" s="4" t="s">
        <v>561</v>
      </c>
    </row>
    <row r="109" spans="1:32" ht="11.25" customHeight="1" x14ac:dyDescent="0.25">
      <c r="A109" s="4" t="s">
        <v>21</v>
      </c>
      <c r="B109" s="4" t="s">
        <v>35</v>
      </c>
      <c r="C109" s="4" t="s">
        <v>36</v>
      </c>
      <c r="D109" s="4" t="s">
        <v>41</v>
      </c>
      <c r="E109" s="4" t="s">
        <v>49</v>
      </c>
      <c r="F109" s="4" t="s">
        <v>25</v>
      </c>
      <c r="G109" s="4" t="s">
        <v>25</v>
      </c>
      <c r="H109" s="4" t="s">
        <v>37</v>
      </c>
      <c r="I109" s="5">
        <v>44713</v>
      </c>
      <c r="J109" s="6">
        <v>0</v>
      </c>
      <c r="K109" s="52">
        <v>0</v>
      </c>
      <c r="L109" s="6">
        <v>3.14</v>
      </c>
      <c r="M109" s="52">
        <v>3.14</v>
      </c>
      <c r="N109" s="6">
        <v>3.14</v>
      </c>
      <c r="O109" s="52">
        <v>3.14</v>
      </c>
      <c r="P109" s="6">
        <v>0</v>
      </c>
      <c r="Q109" s="4" t="s">
        <v>26</v>
      </c>
      <c r="R109" s="4">
        <v>0</v>
      </c>
      <c r="S109" s="4">
        <v>0</v>
      </c>
      <c r="T109" s="4">
        <v>7</v>
      </c>
      <c r="U109" s="4">
        <v>41</v>
      </c>
      <c r="V109" s="52">
        <f>IF(ISERROR(VLOOKUP($S$109,'TAR FIN'!$A$1:$O$88,15,0)),0,VLOOKUP($S$109,'TAR FIN'!$A$1:$O$88,15,0))</f>
        <v>0</v>
      </c>
      <c r="W109" s="52">
        <f>IF(ISERROR(VLOOKUP($T$109,'TAR FIN'!$A$1:$O$88,15,0)),0,VLOOKUP($T$109,'TAR FIN'!$A$1:$O$88,15,0))*(1-0.04)</f>
        <v>1406.5151999999998</v>
      </c>
      <c r="X109" s="52">
        <f>IF(ISERROR(VLOOKUP($U$109,'TAR FIN'!$A$1:$O$88,15,0)),0,VLOOKUP($U$109,'TAR FIN'!$A$1:$O$88,15,0))*(1-0.04)</f>
        <v>242.13119999999998</v>
      </c>
      <c r="Y109" s="52"/>
      <c r="Z109" s="52">
        <f ca="1">('TUSD BE'!$AM$11+'TUSD BF'!$AM$11+'TUSD CVA'!$AM$11)*1*(1-0.02)</f>
        <v>1619.5733401074451</v>
      </c>
      <c r="AA109" s="52">
        <f>('TE BE'!$AB$5+'TE BF'!$AB$5+'TE CVA'!$AB$5)*1*(1-0.02)</f>
        <v>246.88600565553992</v>
      </c>
      <c r="AB109" s="52">
        <f>(SUBSIDIO!$J$109*SUBSIDIO!$V$109)*(0.04)/(1-0.04)</f>
        <v>0</v>
      </c>
      <c r="AC109" s="52">
        <f>((SUBSIDIO!$L$109*SUBSIDIO!$W$109)+(SUBSIDIO!$N$109*SUBSIDIO!$X$109))*(0.04)/(1-0.04)</f>
        <v>215.69790399999997</v>
      </c>
      <c r="AD109" s="52">
        <f>(SUBSIDIO!$J$109*SUBSIDIO!$Y$109)*(0.02)/(1-0.02)</f>
        <v>0</v>
      </c>
      <c r="AE109" s="52">
        <f ca="1">((SUBSIDIO!$L$109*SUBSIDIO!$Z$109)+(SUBSIDIO!$N$109*SUBSIDIO!$AA$109))*(0.02)/(1-0.02)</f>
        <v>119.6057621570566</v>
      </c>
      <c r="AF109" s="4" t="s">
        <v>561</v>
      </c>
    </row>
    <row r="110" spans="1:32" ht="11.25" customHeight="1" x14ac:dyDescent="0.25">
      <c r="A110" s="4" t="s">
        <v>21</v>
      </c>
      <c r="B110" s="4" t="s">
        <v>35</v>
      </c>
      <c r="C110" s="4" t="s">
        <v>36</v>
      </c>
      <c r="D110" s="4" t="s">
        <v>41</v>
      </c>
      <c r="E110" s="4" t="s">
        <v>25</v>
      </c>
      <c r="F110" s="4" t="s">
        <v>25</v>
      </c>
      <c r="G110" s="4" t="s">
        <v>25</v>
      </c>
      <c r="H110" s="4" t="s">
        <v>38</v>
      </c>
      <c r="I110" s="5">
        <v>44378</v>
      </c>
      <c r="J110" s="6">
        <v>0</v>
      </c>
      <c r="K110" s="52">
        <v>0</v>
      </c>
      <c r="L110" s="6">
        <v>26.263000000000002</v>
      </c>
      <c r="M110" s="52">
        <v>26.263000000000002</v>
      </c>
      <c r="N110" s="6">
        <v>26.263000000000002</v>
      </c>
      <c r="O110" s="52">
        <v>26.263000000000002</v>
      </c>
      <c r="P110" s="6">
        <v>0</v>
      </c>
      <c r="Q110" s="4" t="s">
        <v>26</v>
      </c>
      <c r="R110" s="4">
        <v>0</v>
      </c>
      <c r="S110" s="4">
        <v>0</v>
      </c>
      <c r="T110" s="4">
        <v>15</v>
      </c>
      <c r="U110" s="4">
        <v>28</v>
      </c>
      <c r="V110" s="52">
        <f>IF(ISERROR(VLOOKUP($S$110,'TAR FIN'!$A$1:$O$88,15,0)),0,VLOOKUP($S$110,'TAR FIN'!$A$1:$O$88,15,0))</f>
        <v>0</v>
      </c>
      <c r="W110" s="52">
        <f>IF(ISERROR(VLOOKUP($T$110,'TAR FIN'!$A$1:$O$88,15,0)),0,VLOOKUP($T$110,'TAR FIN'!$A$1:$O$88,15,0))*(1-0.04)</f>
        <v>76.147199999999984</v>
      </c>
      <c r="X110" s="52">
        <f>IF(ISERROR(VLOOKUP($U$110,'TAR FIN'!$A$1:$O$88,15,0)),0,VLOOKUP($U$110,'TAR FIN'!$A$1:$O$88,15,0))*(1-0.04)</f>
        <v>242.13119999999998</v>
      </c>
      <c r="Y110" s="52"/>
      <c r="Z110" s="52">
        <f ca="1">('TUSD BE'!$AM$12+'TUSD BF'!$AM$12+'TUSD CVA'!$AM$12)*1*(1-0.02)</f>
        <v>100.66205186369288</v>
      </c>
      <c r="AA110" s="52">
        <f>('TE BE'!$AB$6+'TE BF'!$AB$6+'TE CVA'!$AB$6)*1*(1-0.02)</f>
        <v>246.88600565553992</v>
      </c>
      <c r="AB110" s="52">
        <f>(SUBSIDIO!$J$110*SUBSIDIO!$V$110)*(0.04)/(1-0.04)</f>
        <v>0</v>
      </c>
      <c r="AC110" s="52">
        <f>((SUBSIDIO!$L$110*SUBSIDIO!$W$110)+(SUBSIDIO!$N$110*SUBSIDIO!$X$110))*(0.04)/(1-0.04)</f>
        <v>348.28940080000001</v>
      </c>
      <c r="AD110" s="52">
        <f>(SUBSIDIO!$J$110*SUBSIDIO!$Y$110)*(0.02)/(1-0.02)</f>
        <v>0</v>
      </c>
      <c r="AE110" s="52">
        <f ca="1">((SUBSIDIO!$L$110*SUBSIDIO!$Z$110)+(SUBSIDIO!$N$110*SUBSIDIO!$AA$110))*(0.02)/(1-0.02)</f>
        <v>186.2786660128084</v>
      </c>
      <c r="AF110" s="4" t="s">
        <v>561</v>
      </c>
    </row>
    <row r="111" spans="1:32" ht="11.25" customHeight="1" x14ac:dyDescent="0.25">
      <c r="A111" s="4" t="s">
        <v>28</v>
      </c>
      <c r="B111" s="4" t="s">
        <v>35</v>
      </c>
      <c r="C111" s="4" t="s">
        <v>36</v>
      </c>
      <c r="D111" s="4" t="s">
        <v>41</v>
      </c>
      <c r="E111" s="4" t="s">
        <v>25</v>
      </c>
      <c r="F111" s="4" t="s">
        <v>25</v>
      </c>
      <c r="G111" s="4" t="s">
        <v>25</v>
      </c>
      <c r="H111" s="4" t="s">
        <v>38</v>
      </c>
      <c r="I111" s="5">
        <v>44378</v>
      </c>
      <c r="J111" s="6">
        <v>0</v>
      </c>
      <c r="K111" s="52">
        <v>0</v>
      </c>
      <c r="L111" s="6">
        <v>-48.38</v>
      </c>
      <c r="M111" s="52">
        <v>-48.38</v>
      </c>
      <c r="N111" s="6">
        <v>-48.38</v>
      </c>
      <c r="O111" s="52">
        <v>-48.38</v>
      </c>
      <c r="P111" s="6">
        <v>0</v>
      </c>
      <c r="Q111" s="4" t="s">
        <v>26</v>
      </c>
      <c r="R111" s="4">
        <v>0</v>
      </c>
      <c r="S111" s="4">
        <v>0</v>
      </c>
      <c r="T111" s="4">
        <v>15</v>
      </c>
      <c r="U111" s="4">
        <v>28</v>
      </c>
      <c r="V111" s="52">
        <f>IF(ISERROR(VLOOKUP($S$111,'TAR FIN'!$A$1:$O$88,15,0)),0,VLOOKUP($S$111,'TAR FIN'!$A$1:$O$88,15,0))</f>
        <v>0</v>
      </c>
      <c r="W111" s="52">
        <f>IF(ISERROR(VLOOKUP($T$111,'TAR FIN'!$A$1:$O$88,15,0)),0,VLOOKUP($T$111,'TAR FIN'!$A$1:$O$88,15,0))*(1-0.04)</f>
        <v>76.147199999999984</v>
      </c>
      <c r="X111" s="52">
        <f>IF(ISERROR(VLOOKUP($U$111,'TAR FIN'!$A$1:$O$88,15,0)),0,VLOOKUP($U$111,'TAR FIN'!$A$1:$O$88,15,0))*(1-0.04)</f>
        <v>242.13119999999998</v>
      </c>
      <c r="Y111" s="52"/>
      <c r="Z111" s="52">
        <f ca="1">('TUSD BE'!$AM$12+'TUSD BF'!$AM$12+'TUSD CVA'!$AM$12)*1*(1-0.02)</f>
        <v>100.66205186369288</v>
      </c>
      <c r="AA111" s="52">
        <f>('TE BE'!$AB$6+'TE BF'!$AB$6+'TE CVA'!$AB$6)*1*(1-0.02)</f>
        <v>246.88600565553992</v>
      </c>
      <c r="AB111" s="52">
        <f>(SUBSIDIO!$J$111*SUBSIDIO!$V$111)*(0.04)/(1-0.04)</f>
        <v>0</v>
      </c>
      <c r="AC111" s="52">
        <f>((SUBSIDIO!$L$111*SUBSIDIO!$W$111)+(SUBSIDIO!$N$111*SUBSIDIO!$X$111))*(0.04)/(1-0.04)</f>
        <v>-641.59620800000005</v>
      </c>
      <c r="AD111" s="52">
        <f>(SUBSIDIO!$J$111*SUBSIDIO!$Y$111)*(0.02)/(1-0.02)</f>
        <v>0</v>
      </c>
      <c r="AE111" s="52">
        <f ca="1">((SUBSIDIO!$L$111*SUBSIDIO!$Z$111)+(SUBSIDIO!$N$111*SUBSIDIO!$AA$111))*(0.02)/(1-0.02)</f>
        <v>-343.15051066898951</v>
      </c>
      <c r="AF111" s="4" t="s">
        <v>561</v>
      </c>
    </row>
    <row r="112" spans="1:32" ht="11.25" customHeight="1" x14ac:dyDescent="0.25">
      <c r="A112" s="4" t="s">
        <v>21</v>
      </c>
      <c r="B112" s="4" t="s">
        <v>35</v>
      </c>
      <c r="C112" s="4" t="s">
        <v>36</v>
      </c>
      <c r="D112" s="4" t="s">
        <v>41</v>
      </c>
      <c r="E112" s="4" t="s">
        <v>25</v>
      </c>
      <c r="F112" s="4" t="s">
        <v>25</v>
      </c>
      <c r="G112" s="4" t="s">
        <v>25</v>
      </c>
      <c r="H112" s="4" t="s">
        <v>38</v>
      </c>
      <c r="I112" s="5">
        <v>44409</v>
      </c>
      <c r="J112" s="6">
        <v>0</v>
      </c>
      <c r="K112" s="52">
        <v>0</v>
      </c>
      <c r="L112" s="6">
        <v>28.582999999999998</v>
      </c>
      <c r="M112" s="52">
        <v>28.582999999999998</v>
      </c>
      <c r="N112" s="6">
        <v>28.582999999999998</v>
      </c>
      <c r="O112" s="52">
        <v>28.582999999999998</v>
      </c>
      <c r="P112" s="6">
        <v>0</v>
      </c>
      <c r="Q112" s="4" t="s">
        <v>26</v>
      </c>
      <c r="R112" s="4">
        <v>0</v>
      </c>
      <c r="S112" s="4">
        <v>0</v>
      </c>
      <c r="T112" s="4">
        <v>15</v>
      </c>
      <c r="U112" s="4">
        <v>28</v>
      </c>
      <c r="V112" s="52">
        <f>IF(ISERROR(VLOOKUP($S$112,'TAR FIN'!$A$1:$O$88,15,0)),0,VLOOKUP($S$112,'TAR FIN'!$A$1:$O$88,15,0))</f>
        <v>0</v>
      </c>
      <c r="W112" s="52">
        <f>IF(ISERROR(VLOOKUP($T$112,'TAR FIN'!$A$1:$O$88,15,0)),0,VLOOKUP($T$112,'TAR FIN'!$A$1:$O$88,15,0))*(1-0.04)</f>
        <v>76.147199999999984</v>
      </c>
      <c r="X112" s="52">
        <f>IF(ISERROR(VLOOKUP($U$112,'TAR FIN'!$A$1:$O$88,15,0)),0,VLOOKUP($U$112,'TAR FIN'!$A$1:$O$88,15,0))*(1-0.04)</f>
        <v>242.13119999999998</v>
      </c>
      <c r="Y112" s="52"/>
      <c r="Z112" s="52">
        <f ca="1">('TUSD BE'!$AM$12+'TUSD BF'!$AM$12+'TUSD CVA'!$AM$12)*1*(1-0.02)</f>
        <v>100.66205186369288</v>
      </c>
      <c r="AA112" s="52">
        <f>('TE BE'!$AB$6+'TE BF'!$AB$6+'TE CVA'!$AB$6)*1*(1-0.02)</f>
        <v>246.88600565553992</v>
      </c>
      <c r="AB112" s="52">
        <f>(SUBSIDIO!$J$112*SUBSIDIO!$V$112)*(0.04)/(1-0.04)</f>
        <v>0</v>
      </c>
      <c r="AC112" s="52">
        <f>((SUBSIDIO!$L$112*SUBSIDIO!$W$112)+(SUBSIDIO!$N$112*SUBSIDIO!$X$112))*(0.04)/(1-0.04)</f>
        <v>379.05631279999989</v>
      </c>
      <c r="AD112" s="52">
        <f>(SUBSIDIO!$J$112*SUBSIDIO!$Y$112)*(0.02)/(1-0.02)</f>
        <v>0</v>
      </c>
      <c r="AE112" s="52">
        <f ca="1">((SUBSIDIO!$L$112*SUBSIDIO!$Z$112)+(SUBSIDIO!$N$112*SUBSIDIO!$AA$112))*(0.02)/(1-0.02)</f>
        <v>202.73400261371901</v>
      </c>
      <c r="AF112" s="4" t="s">
        <v>561</v>
      </c>
    </row>
    <row r="113" spans="1:32" ht="11.25" customHeight="1" x14ac:dyDescent="0.25">
      <c r="A113" s="4" t="s">
        <v>21</v>
      </c>
      <c r="B113" s="4" t="s">
        <v>35</v>
      </c>
      <c r="C113" s="4" t="s">
        <v>36</v>
      </c>
      <c r="D113" s="4" t="s">
        <v>41</v>
      </c>
      <c r="E113" s="4" t="s">
        <v>25</v>
      </c>
      <c r="F113" s="4" t="s">
        <v>25</v>
      </c>
      <c r="G113" s="4" t="s">
        <v>25</v>
      </c>
      <c r="H113" s="4" t="s">
        <v>38</v>
      </c>
      <c r="I113" s="5">
        <v>44440</v>
      </c>
      <c r="J113" s="6">
        <v>0</v>
      </c>
      <c r="K113" s="52">
        <v>0</v>
      </c>
      <c r="L113" s="6">
        <v>25.841999999999999</v>
      </c>
      <c r="M113" s="52">
        <v>25.841999999999999</v>
      </c>
      <c r="N113" s="6">
        <v>25.841999999999999</v>
      </c>
      <c r="O113" s="52">
        <v>25.841999999999999</v>
      </c>
      <c r="P113" s="6">
        <v>0</v>
      </c>
      <c r="Q113" s="4" t="s">
        <v>26</v>
      </c>
      <c r="R113" s="4">
        <v>0</v>
      </c>
      <c r="S113" s="4">
        <v>0</v>
      </c>
      <c r="T113" s="4">
        <v>15</v>
      </c>
      <c r="U113" s="4">
        <v>28</v>
      </c>
      <c r="V113" s="52">
        <f>IF(ISERROR(VLOOKUP($S$113,'TAR FIN'!$A$1:$O$88,15,0)),0,VLOOKUP($S$113,'TAR FIN'!$A$1:$O$88,15,0))</f>
        <v>0</v>
      </c>
      <c r="W113" s="52">
        <f>IF(ISERROR(VLOOKUP($T$113,'TAR FIN'!$A$1:$O$88,15,0)),0,VLOOKUP($T$113,'TAR FIN'!$A$1:$O$88,15,0))*(1-0.04)</f>
        <v>76.147199999999984</v>
      </c>
      <c r="X113" s="52">
        <f>IF(ISERROR(VLOOKUP($U$113,'TAR FIN'!$A$1:$O$88,15,0)),0,VLOOKUP($U$113,'TAR FIN'!$A$1:$O$88,15,0))*(1-0.04)</f>
        <v>242.13119999999998</v>
      </c>
      <c r="Y113" s="52"/>
      <c r="Z113" s="52">
        <f ca="1">('TUSD BE'!$AM$12+'TUSD BF'!$AM$12+'TUSD CVA'!$AM$12)*1*(1-0.02)</f>
        <v>100.66205186369288</v>
      </c>
      <c r="AA113" s="52">
        <f>('TE BE'!$AB$6+'TE BF'!$AB$6+'TE CVA'!$AB$6)*1*(1-0.02)</f>
        <v>246.88600565553992</v>
      </c>
      <c r="AB113" s="52">
        <f>(SUBSIDIO!$J$113*SUBSIDIO!$V$113)*(0.04)/(1-0.04)</f>
        <v>0</v>
      </c>
      <c r="AC113" s="52">
        <f>((SUBSIDIO!$L$113*SUBSIDIO!$W$113)+(SUBSIDIO!$N$113*SUBSIDIO!$X$113))*(0.04)/(1-0.04)</f>
        <v>342.70626720000001</v>
      </c>
      <c r="AD113" s="52">
        <f>(SUBSIDIO!$J$113*SUBSIDIO!$Y$113)*(0.02)/(1-0.02)</f>
        <v>0</v>
      </c>
      <c r="AE113" s="52">
        <f ca="1">((SUBSIDIO!$L$113*SUBSIDIO!$Z$113)+(SUBSIDIO!$N$113*SUBSIDIO!$AA$113))*(0.02)/(1-0.02)</f>
        <v>183.29258984514317</v>
      </c>
      <c r="AF113" s="4" t="s">
        <v>561</v>
      </c>
    </row>
    <row r="114" spans="1:32" ht="11.25" customHeight="1" x14ac:dyDescent="0.25">
      <c r="A114" s="4" t="s">
        <v>21</v>
      </c>
      <c r="B114" s="4" t="s">
        <v>35</v>
      </c>
      <c r="C114" s="4" t="s">
        <v>36</v>
      </c>
      <c r="D114" s="4" t="s">
        <v>41</v>
      </c>
      <c r="E114" s="4" t="s">
        <v>25</v>
      </c>
      <c r="F114" s="4" t="s">
        <v>25</v>
      </c>
      <c r="G114" s="4" t="s">
        <v>25</v>
      </c>
      <c r="H114" s="4" t="s">
        <v>38</v>
      </c>
      <c r="I114" s="5">
        <v>44470</v>
      </c>
      <c r="J114" s="6">
        <v>0</v>
      </c>
      <c r="K114" s="52">
        <v>0</v>
      </c>
      <c r="L114" s="6">
        <v>28.277999999999999</v>
      </c>
      <c r="M114" s="52">
        <v>28.277999999999999</v>
      </c>
      <c r="N114" s="6">
        <v>28.277999999999999</v>
      </c>
      <c r="O114" s="52">
        <v>28.277999999999999</v>
      </c>
      <c r="P114" s="6">
        <v>0</v>
      </c>
      <c r="Q114" s="4" t="s">
        <v>26</v>
      </c>
      <c r="R114" s="4">
        <v>0</v>
      </c>
      <c r="S114" s="4">
        <v>0</v>
      </c>
      <c r="T114" s="4">
        <v>15</v>
      </c>
      <c r="U114" s="4">
        <v>28</v>
      </c>
      <c r="V114" s="52">
        <f>IF(ISERROR(VLOOKUP($S$114,'TAR FIN'!$A$1:$O$88,15,0)),0,VLOOKUP($S$114,'TAR FIN'!$A$1:$O$88,15,0))</f>
        <v>0</v>
      </c>
      <c r="W114" s="52">
        <f>IF(ISERROR(VLOOKUP($T$114,'TAR FIN'!$A$1:$O$88,15,0)),0,VLOOKUP($T$114,'TAR FIN'!$A$1:$O$88,15,0))*(1-0.04)</f>
        <v>76.147199999999984</v>
      </c>
      <c r="X114" s="52">
        <f>IF(ISERROR(VLOOKUP($U$114,'TAR FIN'!$A$1:$O$88,15,0)),0,VLOOKUP($U$114,'TAR FIN'!$A$1:$O$88,15,0))*(1-0.04)</f>
        <v>242.13119999999998</v>
      </c>
      <c r="Y114" s="52"/>
      <c r="Z114" s="52">
        <f ca="1">('TUSD BE'!$AM$12+'TUSD BF'!$AM$12+'TUSD CVA'!$AM$12)*1*(1-0.02)</f>
        <v>100.66205186369288</v>
      </c>
      <c r="AA114" s="52">
        <f>('TE BE'!$AB$6+'TE BF'!$AB$6+'TE CVA'!$AB$6)*1*(1-0.02)</f>
        <v>246.88600565553992</v>
      </c>
      <c r="AB114" s="52">
        <f>(SUBSIDIO!$J$114*SUBSIDIO!$V$114)*(0.04)/(1-0.04)</f>
        <v>0</v>
      </c>
      <c r="AC114" s="52">
        <f>((SUBSIDIO!$L$114*SUBSIDIO!$W$114)+(SUBSIDIO!$N$114*SUBSIDIO!$X$114))*(0.04)/(1-0.04)</f>
        <v>375.01152479999996</v>
      </c>
      <c r="AD114" s="52">
        <f>(SUBSIDIO!$J$114*SUBSIDIO!$Y$114)*(0.02)/(1-0.02)</f>
        <v>0</v>
      </c>
      <c r="AE114" s="52">
        <f ca="1">((SUBSIDIO!$L$114*SUBSIDIO!$Z$114)+(SUBSIDIO!$N$114*SUBSIDIO!$AA$114))*(0.02)/(1-0.02)</f>
        <v>200.57069327609929</v>
      </c>
      <c r="AF114" s="4" t="s">
        <v>561</v>
      </c>
    </row>
    <row r="115" spans="1:32" ht="11.25" customHeight="1" x14ac:dyDescent="0.25">
      <c r="A115" s="4" t="s">
        <v>21</v>
      </c>
      <c r="B115" s="4" t="s">
        <v>35</v>
      </c>
      <c r="C115" s="4" t="s">
        <v>36</v>
      </c>
      <c r="D115" s="4" t="s">
        <v>41</v>
      </c>
      <c r="E115" s="4" t="s">
        <v>25</v>
      </c>
      <c r="F115" s="4" t="s">
        <v>25</v>
      </c>
      <c r="G115" s="4" t="s">
        <v>25</v>
      </c>
      <c r="H115" s="4" t="s">
        <v>38</v>
      </c>
      <c r="I115" s="5">
        <v>44501</v>
      </c>
      <c r="J115" s="6">
        <v>0</v>
      </c>
      <c r="K115" s="52">
        <v>0</v>
      </c>
      <c r="L115" s="6">
        <v>33.890999999999998</v>
      </c>
      <c r="M115" s="52">
        <v>33.890999999999998</v>
      </c>
      <c r="N115" s="6">
        <v>33.890999999999998</v>
      </c>
      <c r="O115" s="52">
        <v>33.890999999999998</v>
      </c>
      <c r="P115" s="6">
        <v>0</v>
      </c>
      <c r="Q115" s="4" t="s">
        <v>26</v>
      </c>
      <c r="R115" s="4">
        <v>0</v>
      </c>
      <c r="S115" s="4">
        <v>0</v>
      </c>
      <c r="T115" s="4">
        <v>15</v>
      </c>
      <c r="U115" s="4">
        <v>28</v>
      </c>
      <c r="V115" s="52">
        <f>IF(ISERROR(VLOOKUP($S$115,'TAR FIN'!$A$1:$O$88,15,0)),0,VLOOKUP($S$115,'TAR FIN'!$A$1:$O$88,15,0))</f>
        <v>0</v>
      </c>
      <c r="W115" s="52">
        <f>IF(ISERROR(VLOOKUP($T$115,'TAR FIN'!$A$1:$O$88,15,0)),0,VLOOKUP($T$115,'TAR FIN'!$A$1:$O$88,15,0))*(1-0.04)</f>
        <v>76.147199999999984</v>
      </c>
      <c r="X115" s="52">
        <f>IF(ISERROR(VLOOKUP($U$115,'TAR FIN'!$A$1:$O$88,15,0)),0,VLOOKUP($U$115,'TAR FIN'!$A$1:$O$88,15,0))*(1-0.04)</f>
        <v>242.13119999999998</v>
      </c>
      <c r="Y115" s="52"/>
      <c r="Z115" s="52">
        <f ca="1">('TUSD BE'!$AM$12+'TUSD BF'!$AM$12+'TUSD CVA'!$AM$12)*1*(1-0.02)</f>
        <v>100.66205186369288</v>
      </c>
      <c r="AA115" s="52">
        <f>('TE BE'!$AB$6+'TE BF'!$AB$6+'TE CVA'!$AB$6)*1*(1-0.02)</f>
        <v>246.88600565553992</v>
      </c>
      <c r="AB115" s="52">
        <f>(SUBSIDIO!$J$115*SUBSIDIO!$V$115)*(0.04)/(1-0.04)</f>
        <v>0</v>
      </c>
      <c r="AC115" s="52">
        <f>((SUBSIDIO!$L$115*SUBSIDIO!$W$115)+(SUBSIDIO!$N$115*SUBSIDIO!$X$115))*(0.04)/(1-0.04)</f>
        <v>449.44888559999998</v>
      </c>
      <c r="AD115" s="52">
        <f>(SUBSIDIO!$J$115*SUBSIDIO!$Y$115)*(0.02)/(1-0.02)</f>
        <v>0</v>
      </c>
      <c r="AE115" s="52">
        <f ca="1">((SUBSIDIO!$L$115*SUBSIDIO!$Z$115)+(SUBSIDIO!$N$115*SUBSIDIO!$AA$115))*(0.02)/(1-0.02)</f>
        <v>240.38267790580244</v>
      </c>
      <c r="AF115" s="4" t="s">
        <v>561</v>
      </c>
    </row>
    <row r="116" spans="1:32" ht="11.25" customHeight="1" x14ac:dyDescent="0.25">
      <c r="A116" s="4" t="s">
        <v>21</v>
      </c>
      <c r="B116" s="4" t="s">
        <v>35</v>
      </c>
      <c r="C116" s="4" t="s">
        <v>36</v>
      </c>
      <c r="D116" s="4" t="s">
        <v>41</v>
      </c>
      <c r="E116" s="4" t="s">
        <v>25</v>
      </c>
      <c r="F116" s="4" t="s">
        <v>25</v>
      </c>
      <c r="G116" s="4" t="s">
        <v>25</v>
      </c>
      <c r="H116" s="4" t="s">
        <v>38</v>
      </c>
      <c r="I116" s="5">
        <v>44531</v>
      </c>
      <c r="J116" s="6">
        <v>0</v>
      </c>
      <c r="K116" s="52">
        <v>0</v>
      </c>
      <c r="L116" s="6">
        <v>31.939</v>
      </c>
      <c r="M116" s="52">
        <v>31.939</v>
      </c>
      <c r="N116" s="6">
        <v>31.939</v>
      </c>
      <c r="O116" s="52">
        <v>31.939</v>
      </c>
      <c r="P116" s="6">
        <v>0</v>
      </c>
      <c r="Q116" s="4" t="s">
        <v>26</v>
      </c>
      <c r="R116" s="4">
        <v>0</v>
      </c>
      <c r="S116" s="4">
        <v>0</v>
      </c>
      <c r="T116" s="4">
        <v>15</v>
      </c>
      <c r="U116" s="4">
        <v>28</v>
      </c>
      <c r="V116" s="52">
        <f>IF(ISERROR(VLOOKUP($S$116,'TAR FIN'!$A$1:$O$88,15,0)),0,VLOOKUP($S$116,'TAR FIN'!$A$1:$O$88,15,0))</f>
        <v>0</v>
      </c>
      <c r="W116" s="52">
        <f>IF(ISERROR(VLOOKUP($T$116,'TAR FIN'!$A$1:$O$88,15,0)),0,VLOOKUP($T$116,'TAR FIN'!$A$1:$O$88,15,0))*(1-0.04)</f>
        <v>76.147199999999984</v>
      </c>
      <c r="X116" s="52">
        <f>IF(ISERROR(VLOOKUP($U$116,'TAR FIN'!$A$1:$O$88,15,0)),0,VLOOKUP($U$116,'TAR FIN'!$A$1:$O$88,15,0))*(1-0.04)</f>
        <v>242.13119999999998</v>
      </c>
      <c r="Y116" s="52"/>
      <c r="Z116" s="52">
        <f ca="1">('TUSD BE'!$AM$12+'TUSD BF'!$AM$12+'TUSD CVA'!$AM$12)*1*(1-0.02)</f>
        <v>100.66205186369288</v>
      </c>
      <c r="AA116" s="52">
        <f>('TE BE'!$AB$6+'TE BF'!$AB$6+'TE CVA'!$AB$6)*1*(1-0.02)</f>
        <v>246.88600565553992</v>
      </c>
      <c r="AB116" s="52">
        <f>(SUBSIDIO!$J$116*SUBSIDIO!$V$116)*(0.04)/(1-0.04)</f>
        <v>0</v>
      </c>
      <c r="AC116" s="52">
        <f>((SUBSIDIO!$L$116*SUBSIDIO!$W$116)+(SUBSIDIO!$N$116*SUBSIDIO!$X$116))*(0.04)/(1-0.04)</f>
        <v>423.5622424</v>
      </c>
      <c r="AD116" s="52">
        <f>(SUBSIDIO!$J$116*SUBSIDIO!$Y$116)*(0.02)/(1-0.02)</f>
        <v>0</v>
      </c>
      <c r="AE116" s="52">
        <f ca="1">((SUBSIDIO!$L$116*SUBSIDIO!$Z$116)+(SUBSIDIO!$N$116*SUBSIDIO!$AA$116))*(0.02)/(1-0.02)</f>
        <v>226.53749814503627</v>
      </c>
      <c r="AF116" s="4" t="s">
        <v>561</v>
      </c>
    </row>
    <row r="117" spans="1:32" ht="11.25" customHeight="1" x14ac:dyDescent="0.25">
      <c r="A117" s="4" t="s">
        <v>21</v>
      </c>
      <c r="B117" s="4" t="s">
        <v>35</v>
      </c>
      <c r="C117" s="4" t="s">
        <v>36</v>
      </c>
      <c r="D117" s="4" t="s">
        <v>41</v>
      </c>
      <c r="E117" s="4" t="s">
        <v>25</v>
      </c>
      <c r="F117" s="4" t="s">
        <v>25</v>
      </c>
      <c r="G117" s="4" t="s">
        <v>25</v>
      </c>
      <c r="H117" s="4" t="s">
        <v>38</v>
      </c>
      <c r="I117" s="5">
        <v>44562</v>
      </c>
      <c r="J117" s="6">
        <v>0</v>
      </c>
      <c r="K117" s="52">
        <v>0</v>
      </c>
      <c r="L117" s="6">
        <v>38.256</v>
      </c>
      <c r="M117" s="52">
        <v>38.256</v>
      </c>
      <c r="N117" s="6">
        <v>38.256</v>
      </c>
      <c r="O117" s="52">
        <v>38.256</v>
      </c>
      <c r="P117" s="6">
        <v>0</v>
      </c>
      <c r="Q117" s="4" t="s">
        <v>26</v>
      </c>
      <c r="R117" s="4">
        <v>0</v>
      </c>
      <c r="S117" s="4">
        <v>0</v>
      </c>
      <c r="T117" s="4">
        <v>15</v>
      </c>
      <c r="U117" s="4">
        <v>28</v>
      </c>
      <c r="V117" s="52">
        <f>IF(ISERROR(VLOOKUP($S$117,'TAR FIN'!$A$1:$O$88,15,0)),0,VLOOKUP($S$117,'TAR FIN'!$A$1:$O$88,15,0))</f>
        <v>0</v>
      </c>
      <c r="W117" s="52">
        <f>IF(ISERROR(VLOOKUP($T$117,'TAR FIN'!$A$1:$O$88,15,0)),0,VLOOKUP($T$117,'TAR FIN'!$A$1:$O$88,15,0))*(1-0.04)</f>
        <v>76.147199999999984</v>
      </c>
      <c r="X117" s="52">
        <f>IF(ISERROR(VLOOKUP($U$117,'TAR FIN'!$A$1:$O$88,15,0)),0,VLOOKUP($U$117,'TAR FIN'!$A$1:$O$88,15,0))*(1-0.04)</f>
        <v>242.13119999999998</v>
      </c>
      <c r="Y117" s="52"/>
      <c r="Z117" s="52">
        <f ca="1">('TUSD BE'!$AM$12+'TUSD BF'!$AM$12+'TUSD CVA'!$AM$12)*1*(1-0.02)</f>
        <v>100.66205186369288</v>
      </c>
      <c r="AA117" s="52">
        <f>('TE BE'!$AB$6+'TE BF'!$AB$6+'TE CVA'!$AB$6)*1*(1-0.02)</f>
        <v>246.88600565553992</v>
      </c>
      <c r="AB117" s="52">
        <f>(SUBSIDIO!$J$117*SUBSIDIO!$V$117)*(0.04)/(1-0.04)</f>
        <v>0</v>
      </c>
      <c r="AC117" s="52">
        <f>((SUBSIDIO!$L$117*SUBSIDIO!$W$117)+(SUBSIDIO!$N$117*SUBSIDIO!$X$117))*(0.04)/(1-0.04)</f>
        <v>507.33576959999999</v>
      </c>
      <c r="AD117" s="52">
        <f>(SUBSIDIO!$J$117*SUBSIDIO!$Y$117)*(0.02)/(1-0.02)</f>
        <v>0</v>
      </c>
      <c r="AE117" s="52">
        <f ca="1">((SUBSIDIO!$L$117*SUBSIDIO!$Z$117)+(SUBSIDIO!$N$117*SUBSIDIO!$AA$117))*(0.02)/(1-0.02)</f>
        <v>271.3428262950157</v>
      </c>
      <c r="AF117" s="4" t="s">
        <v>561</v>
      </c>
    </row>
    <row r="118" spans="1:32" ht="11.25" customHeight="1" x14ac:dyDescent="0.25">
      <c r="A118" s="4" t="s">
        <v>21</v>
      </c>
      <c r="B118" s="4" t="s">
        <v>35</v>
      </c>
      <c r="C118" s="4" t="s">
        <v>36</v>
      </c>
      <c r="D118" s="4" t="s">
        <v>41</v>
      </c>
      <c r="E118" s="4" t="s">
        <v>25</v>
      </c>
      <c r="F118" s="4" t="s">
        <v>25</v>
      </c>
      <c r="G118" s="4" t="s">
        <v>25</v>
      </c>
      <c r="H118" s="4" t="s">
        <v>38</v>
      </c>
      <c r="I118" s="5">
        <v>44593</v>
      </c>
      <c r="J118" s="6">
        <v>0</v>
      </c>
      <c r="K118" s="52">
        <v>0</v>
      </c>
      <c r="L118" s="6">
        <v>32.28</v>
      </c>
      <c r="M118" s="52">
        <v>32.28</v>
      </c>
      <c r="N118" s="6">
        <v>32.28</v>
      </c>
      <c r="O118" s="52">
        <v>32.28</v>
      </c>
      <c r="P118" s="6">
        <v>0</v>
      </c>
      <c r="Q118" s="4" t="s">
        <v>26</v>
      </c>
      <c r="R118" s="4">
        <v>0</v>
      </c>
      <c r="S118" s="4">
        <v>0</v>
      </c>
      <c r="T118" s="4">
        <v>15</v>
      </c>
      <c r="U118" s="4">
        <v>28</v>
      </c>
      <c r="V118" s="52">
        <f>IF(ISERROR(VLOOKUP($S$118,'TAR FIN'!$A$1:$O$88,15,0)),0,VLOOKUP($S$118,'TAR FIN'!$A$1:$O$88,15,0))</f>
        <v>0</v>
      </c>
      <c r="W118" s="52">
        <f>IF(ISERROR(VLOOKUP($T$118,'TAR FIN'!$A$1:$O$88,15,0)),0,VLOOKUP($T$118,'TAR FIN'!$A$1:$O$88,15,0))*(1-0.04)</f>
        <v>76.147199999999984</v>
      </c>
      <c r="X118" s="52">
        <f>IF(ISERROR(VLOOKUP($U$118,'TAR FIN'!$A$1:$O$88,15,0)),0,VLOOKUP($U$118,'TAR FIN'!$A$1:$O$88,15,0))*(1-0.04)</f>
        <v>242.13119999999998</v>
      </c>
      <c r="Y118" s="52"/>
      <c r="Z118" s="52">
        <f ca="1">('TUSD BE'!$AM$12+'TUSD BF'!$AM$12+'TUSD CVA'!$AM$12)*1*(1-0.02)</f>
        <v>100.66205186369288</v>
      </c>
      <c r="AA118" s="52">
        <f>('TE BE'!$AB$6+'TE BF'!$AB$6+'TE CVA'!$AB$6)*1*(1-0.02)</f>
        <v>246.88600565553992</v>
      </c>
      <c r="AB118" s="52">
        <f>(SUBSIDIO!$J$118*SUBSIDIO!$V$118)*(0.04)/(1-0.04)</f>
        <v>0</v>
      </c>
      <c r="AC118" s="52">
        <f>((SUBSIDIO!$L$118*SUBSIDIO!$W$118)+(SUBSIDIO!$N$118*SUBSIDIO!$X$118))*(0.04)/(1-0.04)</f>
        <v>428.08444800000001</v>
      </c>
      <c r="AD118" s="52">
        <f>(SUBSIDIO!$J$118*SUBSIDIO!$Y$118)*(0.02)/(1-0.02)</f>
        <v>0</v>
      </c>
      <c r="AE118" s="52">
        <f ca="1">((SUBSIDIO!$L$118*SUBSIDIO!$Z$118)+(SUBSIDIO!$N$118*SUBSIDIO!$AA$118))*(0.02)/(1-0.02)</f>
        <v>228.9561489126701</v>
      </c>
      <c r="AF118" s="4" t="s">
        <v>561</v>
      </c>
    </row>
    <row r="119" spans="1:32" ht="11.25" customHeight="1" x14ac:dyDescent="0.25">
      <c r="A119" s="4" t="s">
        <v>21</v>
      </c>
      <c r="B119" s="4" t="s">
        <v>35</v>
      </c>
      <c r="C119" s="4" t="s">
        <v>36</v>
      </c>
      <c r="D119" s="4" t="s">
        <v>41</v>
      </c>
      <c r="E119" s="4" t="s">
        <v>25</v>
      </c>
      <c r="F119" s="4" t="s">
        <v>25</v>
      </c>
      <c r="G119" s="4" t="s">
        <v>25</v>
      </c>
      <c r="H119" s="4" t="s">
        <v>38</v>
      </c>
      <c r="I119" s="5">
        <v>44621</v>
      </c>
      <c r="J119" s="6">
        <v>0</v>
      </c>
      <c r="K119" s="52">
        <v>0</v>
      </c>
      <c r="L119" s="6">
        <v>80.394999999999996</v>
      </c>
      <c r="M119" s="52">
        <v>80.394999999999996</v>
      </c>
      <c r="N119" s="6">
        <v>80.394999999999996</v>
      </c>
      <c r="O119" s="52">
        <v>80.394999999999996</v>
      </c>
      <c r="P119" s="6">
        <v>0</v>
      </c>
      <c r="Q119" s="4" t="s">
        <v>26</v>
      </c>
      <c r="R119" s="4">
        <v>0</v>
      </c>
      <c r="S119" s="4">
        <v>0</v>
      </c>
      <c r="T119" s="4">
        <v>15</v>
      </c>
      <c r="U119" s="4">
        <v>28</v>
      </c>
      <c r="V119" s="52">
        <f>IF(ISERROR(VLOOKUP($S$119,'TAR FIN'!$A$1:$O$88,15,0)),0,VLOOKUP($S$119,'TAR FIN'!$A$1:$O$88,15,0))</f>
        <v>0</v>
      </c>
      <c r="W119" s="52">
        <f>IF(ISERROR(VLOOKUP($T$119,'TAR FIN'!$A$1:$O$88,15,0)),0,VLOOKUP($T$119,'TAR FIN'!$A$1:$O$88,15,0))*(1-0.04)</f>
        <v>76.147199999999984</v>
      </c>
      <c r="X119" s="52">
        <f>IF(ISERROR(VLOOKUP($U$119,'TAR FIN'!$A$1:$O$88,15,0)),0,VLOOKUP($U$119,'TAR FIN'!$A$1:$O$88,15,0))*(1-0.04)</f>
        <v>242.13119999999998</v>
      </c>
      <c r="Y119" s="52"/>
      <c r="Z119" s="52">
        <f ca="1">('TUSD BE'!$AM$12+'TUSD BF'!$AM$12+'TUSD CVA'!$AM$12)*1*(1-0.02)</f>
        <v>100.66205186369288</v>
      </c>
      <c r="AA119" s="52">
        <f>('TE BE'!$AB$6+'TE BF'!$AB$6+'TE CVA'!$AB$6)*1*(1-0.02)</f>
        <v>246.88600565553992</v>
      </c>
      <c r="AB119" s="52">
        <f>(SUBSIDIO!$J$119*SUBSIDIO!$V$119)*(0.04)/(1-0.04)</f>
        <v>0</v>
      </c>
      <c r="AC119" s="52">
        <f>((SUBSIDIO!$L$119*SUBSIDIO!$W$119)+(SUBSIDIO!$N$119*SUBSIDIO!$X$119))*(0.04)/(1-0.04)</f>
        <v>1066.1663319999998</v>
      </c>
      <c r="AD119" s="52">
        <f>(SUBSIDIO!$J$119*SUBSIDIO!$Y$119)*(0.02)/(1-0.02)</f>
        <v>0</v>
      </c>
      <c r="AE119" s="52">
        <f ca="1">((SUBSIDIO!$L$119*SUBSIDIO!$Z$119)+(SUBSIDIO!$N$119*SUBSIDIO!$AA$119))*(0.02)/(1-0.02)</f>
        <v>570.22706294405543</v>
      </c>
      <c r="AF119" s="4" t="s">
        <v>561</v>
      </c>
    </row>
    <row r="120" spans="1:32" ht="11.25" customHeight="1" x14ac:dyDescent="0.25">
      <c r="A120" s="4" t="s">
        <v>21</v>
      </c>
      <c r="B120" s="4" t="s">
        <v>35</v>
      </c>
      <c r="C120" s="4" t="s">
        <v>36</v>
      </c>
      <c r="D120" s="4" t="s">
        <v>41</v>
      </c>
      <c r="E120" s="4" t="s">
        <v>25</v>
      </c>
      <c r="F120" s="4" t="s">
        <v>25</v>
      </c>
      <c r="G120" s="4" t="s">
        <v>25</v>
      </c>
      <c r="H120" s="4" t="s">
        <v>38</v>
      </c>
      <c r="I120" s="5">
        <v>44652</v>
      </c>
      <c r="J120" s="6">
        <v>0</v>
      </c>
      <c r="K120" s="52">
        <v>0</v>
      </c>
      <c r="L120" s="6">
        <v>71.855000000000004</v>
      </c>
      <c r="M120" s="52">
        <v>71.855000000000004</v>
      </c>
      <c r="N120" s="6">
        <v>71.855000000000004</v>
      </c>
      <c r="O120" s="52">
        <v>71.855000000000004</v>
      </c>
      <c r="P120" s="6">
        <v>0</v>
      </c>
      <c r="Q120" s="4" t="s">
        <v>26</v>
      </c>
      <c r="R120" s="4">
        <v>0</v>
      </c>
      <c r="S120" s="4">
        <v>0</v>
      </c>
      <c r="T120" s="4">
        <v>15</v>
      </c>
      <c r="U120" s="4">
        <v>28</v>
      </c>
      <c r="V120" s="52">
        <f>IF(ISERROR(VLOOKUP($S$120,'TAR FIN'!$A$1:$O$88,15,0)),0,VLOOKUP($S$120,'TAR FIN'!$A$1:$O$88,15,0))</f>
        <v>0</v>
      </c>
      <c r="W120" s="52">
        <f>IF(ISERROR(VLOOKUP($T$120,'TAR FIN'!$A$1:$O$88,15,0)),0,VLOOKUP($T$120,'TAR FIN'!$A$1:$O$88,15,0))*(1-0.04)</f>
        <v>76.147199999999984</v>
      </c>
      <c r="X120" s="52">
        <f>IF(ISERROR(VLOOKUP($U$120,'TAR FIN'!$A$1:$O$88,15,0)),0,VLOOKUP($U$120,'TAR FIN'!$A$1:$O$88,15,0))*(1-0.04)</f>
        <v>242.13119999999998</v>
      </c>
      <c r="Y120" s="52"/>
      <c r="Z120" s="52">
        <f ca="1">('TUSD BE'!$AM$12+'TUSD BF'!$AM$12+'TUSD CVA'!$AM$12)*1*(1-0.02)</f>
        <v>100.66205186369288</v>
      </c>
      <c r="AA120" s="52">
        <f>('TE BE'!$AB$6+'TE BF'!$AB$6+'TE CVA'!$AB$6)*1*(1-0.02)</f>
        <v>246.88600565553992</v>
      </c>
      <c r="AB120" s="52">
        <f>(SUBSIDIO!$J$120*SUBSIDIO!$V$120)*(0.04)/(1-0.04)</f>
        <v>0</v>
      </c>
      <c r="AC120" s="52">
        <f>((SUBSIDIO!$L$120*SUBSIDIO!$W$120)+(SUBSIDIO!$N$120*SUBSIDIO!$X$120))*(0.04)/(1-0.04)</f>
        <v>952.91226799999993</v>
      </c>
      <c r="AD120" s="52">
        <f>(SUBSIDIO!$J$120*SUBSIDIO!$Y$120)*(0.02)/(1-0.02)</f>
        <v>0</v>
      </c>
      <c r="AE120" s="52">
        <f ca="1">((SUBSIDIO!$L$120*SUBSIDIO!$Z$120)+(SUBSIDIO!$N$120*SUBSIDIO!$AA$120))*(0.02)/(1-0.02)</f>
        <v>509.65440149070361</v>
      </c>
      <c r="AF120" s="4" t="s">
        <v>561</v>
      </c>
    </row>
    <row r="121" spans="1:32" ht="11.25" customHeight="1" x14ac:dyDescent="0.25">
      <c r="A121" s="4" t="s">
        <v>21</v>
      </c>
      <c r="B121" s="4" t="s">
        <v>35</v>
      </c>
      <c r="C121" s="4" t="s">
        <v>36</v>
      </c>
      <c r="D121" s="4" t="s">
        <v>41</v>
      </c>
      <c r="E121" s="4" t="s">
        <v>25</v>
      </c>
      <c r="F121" s="4" t="s">
        <v>25</v>
      </c>
      <c r="G121" s="4" t="s">
        <v>25</v>
      </c>
      <c r="H121" s="4" t="s">
        <v>38</v>
      </c>
      <c r="I121" s="5">
        <v>44682</v>
      </c>
      <c r="J121" s="6">
        <v>0</v>
      </c>
      <c r="K121" s="52">
        <v>0</v>
      </c>
      <c r="L121" s="6">
        <v>51.518000000000001</v>
      </c>
      <c r="M121" s="52">
        <v>51.518000000000001</v>
      </c>
      <c r="N121" s="6">
        <v>51.518000000000001</v>
      </c>
      <c r="O121" s="52">
        <v>51.518000000000001</v>
      </c>
      <c r="P121" s="6">
        <v>0</v>
      </c>
      <c r="Q121" s="4" t="s">
        <v>26</v>
      </c>
      <c r="R121" s="4">
        <v>0</v>
      </c>
      <c r="S121" s="4">
        <v>0</v>
      </c>
      <c r="T121" s="4">
        <v>15</v>
      </c>
      <c r="U121" s="4">
        <v>28</v>
      </c>
      <c r="V121" s="52">
        <f>IF(ISERROR(VLOOKUP($S$121,'TAR FIN'!$A$1:$O$88,15,0)),0,VLOOKUP($S$121,'TAR FIN'!$A$1:$O$88,15,0))</f>
        <v>0</v>
      </c>
      <c r="W121" s="52">
        <f>IF(ISERROR(VLOOKUP($T$121,'TAR FIN'!$A$1:$O$88,15,0)),0,VLOOKUP($T$121,'TAR FIN'!$A$1:$O$88,15,0))*(1-0.04)</f>
        <v>76.147199999999984</v>
      </c>
      <c r="X121" s="52">
        <f>IF(ISERROR(VLOOKUP($U$121,'TAR FIN'!$A$1:$O$88,15,0)),0,VLOOKUP($U$121,'TAR FIN'!$A$1:$O$88,15,0))*(1-0.04)</f>
        <v>242.13119999999998</v>
      </c>
      <c r="Y121" s="52"/>
      <c r="Z121" s="52">
        <f ca="1">('TUSD BE'!$AM$12+'TUSD BF'!$AM$12+'TUSD CVA'!$AM$12)*1*(1-0.02)</f>
        <v>100.66205186369288</v>
      </c>
      <c r="AA121" s="52">
        <f>('TE BE'!$AB$6+'TE BF'!$AB$6+'TE CVA'!$AB$6)*1*(1-0.02)</f>
        <v>246.88600565553992</v>
      </c>
      <c r="AB121" s="52">
        <f>(SUBSIDIO!$J$121*SUBSIDIO!$V$121)*(0.04)/(1-0.04)</f>
        <v>0</v>
      </c>
      <c r="AC121" s="52">
        <f>((SUBSIDIO!$L$121*SUBSIDIO!$W$121)+(SUBSIDIO!$N$121*SUBSIDIO!$X$121))*(0.04)/(1-0.04)</f>
        <v>683.21110879999992</v>
      </c>
      <c r="AD121" s="52">
        <f>(SUBSIDIO!$J$121*SUBSIDIO!$Y$121)*(0.02)/(1-0.02)</f>
        <v>0</v>
      </c>
      <c r="AE121" s="52">
        <f ca="1">((SUBSIDIO!$L$121*SUBSIDIO!$Z$121)+(SUBSIDIO!$N$121*SUBSIDIO!$AA$121))*(0.02)/(1-0.02)</f>
        <v>365.40777198522113</v>
      </c>
      <c r="AF121" s="4" t="s">
        <v>561</v>
      </c>
    </row>
    <row r="122" spans="1:32" ht="11.25" customHeight="1" x14ac:dyDescent="0.25">
      <c r="A122" s="4" t="s">
        <v>28</v>
      </c>
      <c r="B122" s="4" t="s">
        <v>35</v>
      </c>
      <c r="C122" s="4" t="s">
        <v>36</v>
      </c>
      <c r="D122" s="4" t="s">
        <v>41</v>
      </c>
      <c r="E122" s="4" t="s">
        <v>25</v>
      </c>
      <c r="F122" s="4" t="s">
        <v>25</v>
      </c>
      <c r="G122" s="4" t="s">
        <v>25</v>
      </c>
      <c r="H122" s="4" t="s">
        <v>38</v>
      </c>
      <c r="I122" s="5">
        <v>44682</v>
      </c>
      <c r="J122" s="6">
        <v>0</v>
      </c>
      <c r="K122" s="52">
        <v>0</v>
      </c>
      <c r="L122" s="6">
        <v>11.651</v>
      </c>
      <c r="M122" s="52">
        <v>11.651</v>
      </c>
      <c r="N122" s="6">
        <v>11.651</v>
      </c>
      <c r="O122" s="52">
        <v>11.651</v>
      </c>
      <c r="P122" s="6">
        <v>0</v>
      </c>
      <c r="Q122" s="4" t="s">
        <v>26</v>
      </c>
      <c r="R122" s="4">
        <v>0</v>
      </c>
      <c r="S122" s="4">
        <v>0</v>
      </c>
      <c r="T122" s="4">
        <v>15</v>
      </c>
      <c r="U122" s="4">
        <v>28</v>
      </c>
      <c r="V122" s="52">
        <f>IF(ISERROR(VLOOKUP($S$122,'TAR FIN'!$A$1:$O$88,15,0)),0,VLOOKUP($S$122,'TAR FIN'!$A$1:$O$88,15,0))</f>
        <v>0</v>
      </c>
      <c r="W122" s="52">
        <f>IF(ISERROR(VLOOKUP($T$122,'TAR FIN'!$A$1:$O$88,15,0)),0,VLOOKUP($T$122,'TAR FIN'!$A$1:$O$88,15,0))*(1-0.04)</f>
        <v>76.147199999999984</v>
      </c>
      <c r="X122" s="52">
        <f>IF(ISERROR(VLOOKUP($U$122,'TAR FIN'!$A$1:$O$88,15,0)),0,VLOOKUP($U$122,'TAR FIN'!$A$1:$O$88,15,0))*(1-0.04)</f>
        <v>242.13119999999998</v>
      </c>
      <c r="Y122" s="52"/>
      <c r="Z122" s="52">
        <f ca="1">('TUSD BE'!$AM$12+'TUSD BF'!$AM$12+'TUSD CVA'!$AM$12)*1*(1-0.02)</f>
        <v>100.66205186369288</v>
      </c>
      <c r="AA122" s="52">
        <f>('TE BE'!$AB$6+'TE BF'!$AB$6+'TE CVA'!$AB$6)*1*(1-0.02)</f>
        <v>246.88600565553992</v>
      </c>
      <c r="AB122" s="52">
        <f>(SUBSIDIO!$J$122*SUBSIDIO!$V$122)*(0.04)/(1-0.04)</f>
        <v>0</v>
      </c>
      <c r="AC122" s="52">
        <f>((SUBSIDIO!$L$122*SUBSIDIO!$W$122)+(SUBSIDIO!$N$122*SUBSIDIO!$X$122))*(0.04)/(1-0.04)</f>
        <v>154.51090159999998</v>
      </c>
      <c r="AD122" s="52">
        <f>(SUBSIDIO!$J$122*SUBSIDIO!$Y$122)*(0.02)/(1-0.02)</f>
        <v>0</v>
      </c>
      <c r="AE122" s="52">
        <f ca="1">((SUBSIDIO!$L$122*SUBSIDIO!$Z$122)+(SUBSIDIO!$N$122*SUBSIDIO!$AA$122))*(0.02)/(1-0.02)</f>
        <v>82.638416697073097</v>
      </c>
      <c r="AF122" s="4" t="s">
        <v>561</v>
      </c>
    </row>
    <row r="123" spans="1:32" ht="11.25" customHeight="1" x14ac:dyDescent="0.25">
      <c r="A123" s="4" t="s">
        <v>21</v>
      </c>
      <c r="B123" s="4" t="s">
        <v>35</v>
      </c>
      <c r="C123" s="4" t="s">
        <v>36</v>
      </c>
      <c r="D123" s="4" t="s">
        <v>41</v>
      </c>
      <c r="E123" s="4" t="s">
        <v>25</v>
      </c>
      <c r="F123" s="4" t="s">
        <v>25</v>
      </c>
      <c r="G123" s="4" t="s">
        <v>25</v>
      </c>
      <c r="H123" s="4" t="s">
        <v>38</v>
      </c>
      <c r="I123" s="5">
        <v>44713</v>
      </c>
      <c r="J123" s="6">
        <v>0</v>
      </c>
      <c r="K123" s="52">
        <v>0</v>
      </c>
      <c r="L123" s="6">
        <v>41.88</v>
      </c>
      <c r="M123" s="52">
        <v>41.88</v>
      </c>
      <c r="N123" s="6">
        <v>41.88</v>
      </c>
      <c r="O123" s="52">
        <v>41.88</v>
      </c>
      <c r="P123" s="6">
        <v>0</v>
      </c>
      <c r="Q123" s="4" t="s">
        <v>26</v>
      </c>
      <c r="R123" s="4">
        <v>0</v>
      </c>
      <c r="S123" s="4">
        <v>0</v>
      </c>
      <c r="T123" s="4">
        <v>15</v>
      </c>
      <c r="U123" s="4">
        <v>28</v>
      </c>
      <c r="V123" s="52">
        <f>IF(ISERROR(VLOOKUP($S$123,'TAR FIN'!$A$1:$O$88,15,0)),0,VLOOKUP($S$123,'TAR FIN'!$A$1:$O$88,15,0))</f>
        <v>0</v>
      </c>
      <c r="W123" s="52">
        <f>IF(ISERROR(VLOOKUP($T$123,'TAR FIN'!$A$1:$O$88,15,0)),0,VLOOKUP($T$123,'TAR FIN'!$A$1:$O$88,15,0))*(1-0.04)</f>
        <v>76.147199999999984</v>
      </c>
      <c r="X123" s="52">
        <f>IF(ISERROR(VLOOKUP($U$123,'TAR FIN'!$A$1:$O$88,15,0)),0,VLOOKUP($U$123,'TAR FIN'!$A$1:$O$88,15,0))*(1-0.04)</f>
        <v>242.13119999999998</v>
      </c>
      <c r="Y123" s="52"/>
      <c r="Z123" s="52">
        <f ca="1">('TUSD BE'!$AM$12+'TUSD BF'!$AM$12+'TUSD CVA'!$AM$12)*1*(1-0.02)</f>
        <v>100.66205186369288</v>
      </c>
      <c r="AA123" s="52">
        <f>('TE BE'!$AB$6+'TE BF'!$AB$6+'TE CVA'!$AB$6)*1*(1-0.02)</f>
        <v>246.88600565553992</v>
      </c>
      <c r="AB123" s="52">
        <f>(SUBSIDIO!$J$123*SUBSIDIO!$V$123)*(0.04)/(1-0.04)</f>
        <v>0</v>
      </c>
      <c r="AC123" s="52">
        <f>((SUBSIDIO!$L$123*SUBSIDIO!$W$123)+(SUBSIDIO!$N$123*SUBSIDIO!$X$123))*(0.04)/(1-0.04)</f>
        <v>555.39580799999999</v>
      </c>
      <c r="AD123" s="52">
        <f>(SUBSIDIO!$J$123*SUBSIDIO!$Y$123)*(0.02)/(1-0.02)</f>
        <v>0</v>
      </c>
      <c r="AE123" s="52">
        <f ca="1">((SUBSIDIO!$L$123*SUBSIDIO!$Z$123)+(SUBSIDIO!$N$123*SUBSIDIO!$AA$123))*(0.02)/(1-0.02)</f>
        <v>297.04719691643817</v>
      </c>
      <c r="AF123" s="4" t="s">
        <v>561</v>
      </c>
    </row>
    <row r="124" spans="1:32" ht="11.25" customHeight="1" x14ac:dyDescent="0.25">
      <c r="A124" s="4" t="s">
        <v>28</v>
      </c>
      <c r="B124" s="4" t="s">
        <v>35</v>
      </c>
      <c r="C124" s="4" t="s">
        <v>36</v>
      </c>
      <c r="D124" s="4" t="s">
        <v>41</v>
      </c>
      <c r="E124" s="4" t="s">
        <v>25</v>
      </c>
      <c r="F124" s="4" t="s">
        <v>25</v>
      </c>
      <c r="G124" s="4" t="s">
        <v>25</v>
      </c>
      <c r="H124" s="4" t="s">
        <v>38</v>
      </c>
      <c r="I124" s="5">
        <v>44713</v>
      </c>
      <c r="J124" s="6">
        <v>0</v>
      </c>
      <c r="K124" s="52">
        <v>0</v>
      </c>
      <c r="L124" s="6">
        <v>44.261000000000003</v>
      </c>
      <c r="M124" s="52">
        <v>44.261000000000003</v>
      </c>
      <c r="N124" s="6">
        <v>44.261000000000003</v>
      </c>
      <c r="O124" s="52">
        <v>44.261000000000003</v>
      </c>
      <c r="P124" s="6">
        <v>0</v>
      </c>
      <c r="Q124" s="4" t="s">
        <v>26</v>
      </c>
      <c r="R124" s="4">
        <v>0</v>
      </c>
      <c r="S124" s="4">
        <v>0</v>
      </c>
      <c r="T124" s="4">
        <v>15</v>
      </c>
      <c r="U124" s="4">
        <v>28</v>
      </c>
      <c r="V124" s="52">
        <f>IF(ISERROR(VLOOKUP($S$124,'TAR FIN'!$A$1:$O$88,15,0)),0,VLOOKUP($S$124,'TAR FIN'!$A$1:$O$88,15,0))</f>
        <v>0</v>
      </c>
      <c r="W124" s="52">
        <f>IF(ISERROR(VLOOKUP($T$124,'TAR FIN'!$A$1:$O$88,15,0)),0,VLOOKUP($T$124,'TAR FIN'!$A$1:$O$88,15,0))*(1-0.04)</f>
        <v>76.147199999999984</v>
      </c>
      <c r="X124" s="52">
        <f>IF(ISERROR(VLOOKUP($U$124,'TAR FIN'!$A$1:$O$88,15,0)),0,VLOOKUP($U$124,'TAR FIN'!$A$1:$O$88,15,0))*(1-0.04)</f>
        <v>242.13119999999998</v>
      </c>
      <c r="Y124" s="52"/>
      <c r="Z124" s="52">
        <f ca="1">('TUSD BE'!$AM$12+'TUSD BF'!$AM$12+'TUSD CVA'!$AM$12)*1*(1-0.02)</f>
        <v>100.66205186369288</v>
      </c>
      <c r="AA124" s="52">
        <f>('TE BE'!$AB$6+'TE BF'!$AB$6+'TE CVA'!$AB$6)*1*(1-0.02)</f>
        <v>246.88600565553992</v>
      </c>
      <c r="AB124" s="52">
        <f>(SUBSIDIO!$J$124*SUBSIDIO!$V$124)*(0.04)/(1-0.04)</f>
        <v>0</v>
      </c>
      <c r="AC124" s="52">
        <f>((SUBSIDIO!$L$124*SUBSIDIO!$W$124)+(SUBSIDIO!$N$124*SUBSIDIO!$X$124))*(0.04)/(1-0.04)</f>
        <v>586.97167760000002</v>
      </c>
      <c r="AD124" s="52">
        <f>(SUBSIDIO!$J$124*SUBSIDIO!$Y$124)*(0.02)/(1-0.02)</f>
        <v>0</v>
      </c>
      <c r="AE124" s="52">
        <f ca="1">((SUBSIDIO!$L$124*SUBSIDIO!$Z$124)+(SUBSIDIO!$N$124*SUBSIDIO!$AA$124))*(0.02)/(1-0.02)</f>
        <v>313.93519538487271</v>
      </c>
      <c r="AF124" s="4" t="s">
        <v>561</v>
      </c>
    </row>
    <row r="125" spans="1:32" ht="11.25" customHeight="1" x14ac:dyDescent="0.25">
      <c r="A125" s="4" t="s">
        <v>21</v>
      </c>
      <c r="B125" s="4" t="s">
        <v>35</v>
      </c>
      <c r="C125" s="4" t="s">
        <v>36</v>
      </c>
      <c r="D125" s="4" t="s">
        <v>41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44378</v>
      </c>
      <c r="J125" s="6">
        <v>198</v>
      </c>
      <c r="K125" s="52">
        <v>198</v>
      </c>
      <c r="L125" s="6">
        <v>0</v>
      </c>
      <c r="M125" s="52">
        <v>0</v>
      </c>
      <c r="N125" s="6">
        <v>0</v>
      </c>
      <c r="O125" s="52">
        <v>0</v>
      </c>
      <c r="P125" s="6">
        <v>2</v>
      </c>
      <c r="Q125" s="4" t="s">
        <v>26</v>
      </c>
      <c r="R125" s="4">
        <v>0</v>
      </c>
      <c r="S125" s="4">
        <v>11</v>
      </c>
      <c r="T125" s="4">
        <v>0</v>
      </c>
      <c r="U125" s="4">
        <v>0</v>
      </c>
      <c r="V125" s="52">
        <f>IF(ISERROR(VLOOKUP($S$125,'TAR FIN'!$A$1:$O$88,15,0)),0,VLOOKUP($S$125,'TAR FIN'!$A$1:$O$88,15,0))*(1-0.04)</f>
        <v>43.603200000000001</v>
      </c>
      <c r="W125" s="52">
        <f>IF(ISERROR(VLOOKUP($T$125,'TAR FIN'!$A$1:$O$88,15,0)),0,VLOOKUP($T$125,'TAR FIN'!$A$1:$O$88,15,0))</f>
        <v>0</v>
      </c>
      <c r="X125" s="52">
        <f>IF(ISERROR(VLOOKUP($U$125,'TAR FIN'!$A$1:$O$88,15,0)),0,VLOOKUP($U$125,'TAR FIN'!$A$1:$O$88,15,0))</f>
        <v>0</v>
      </c>
      <c r="Y125" s="52">
        <f ca="1">('TUSD BE'!$AM$10+'TUSD BF'!$AM$10+'TUSD CVA'!$AM$10)*1*(1-0.02)</f>
        <v>50.510684974163915</v>
      </c>
      <c r="Z125" s="52"/>
      <c r="AA125" s="52"/>
      <c r="AB125" s="52">
        <f>(SUBSIDIO!$J$125*SUBSIDIO!$V$125)*(0.04)/(1-0.04)</f>
        <v>359.72640000000007</v>
      </c>
      <c r="AC125" s="52">
        <f>((SUBSIDIO!$L$125*SUBSIDIO!$W$125)+(SUBSIDIO!$N$125*SUBSIDIO!$X$125))*(0.04)/(1-0.04)</f>
        <v>0</v>
      </c>
      <c r="AD125" s="52">
        <f ca="1">(SUBSIDIO!$J$125*SUBSIDIO!$Y$125)*(0.02)/(1-0.02)</f>
        <v>204.10440050784601</v>
      </c>
      <c r="AE125" s="52">
        <f>((SUBSIDIO!$L$125*SUBSIDIO!$Z$125)+(SUBSIDIO!$N$125*SUBSIDIO!$AA$125))*(0.02)/(1-0.02)</f>
        <v>0</v>
      </c>
      <c r="AF125" s="4" t="s">
        <v>561</v>
      </c>
    </row>
    <row r="126" spans="1:32" ht="11.25" customHeight="1" x14ac:dyDescent="0.25">
      <c r="A126" s="4" t="s">
        <v>28</v>
      </c>
      <c r="B126" s="4" t="s">
        <v>35</v>
      </c>
      <c r="C126" s="4" t="s">
        <v>36</v>
      </c>
      <c r="D126" s="4" t="s">
        <v>41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44378</v>
      </c>
      <c r="J126" s="6">
        <v>315</v>
      </c>
      <c r="K126" s="52">
        <v>315</v>
      </c>
      <c r="L126" s="6">
        <v>0</v>
      </c>
      <c r="M126" s="52">
        <v>0</v>
      </c>
      <c r="N126" s="6">
        <v>0</v>
      </c>
      <c r="O126" s="52">
        <v>0</v>
      </c>
      <c r="P126" s="6">
        <v>3</v>
      </c>
      <c r="Q126" s="4" t="s">
        <v>26</v>
      </c>
      <c r="R126" s="4">
        <v>0</v>
      </c>
      <c r="S126" s="4">
        <v>11</v>
      </c>
      <c r="T126" s="4">
        <v>0</v>
      </c>
      <c r="U126" s="4">
        <v>0</v>
      </c>
      <c r="V126" s="52">
        <f>IF(ISERROR(VLOOKUP($S$126,'TAR FIN'!$A$1:$O$88,15,0)),0,VLOOKUP($S$126,'TAR FIN'!$A$1:$O$88,15,0))*(1-0.04)</f>
        <v>43.603200000000001</v>
      </c>
      <c r="W126" s="52">
        <f>IF(ISERROR(VLOOKUP($T$126,'TAR FIN'!$A$1:$O$88,15,0)),0,VLOOKUP($T$126,'TAR FIN'!$A$1:$O$88,15,0))</f>
        <v>0</v>
      </c>
      <c r="X126" s="52">
        <f>IF(ISERROR(VLOOKUP($U$126,'TAR FIN'!$A$1:$O$88,15,0)),0,VLOOKUP($U$126,'TAR FIN'!$A$1:$O$88,15,0))</f>
        <v>0</v>
      </c>
      <c r="Y126" s="52">
        <f ca="1">('TUSD BE'!$AM$10+'TUSD BF'!$AM$10+'TUSD CVA'!$AM$10)*1*(1-0.02)</f>
        <v>50.510684974163915</v>
      </c>
      <c r="Z126" s="52"/>
      <c r="AA126" s="52"/>
      <c r="AB126" s="52">
        <f>(SUBSIDIO!$J$126*SUBSIDIO!$V$126)*(0.04)/(1-0.04)</f>
        <v>572.29200000000003</v>
      </c>
      <c r="AC126" s="52">
        <f>((SUBSIDIO!$L$126*SUBSIDIO!$W$126)+(SUBSIDIO!$N$126*SUBSIDIO!$X$126))*(0.04)/(1-0.04)</f>
        <v>0</v>
      </c>
      <c r="AD126" s="52">
        <f ca="1">(SUBSIDIO!$J$126*SUBSIDIO!$Y$126)*(0.02)/(1-0.02)</f>
        <v>324.71154626248233</v>
      </c>
      <c r="AE126" s="52">
        <f>((SUBSIDIO!$L$126*SUBSIDIO!$Z$126)+(SUBSIDIO!$N$126*SUBSIDIO!$AA$126))*(0.02)/(1-0.02)</f>
        <v>0</v>
      </c>
      <c r="AF126" s="4" t="s">
        <v>561</v>
      </c>
    </row>
    <row r="127" spans="1:32" ht="11.25" customHeight="1" x14ac:dyDescent="0.25">
      <c r="A127" s="4" t="s">
        <v>21</v>
      </c>
      <c r="B127" s="4" t="s">
        <v>35</v>
      </c>
      <c r="C127" s="4" t="s">
        <v>36</v>
      </c>
      <c r="D127" s="4" t="s">
        <v>41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44409</v>
      </c>
      <c r="J127" s="6">
        <v>241</v>
      </c>
      <c r="K127" s="52">
        <v>241</v>
      </c>
      <c r="L127" s="6">
        <v>0</v>
      </c>
      <c r="M127" s="52">
        <v>0</v>
      </c>
      <c r="N127" s="6">
        <v>0</v>
      </c>
      <c r="O127" s="52">
        <v>0</v>
      </c>
      <c r="P127" s="6">
        <v>2</v>
      </c>
      <c r="Q127" s="4" t="s">
        <v>26</v>
      </c>
      <c r="R127" s="4">
        <v>0</v>
      </c>
      <c r="S127" s="4">
        <v>11</v>
      </c>
      <c r="T127" s="4">
        <v>0</v>
      </c>
      <c r="U127" s="4">
        <v>0</v>
      </c>
      <c r="V127" s="52">
        <f>IF(ISERROR(VLOOKUP($S$127,'TAR FIN'!$A$1:$O$88,15,0)),0,VLOOKUP($S$127,'TAR FIN'!$A$1:$O$88,15,0))*(1-0.04)</f>
        <v>43.603200000000001</v>
      </c>
      <c r="W127" s="52">
        <f>IF(ISERROR(VLOOKUP($T$127,'TAR FIN'!$A$1:$O$88,15,0)),0,VLOOKUP($T$127,'TAR FIN'!$A$1:$O$88,15,0))</f>
        <v>0</v>
      </c>
      <c r="X127" s="52">
        <f>IF(ISERROR(VLOOKUP($U$127,'TAR FIN'!$A$1:$O$88,15,0)),0,VLOOKUP($U$127,'TAR FIN'!$A$1:$O$88,15,0))</f>
        <v>0</v>
      </c>
      <c r="Y127" s="52">
        <f ca="1">('TUSD BE'!$AM$10+'TUSD BF'!$AM$10+'TUSD CVA'!$AM$10)*1*(1-0.02)</f>
        <v>50.510684974163915</v>
      </c>
      <c r="Z127" s="52"/>
      <c r="AA127" s="52"/>
      <c r="AB127" s="52">
        <f>(SUBSIDIO!$J$127*SUBSIDIO!$V$127)*(0.04)/(1-0.04)</f>
        <v>437.84879999999998</v>
      </c>
      <c r="AC127" s="52">
        <f>((SUBSIDIO!$L$127*SUBSIDIO!$W$127)+(SUBSIDIO!$N$127*SUBSIDIO!$X$127))*(0.04)/(1-0.04)</f>
        <v>0</v>
      </c>
      <c r="AD127" s="52">
        <f ca="1">(SUBSIDIO!$J$127*SUBSIDIO!$Y$127)*(0.02)/(1-0.02)</f>
        <v>248.43010364843886</v>
      </c>
      <c r="AE127" s="52">
        <f>((SUBSIDIO!$L$127*SUBSIDIO!$Z$127)+(SUBSIDIO!$N$127*SUBSIDIO!$AA$127))*(0.02)/(1-0.02)</f>
        <v>0</v>
      </c>
      <c r="AF127" s="4" t="s">
        <v>561</v>
      </c>
    </row>
    <row r="128" spans="1:32" ht="11.25" customHeight="1" x14ac:dyDescent="0.25">
      <c r="A128" s="4" t="s">
        <v>28</v>
      </c>
      <c r="B128" s="4" t="s">
        <v>35</v>
      </c>
      <c r="C128" s="4" t="s">
        <v>36</v>
      </c>
      <c r="D128" s="4" t="s">
        <v>41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44409</v>
      </c>
      <c r="J128" s="6">
        <v>317</v>
      </c>
      <c r="K128" s="52">
        <v>317</v>
      </c>
      <c r="L128" s="6">
        <v>0</v>
      </c>
      <c r="M128" s="52">
        <v>0</v>
      </c>
      <c r="N128" s="6">
        <v>0</v>
      </c>
      <c r="O128" s="52">
        <v>0</v>
      </c>
      <c r="P128" s="6">
        <v>4</v>
      </c>
      <c r="Q128" s="4" t="s">
        <v>26</v>
      </c>
      <c r="R128" s="4">
        <v>0</v>
      </c>
      <c r="S128" s="4">
        <v>11</v>
      </c>
      <c r="T128" s="4">
        <v>0</v>
      </c>
      <c r="U128" s="4">
        <v>0</v>
      </c>
      <c r="V128" s="52">
        <f>IF(ISERROR(VLOOKUP($S$128,'TAR FIN'!$A$1:$O$88,15,0)),0,VLOOKUP($S$128,'TAR FIN'!$A$1:$O$88,15,0))*(1-0.04)</f>
        <v>43.603200000000001</v>
      </c>
      <c r="W128" s="52">
        <f>IF(ISERROR(VLOOKUP($T$128,'TAR FIN'!$A$1:$O$88,15,0)),0,VLOOKUP($T$128,'TAR FIN'!$A$1:$O$88,15,0))</f>
        <v>0</v>
      </c>
      <c r="X128" s="52">
        <f>IF(ISERROR(VLOOKUP($U$128,'TAR FIN'!$A$1:$O$88,15,0)),0,VLOOKUP($U$128,'TAR FIN'!$A$1:$O$88,15,0))</f>
        <v>0</v>
      </c>
      <c r="Y128" s="52">
        <f ca="1">('TUSD BE'!$AM$10+'TUSD BF'!$AM$10+'TUSD CVA'!$AM$10)*1*(1-0.02)</f>
        <v>50.510684974163915</v>
      </c>
      <c r="Z128" s="52"/>
      <c r="AA128" s="52"/>
      <c r="AB128" s="52">
        <f>(SUBSIDIO!$J$128*SUBSIDIO!$V$128)*(0.04)/(1-0.04)</f>
        <v>575.92560000000003</v>
      </c>
      <c r="AC128" s="52">
        <f>((SUBSIDIO!$L$128*SUBSIDIO!$W$128)+(SUBSIDIO!$N$128*SUBSIDIO!$X$128))*(0.04)/(1-0.04)</f>
        <v>0</v>
      </c>
      <c r="AD128" s="52">
        <f ca="1">(SUBSIDIO!$J$128*SUBSIDIO!$Y$128)*(0.02)/(1-0.02)</f>
        <v>326.77320687367268</v>
      </c>
      <c r="AE128" s="52">
        <f>((SUBSIDIO!$L$128*SUBSIDIO!$Z$128)+(SUBSIDIO!$N$128*SUBSIDIO!$AA$128))*(0.02)/(1-0.02)</f>
        <v>0</v>
      </c>
      <c r="AF128" s="4" t="s">
        <v>561</v>
      </c>
    </row>
    <row r="129" spans="1:32" ht="11.25" customHeight="1" x14ac:dyDescent="0.25">
      <c r="A129" s="4" t="s">
        <v>21</v>
      </c>
      <c r="B129" s="4" t="s">
        <v>35</v>
      </c>
      <c r="C129" s="4" t="s">
        <v>36</v>
      </c>
      <c r="D129" s="4" t="s">
        <v>41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44440</v>
      </c>
      <c r="J129" s="6">
        <v>139</v>
      </c>
      <c r="K129" s="52">
        <v>139</v>
      </c>
      <c r="L129" s="6">
        <v>0</v>
      </c>
      <c r="M129" s="52">
        <v>0</v>
      </c>
      <c r="N129" s="6">
        <v>0</v>
      </c>
      <c r="O129" s="52">
        <v>0</v>
      </c>
      <c r="P129" s="6">
        <v>2</v>
      </c>
      <c r="Q129" s="4" t="s">
        <v>26</v>
      </c>
      <c r="R129" s="4">
        <v>0</v>
      </c>
      <c r="S129" s="4">
        <v>11</v>
      </c>
      <c r="T129" s="4">
        <v>0</v>
      </c>
      <c r="U129" s="4">
        <v>0</v>
      </c>
      <c r="V129" s="52">
        <f>IF(ISERROR(VLOOKUP($S$129,'TAR FIN'!$A$1:$O$88,15,0)),0,VLOOKUP($S$129,'TAR FIN'!$A$1:$O$88,15,0))*(1-0.04)</f>
        <v>43.603200000000001</v>
      </c>
      <c r="W129" s="52">
        <f>IF(ISERROR(VLOOKUP($T$129,'TAR FIN'!$A$1:$O$88,15,0)),0,VLOOKUP($T$129,'TAR FIN'!$A$1:$O$88,15,0))</f>
        <v>0</v>
      </c>
      <c r="X129" s="52">
        <f>IF(ISERROR(VLOOKUP($U$129,'TAR FIN'!$A$1:$O$88,15,0)),0,VLOOKUP($U$129,'TAR FIN'!$A$1:$O$88,15,0))</f>
        <v>0</v>
      </c>
      <c r="Y129" s="52">
        <f ca="1">('TUSD BE'!$AM$10+'TUSD BF'!$AM$10+'TUSD CVA'!$AM$10)*1*(1-0.02)</f>
        <v>50.510684974163915</v>
      </c>
      <c r="Z129" s="52"/>
      <c r="AA129" s="52"/>
      <c r="AB129" s="52">
        <f>(SUBSIDIO!$J$129*SUBSIDIO!$V$129)*(0.04)/(1-0.04)</f>
        <v>252.53520000000003</v>
      </c>
      <c r="AC129" s="52">
        <f>((SUBSIDIO!$L$129*SUBSIDIO!$W$129)+(SUBSIDIO!$N$129*SUBSIDIO!$X$129))*(0.04)/(1-0.04)</f>
        <v>0</v>
      </c>
      <c r="AD129" s="52">
        <f ca="1">(SUBSIDIO!$J$129*SUBSIDIO!$Y$129)*(0.02)/(1-0.02)</f>
        <v>143.28541247773032</v>
      </c>
      <c r="AE129" s="52">
        <f>((SUBSIDIO!$L$129*SUBSIDIO!$Z$129)+(SUBSIDIO!$N$129*SUBSIDIO!$AA$129))*(0.02)/(1-0.02)</f>
        <v>0</v>
      </c>
      <c r="AF129" s="4" t="s">
        <v>561</v>
      </c>
    </row>
    <row r="130" spans="1:32" ht="11.25" customHeight="1" x14ac:dyDescent="0.25">
      <c r="A130" s="4" t="s">
        <v>28</v>
      </c>
      <c r="B130" s="4" t="s">
        <v>35</v>
      </c>
      <c r="C130" s="4" t="s">
        <v>36</v>
      </c>
      <c r="D130" s="4" t="s">
        <v>41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44440</v>
      </c>
      <c r="J130" s="6">
        <v>415</v>
      </c>
      <c r="K130" s="52">
        <v>415</v>
      </c>
      <c r="L130" s="6">
        <v>0</v>
      </c>
      <c r="M130" s="52">
        <v>0</v>
      </c>
      <c r="N130" s="6">
        <v>0</v>
      </c>
      <c r="O130" s="52">
        <v>0</v>
      </c>
      <c r="P130" s="6">
        <v>4</v>
      </c>
      <c r="Q130" s="4" t="s">
        <v>26</v>
      </c>
      <c r="R130" s="4">
        <v>0</v>
      </c>
      <c r="S130" s="4">
        <v>11</v>
      </c>
      <c r="T130" s="4">
        <v>0</v>
      </c>
      <c r="U130" s="4">
        <v>0</v>
      </c>
      <c r="V130" s="52">
        <f>IF(ISERROR(VLOOKUP($S$130,'TAR FIN'!$A$1:$O$88,15,0)),0,VLOOKUP($S$130,'TAR FIN'!$A$1:$O$88,15,0))*(1-0.04)</f>
        <v>43.603200000000001</v>
      </c>
      <c r="W130" s="52">
        <f>IF(ISERROR(VLOOKUP($T$130,'TAR FIN'!$A$1:$O$88,15,0)),0,VLOOKUP($T$130,'TAR FIN'!$A$1:$O$88,15,0))</f>
        <v>0</v>
      </c>
      <c r="X130" s="52">
        <f>IF(ISERROR(VLOOKUP($U$130,'TAR FIN'!$A$1:$O$88,15,0)),0,VLOOKUP($U$130,'TAR FIN'!$A$1:$O$88,15,0))</f>
        <v>0</v>
      </c>
      <c r="Y130" s="52">
        <f ca="1">('TUSD BE'!$AM$10+'TUSD BF'!$AM$10+'TUSD CVA'!$AM$10)*1*(1-0.02)</f>
        <v>50.510684974163915</v>
      </c>
      <c r="Z130" s="52"/>
      <c r="AA130" s="52"/>
      <c r="AB130" s="52">
        <f>(SUBSIDIO!$J$130*SUBSIDIO!$V$130)*(0.04)/(1-0.04)</f>
        <v>753.97200000000009</v>
      </c>
      <c r="AC130" s="52">
        <f>((SUBSIDIO!$L$130*SUBSIDIO!$W$130)+(SUBSIDIO!$N$130*SUBSIDIO!$X$130))*(0.04)/(1-0.04)</f>
        <v>0</v>
      </c>
      <c r="AD130" s="52">
        <f ca="1">(SUBSIDIO!$J$130*SUBSIDIO!$Y$130)*(0.02)/(1-0.02)</f>
        <v>427.79457682200052</v>
      </c>
      <c r="AE130" s="52">
        <f>((SUBSIDIO!$L$130*SUBSIDIO!$Z$130)+(SUBSIDIO!$N$130*SUBSIDIO!$AA$130))*(0.02)/(1-0.02)</f>
        <v>0</v>
      </c>
      <c r="AF130" s="4" t="s">
        <v>561</v>
      </c>
    </row>
    <row r="131" spans="1:32" ht="11.25" customHeight="1" x14ac:dyDescent="0.25">
      <c r="A131" s="4" t="s">
        <v>21</v>
      </c>
      <c r="B131" s="4" t="s">
        <v>35</v>
      </c>
      <c r="C131" s="4" t="s">
        <v>36</v>
      </c>
      <c r="D131" s="4" t="s">
        <v>41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44470</v>
      </c>
      <c r="J131" s="6">
        <v>176</v>
      </c>
      <c r="K131" s="52">
        <v>176</v>
      </c>
      <c r="L131" s="6">
        <v>0</v>
      </c>
      <c r="M131" s="52">
        <v>0</v>
      </c>
      <c r="N131" s="6">
        <v>0</v>
      </c>
      <c r="O131" s="52">
        <v>0</v>
      </c>
      <c r="P131" s="6">
        <v>2</v>
      </c>
      <c r="Q131" s="4" t="s">
        <v>26</v>
      </c>
      <c r="R131" s="4">
        <v>0</v>
      </c>
      <c r="S131" s="4">
        <v>11</v>
      </c>
      <c r="T131" s="4">
        <v>0</v>
      </c>
      <c r="U131" s="4">
        <v>0</v>
      </c>
      <c r="V131" s="52">
        <f>IF(ISERROR(VLOOKUP($S$131,'TAR FIN'!$A$1:$O$88,15,0)),0,VLOOKUP($S$131,'TAR FIN'!$A$1:$O$88,15,0))*(1-0.04)</f>
        <v>43.603200000000001</v>
      </c>
      <c r="W131" s="52">
        <f>IF(ISERROR(VLOOKUP($T$131,'TAR FIN'!$A$1:$O$88,15,0)),0,VLOOKUP($T$131,'TAR FIN'!$A$1:$O$88,15,0))</f>
        <v>0</v>
      </c>
      <c r="X131" s="52">
        <f>IF(ISERROR(VLOOKUP($U$131,'TAR FIN'!$A$1:$O$88,15,0)),0,VLOOKUP($U$131,'TAR FIN'!$A$1:$O$88,15,0))</f>
        <v>0</v>
      </c>
      <c r="Y131" s="52">
        <f ca="1">('TUSD BE'!$AM$10+'TUSD BF'!$AM$10+'TUSD CVA'!$AM$10)*1*(1-0.02)</f>
        <v>50.510684974163915</v>
      </c>
      <c r="Z131" s="52"/>
      <c r="AA131" s="52"/>
      <c r="AB131" s="52">
        <f>(SUBSIDIO!$J$131*SUBSIDIO!$V$131)*(0.04)/(1-0.04)</f>
        <v>319.7568</v>
      </c>
      <c r="AC131" s="52">
        <f>((SUBSIDIO!$L$131*SUBSIDIO!$W$131)+(SUBSIDIO!$N$131*SUBSIDIO!$X$131))*(0.04)/(1-0.04)</f>
        <v>0</v>
      </c>
      <c r="AD131" s="52">
        <f ca="1">(SUBSIDIO!$J$131*SUBSIDIO!$Y$131)*(0.02)/(1-0.02)</f>
        <v>181.42613378475204</v>
      </c>
      <c r="AE131" s="52">
        <f>((SUBSIDIO!$L$131*SUBSIDIO!$Z$131)+(SUBSIDIO!$N$131*SUBSIDIO!$AA$131))*(0.02)/(1-0.02)</f>
        <v>0</v>
      </c>
      <c r="AF131" s="4" t="s">
        <v>561</v>
      </c>
    </row>
    <row r="132" spans="1:32" ht="11.25" customHeight="1" x14ac:dyDescent="0.25">
      <c r="A132" s="4" t="s">
        <v>28</v>
      </c>
      <c r="B132" s="4" t="s">
        <v>35</v>
      </c>
      <c r="C132" s="4" t="s">
        <v>36</v>
      </c>
      <c r="D132" s="4" t="s">
        <v>41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44470</v>
      </c>
      <c r="J132" s="6">
        <v>491</v>
      </c>
      <c r="K132" s="52">
        <v>491</v>
      </c>
      <c r="L132" s="6">
        <v>0</v>
      </c>
      <c r="M132" s="52">
        <v>0</v>
      </c>
      <c r="N132" s="6">
        <v>0</v>
      </c>
      <c r="O132" s="52">
        <v>0</v>
      </c>
      <c r="P132" s="6">
        <v>4</v>
      </c>
      <c r="Q132" s="4" t="s">
        <v>26</v>
      </c>
      <c r="R132" s="4">
        <v>0</v>
      </c>
      <c r="S132" s="4">
        <v>11</v>
      </c>
      <c r="T132" s="4">
        <v>0</v>
      </c>
      <c r="U132" s="4">
        <v>0</v>
      </c>
      <c r="V132" s="52">
        <f>IF(ISERROR(VLOOKUP($S$132,'TAR FIN'!$A$1:$O$88,15,0)),0,VLOOKUP($S$132,'TAR FIN'!$A$1:$O$88,15,0))*(1-0.04)</f>
        <v>43.603200000000001</v>
      </c>
      <c r="W132" s="52">
        <f>IF(ISERROR(VLOOKUP($T$132,'TAR FIN'!$A$1:$O$88,15,0)),0,VLOOKUP($T$132,'TAR FIN'!$A$1:$O$88,15,0))</f>
        <v>0</v>
      </c>
      <c r="X132" s="52">
        <f>IF(ISERROR(VLOOKUP($U$132,'TAR FIN'!$A$1:$O$88,15,0)),0,VLOOKUP($U$132,'TAR FIN'!$A$1:$O$88,15,0))</f>
        <v>0</v>
      </c>
      <c r="Y132" s="52">
        <f ca="1">('TUSD BE'!$AM$10+'TUSD BF'!$AM$10+'TUSD CVA'!$AM$10)*1*(1-0.02)</f>
        <v>50.510684974163915</v>
      </c>
      <c r="Z132" s="52"/>
      <c r="AA132" s="52"/>
      <c r="AB132" s="52">
        <f>(SUBSIDIO!$J$132*SUBSIDIO!$V$132)*(0.04)/(1-0.04)</f>
        <v>892.04880000000003</v>
      </c>
      <c r="AC132" s="52">
        <f>((SUBSIDIO!$L$132*SUBSIDIO!$W$132)+(SUBSIDIO!$N$132*SUBSIDIO!$X$132))*(0.04)/(1-0.04)</f>
        <v>0</v>
      </c>
      <c r="AD132" s="52">
        <f ca="1">(SUBSIDIO!$J$132*SUBSIDIO!$Y$132)*(0.02)/(1-0.02)</f>
        <v>506.13768004723437</v>
      </c>
      <c r="AE132" s="52">
        <f>((SUBSIDIO!$L$132*SUBSIDIO!$Z$132)+(SUBSIDIO!$N$132*SUBSIDIO!$AA$132))*(0.02)/(1-0.02)</f>
        <v>0</v>
      </c>
      <c r="AF132" s="4" t="s">
        <v>561</v>
      </c>
    </row>
    <row r="133" spans="1:32" ht="11.25" customHeight="1" x14ac:dyDescent="0.25">
      <c r="A133" s="4" t="s">
        <v>21</v>
      </c>
      <c r="B133" s="4" t="s">
        <v>35</v>
      </c>
      <c r="C133" s="4" t="s">
        <v>36</v>
      </c>
      <c r="D133" s="4" t="s">
        <v>41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44501</v>
      </c>
      <c r="J133" s="6">
        <v>201</v>
      </c>
      <c r="K133" s="52">
        <v>201</v>
      </c>
      <c r="L133" s="6">
        <v>0</v>
      </c>
      <c r="M133" s="52">
        <v>0</v>
      </c>
      <c r="N133" s="6">
        <v>0</v>
      </c>
      <c r="O133" s="52">
        <v>0</v>
      </c>
      <c r="P133" s="6">
        <v>2</v>
      </c>
      <c r="Q133" s="4" t="s">
        <v>26</v>
      </c>
      <c r="R133" s="4">
        <v>0</v>
      </c>
      <c r="S133" s="4">
        <v>11</v>
      </c>
      <c r="T133" s="4">
        <v>0</v>
      </c>
      <c r="U133" s="4">
        <v>0</v>
      </c>
      <c r="V133" s="52">
        <f>IF(ISERROR(VLOOKUP($S$133,'TAR FIN'!$A$1:$O$88,15,0)),0,VLOOKUP($S$133,'TAR FIN'!$A$1:$O$88,15,0))*(1-0.04)</f>
        <v>43.603200000000001</v>
      </c>
      <c r="W133" s="52">
        <f>IF(ISERROR(VLOOKUP($T$133,'TAR FIN'!$A$1:$O$88,15,0)),0,VLOOKUP($T$133,'TAR FIN'!$A$1:$O$88,15,0))</f>
        <v>0</v>
      </c>
      <c r="X133" s="52">
        <f>IF(ISERROR(VLOOKUP($U$133,'TAR FIN'!$A$1:$O$88,15,0)),0,VLOOKUP($U$133,'TAR FIN'!$A$1:$O$88,15,0))</f>
        <v>0</v>
      </c>
      <c r="Y133" s="52">
        <f ca="1">('TUSD BE'!$AM$10+'TUSD BF'!$AM$10+'TUSD CVA'!$AM$10)*1*(1-0.02)</f>
        <v>50.510684974163915</v>
      </c>
      <c r="Z133" s="52"/>
      <c r="AA133" s="52"/>
      <c r="AB133" s="52">
        <f>(SUBSIDIO!$J$133*SUBSIDIO!$V$133)*(0.04)/(1-0.04)</f>
        <v>365.17680000000007</v>
      </c>
      <c r="AC133" s="52">
        <f>((SUBSIDIO!$L$133*SUBSIDIO!$W$133)+(SUBSIDIO!$N$133*SUBSIDIO!$X$133))*(0.04)/(1-0.04)</f>
        <v>0</v>
      </c>
      <c r="AD133" s="52">
        <f ca="1">(SUBSIDIO!$J$133*SUBSIDIO!$Y$133)*(0.02)/(1-0.02)</f>
        <v>207.19689142463156</v>
      </c>
      <c r="AE133" s="52">
        <f>((SUBSIDIO!$L$133*SUBSIDIO!$Z$133)+(SUBSIDIO!$N$133*SUBSIDIO!$AA$133))*(0.02)/(1-0.02)</f>
        <v>0</v>
      </c>
      <c r="AF133" s="4" t="s">
        <v>561</v>
      </c>
    </row>
    <row r="134" spans="1:32" ht="11.25" customHeight="1" x14ac:dyDescent="0.25">
      <c r="A134" s="4" t="s">
        <v>28</v>
      </c>
      <c r="B134" s="4" t="s">
        <v>35</v>
      </c>
      <c r="C134" s="4" t="s">
        <v>36</v>
      </c>
      <c r="D134" s="4" t="s">
        <v>41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44501</v>
      </c>
      <c r="J134" s="6">
        <v>527</v>
      </c>
      <c r="K134" s="52">
        <v>527</v>
      </c>
      <c r="L134" s="6">
        <v>0</v>
      </c>
      <c r="M134" s="52">
        <v>0</v>
      </c>
      <c r="N134" s="6">
        <v>0</v>
      </c>
      <c r="O134" s="52">
        <v>0</v>
      </c>
      <c r="P134" s="6">
        <v>4</v>
      </c>
      <c r="Q134" s="4" t="s">
        <v>26</v>
      </c>
      <c r="R134" s="4">
        <v>0</v>
      </c>
      <c r="S134" s="4">
        <v>11</v>
      </c>
      <c r="T134" s="4">
        <v>0</v>
      </c>
      <c r="U134" s="4">
        <v>0</v>
      </c>
      <c r="V134" s="52">
        <f>IF(ISERROR(VLOOKUP($S$134,'TAR FIN'!$A$1:$O$88,15,0)),0,VLOOKUP($S$134,'TAR FIN'!$A$1:$O$88,15,0))*(1-0.04)</f>
        <v>43.603200000000001</v>
      </c>
      <c r="W134" s="52">
        <f>IF(ISERROR(VLOOKUP($T$134,'TAR FIN'!$A$1:$O$88,15,0)),0,VLOOKUP($T$134,'TAR FIN'!$A$1:$O$88,15,0))</f>
        <v>0</v>
      </c>
      <c r="X134" s="52">
        <f>IF(ISERROR(VLOOKUP($U$134,'TAR FIN'!$A$1:$O$88,15,0)),0,VLOOKUP($U$134,'TAR FIN'!$A$1:$O$88,15,0))</f>
        <v>0</v>
      </c>
      <c r="Y134" s="52">
        <f ca="1">('TUSD BE'!$AM$10+'TUSD BF'!$AM$10+'TUSD CVA'!$AM$10)*1*(1-0.02)</f>
        <v>50.510684974163915</v>
      </c>
      <c r="Z134" s="52"/>
      <c r="AA134" s="52"/>
      <c r="AB134" s="52">
        <f>(SUBSIDIO!$J$134*SUBSIDIO!$V$134)*(0.04)/(1-0.04)</f>
        <v>957.45359999999994</v>
      </c>
      <c r="AC134" s="52">
        <f>((SUBSIDIO!$L$134*SUBSIDIO!$W$134)+(SUBSIDIO!$N$134*SUBSIDIO!$X$134))*(0.04)/(1-0.04)</f>
        <v>0</v>
      </c>
      <c r="AD134" s="52">
        <f ca="1">(SUBSIDIO!$J$134*SUBSIDIO!$Y$134)*(0.02)/(1-0.02)</f>
        <v>543.2475710486608</v>
      </c>
      <c r="AE134" s="52">
        <f>((SUBSIDIO!$L$134*SUBSIDIO!$Z$134)+(SUBSIDIO!$N$134*SUBSIDIO!$AA$134))*(0.02)/(1-0.02)</f>
        <v>0</v>
      </c>
      <c r="AF134" s="4" t="s">
        <v>561</v>
      </c>
    </row>
    <row r="135" spans="1:32" ht="11.25" customHeight="1" x14ac:dyDescent="0.25">
      <c r="A135" s="4" t="s">
        <v>21</v>
      </c>
      <c r="B135" s="4" t="s">
        <v>35</v>
      </c>
      <c r="C135" s="4" t="s">
        <v>36</v>
      </c>
      <c r="D135" s="4" t="s">
        <v>41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44531</v>
      </c>
      <c r="J135" s="6">
        <v>138</v>
      </c>
      <c r="K135" s="52">
        <v>138</v>
      </c>
      <c r="L135" s="6">
        <v>0</v>
      </c>
      <c r="M135" s="52">
        <v>0</v>
      </c>
      <c r="N135" s="6">
        <v>0</v>
      </c>
      <c r="O135" s="52">
        <v>0</v>
      </c>
      <c r="P135" s="6">
        <v>2</v>
      </c>
      <c r="Q135" s="4" t="s">
        <v>26</v>
      </c>
      <c r="R135" s="4">
        <v>0</v>
      </c>
      <c r="S135" s="4">
        <v>11</v>
      </c>
      <c r="T135" s="4">
        <v>0</v>
      </c>
      <c r="U135" s="4">
        <v>0</v>
      </c>
      <c r="V135" s="52">
        <f>IF(ISERROR(VLOOKUP($S$135,'TAR FIN'!$A$1:$O$88,15,0)),0,VLOOKUP($S$135,'TAR FIN'!$A$1:$O$88,15,0))*(1-0.04)</f>
        <v>43.603200000000001</v>
      </c>
      <c r="W135" s="52">
        <f>IF(ISERROR(VLOOKUP($T$135,'TAR FIN'!$A$1:$O$88,15,0)),0,VLOOKUP($T$135,'TAR FIN'!$A$1:$O$88,15,0))</f>
        <v>0</v>
      </c>
      <c r="X135" s="52">
        <f>IF(ISERROR(VLOOKUP($U$135,'TAR FIN'!$A$1:$O$88,15,0)),0,VLOOKUP($U$135,'TAR FIN'!$A$1:$O$88,15,0))</f>
        <v>0</v>
      </c>
      <c r="Y135" s="52">
        <f ca="1">('TUSD BE'!$AM$10+'TUSD BF'!$AM$10+'TUSD CVA'!$AM$10)*1*(1-0.02)</f>
        <v>50.510684974163915</v>
      </c>
      <c r="Z135" s="52"/>
      <c r="AA135" s="52"/>
      <c r="AB135" s="52">
        <f>(SUBSIDIO!$J$135*SUBSIDIO!$V$135)*(0.04)/(1-0.04)</f>
        <v>250.71840000000003</v>
      </c>
      <c r="AC135" s="52">
        <f>((SUBSIDIO!$L$135*SUBSIDIO!$W$135)+(SUBSIDIO!$N$135*SUBSIDIO!$X$135))*(0.04)/(1-0.04)</f>
        <v>0</v>
      </c>
      <c r="AD135" s="52">
        <f ca="1">(SUBSIDIO!$J$135*SUBSIDIO!$Y$135)*(0.02)/(1-0.02)</f>
        <v>142.25458217213512</v>
      </c>
      <c r="AE135" s="52">
        <f>((SUBSIDIO!$L$135*SUBSIDIO!$Z$135)+(SUBSIDIO!$N$135*SUBSIDIO!$AA$135))*(0.02)/(1-0.02)</f>
        <v>0</v>
      </c>
      <c r="AF135" s="4" t="s">
        <v>561</v>
      </c>
    </row>
    <row r="136" spans="1:32" ht="11.25" customHeight="1" x14ac:dyDescent="0.25">
      <c r="A136" s="4" t="s">
        <v>28</v>
      </c>
      <c r="B136" s="4" t="s">
        <v>35</v>
      </c>
      <c r="C136" s="4" t="s">
        <v>36</v>
      </c>
      <c r="D136" s="4" t="s">
        <v>41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44531</v>
      </c>
      <c r="J136" s="6">
        <v>331</v>
      </c>
      <c r="K136" s="52">
        <v>331</v>
      </c>
      <c r="L136" s="6">
        <v>0</v>
      </c>
      <c r="M136" s="52">
        <v>0</v>
      </c>
      <c r="N136" s="6">
        <v>0</v>
      </c>
      <c r="O136" s="52">
        <v>0</v>
      </c>
      <c r="P136" s="6">
        <v>4</v>
      </c>
      <c r="Q136" s="4" t="s">
        <v>26</v>
      </c>
      <c r="R136" s="4">
        <v>0</v>
      </c>
      <c r="S136" s="4">
        <v>11</v>
      </c>
      <c r="T136" s="4">
        <v>0</v>
      </c>
      <c r="U136" s="4">
        <v>0</v>
      </c>
      <c r="V136" s="52">
        <f>IF(ISERROR(VLOOKUP($S$136,'TAR FIN'!$A$1:$O$88,15,0)),0,VLOOKUP($S$136,'TAR FIN'!$A$1:$O$88,15,0))*(1-0.04)</f>
        <v>43.603200000000001</v>
      </c>
      <c r="W136" s="52">
        <f>IF(ISERROR(VLOOKUP($T$136,'TAR FIN'!$A$1:$O$88,15,0)),0,VLOOKUP($T$136,'TAR FIN'!$A$1:$O$88,15,0))</f>
        <v>0</v>
      </c>
      <c r="X136" s="52">
        <f>IF(ISERROR(VLOOKUP($U$136,'TAR FIN'!$A$1:$O$88,15,0)),0,VLOOKUP($U$136,'TAR FIN'!$A$1:$O$88,15,0))</f>
        <v>0</v>
      </c>
      <c r="Y136" s="52">
        <f ca="1">('TUSD BE'!$AM$10+'TUSD BF'!$AM$10+'TUSD CVA'!$AM$10)*1*(1-0.02)</f>
        <v>50.510684974163915</v>
      </c>
      <c r="Z136" s="52"/>
      <c r="AA136" s="52"/>
      <c r="AB136" s="52">
        <f>(SUBSIDIO!$J$136*SUBSIDIO!$V$136)*(0.04)/(1-0.04)</f>
        <v>601.36080000000004</v>
      </c>
      <c r="AC136" s="52">
        <f>((SUBSIDIO!$L$136*SUBSIDIO!$W$136)+(SUBSIDIO!$N$136*SUBSIDIO!$X$136))*(0.04)/(1-0.04)</f>
        <v>0</v>
      </c>
      <c r="AD136" s="52">
        <f ca="1">(SUBSIDIO!$J$136*SUBSIDIO!$Y$136)*(0.02)/(1-0.02)</f>
        <v>341.20483115200523</v>
      </c>
      <c r="AE136" s="52">
        <f>((SUBSIDIO!$L$136*SUBSIDIO!$Z$136)+(SUBSIDIO!$N$136*SUBSIDIO!$AA$136))*(0.02)/(1-0.02)</f>
        <v>0</v>
      </c>
      <c r="AF136" s="4" t="s">
        <v>561</v>
      </c>
    </row>
    <row r="137" spans="1:32" ht="11.25" customHeight="1" x14ac:dyDescent="0.25">
      <c r="A137" s="4" t="s">
        <v>21</v>
      </c>
      <c r="B137" s="4" t="s">
        <v>35</v>
      </c>
      <c r="C137" s="4" t="s">
        <v>36</v>
      </c>
      <c r="D137" s="4" t="s">
        <v>41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44562</v>
      </c>
      <c r="J137" s="6">
        <v>140</v>
      </c>
      <c r="K137" s="52">
        <v>140</v>
      </c>
      <c r="L137" s="6">
        <v>0</v>
      </c>
      <c r="M137" s="52">
        <v>0</v>
      </c>
      <c r="N137" s="6">
        <v>0</v>
      </c>
      <c r="O137" s="52">
        <v>0</v>
      </c>
      <c r="P137" s="6">
        <v>2</v>
      </c>
      <c r="Q137" s="4" t="s">
        <v>26</v>
      </c>
      <c r="R137" s="4">
        <v>0</v>
      </c>
      <c r="S137" s="4">
        <v>11</v>
      </c>
      <c r="T137" s="4">
        <v>0</v>
      </c>
      <c r="U137" s="4">
        <v>0</v>
      </c>
      <c r="V137" s="52">
        <f>IF(ISERROR(VLOOKUP($S$137,'TAR FIN'!$A$1:$O$88,15,0)),0,VLOOKUP($S$137,'TAR FIN'!$A$1:$O$88,15,0))*(1-0.04)</f>
        <v>43.603200000000001</v>
      </c>
      <c r="W137" s="52">
        <f>IF(ISERROR(VLOOKUP($T$137,'TAR FIN'!$A$1:$O$88,15,0)),0,VLOOKUP($T$137,'TAR FIN'!$A$1:$O$88,15,0))</f>
        <v>0</v>
      </c>
      <c r="X137" s="52">
        <f>IF(ISERROR(VLOOKUP($U$137,'TAR FIN'!$A$1:$O$88,15,0)),0,VLOOKUP($U$137,'TAR FIN'!$A$1:$O$88,15,0))</f>
        <v>0</v>
      </c>
      <c r="Y137" s="52">
        <f ca="1">('TUSD BE'!$AM$10+'TUSD BF'!$AM$10+'TUSD CVA'!$AM$10)*1*(1-0.02)</f>
        <v>50.510684974163915</v>
      </c>
      <c r="Z137" s="52"/>
      <c r="AA137" s="52"/>
      <c r="AB137" s="52">
        <f>(SUBSIDIO!$J$137*SUBSIDIO!$V$137)*(0.04)/(1-0.04)</f>
        <v>254.35200000000003</v>
      </c>
      <c r="AC137" s="52">
        <f>((SUBSIDIO!$L$137*SUBSIDIO!$W$137)+(SUBSIDIO!$N$137*SUBSIDIO!$X$137))*(0.04)/(1-0.04)</f>
        <v>0</v>
      </c>
      <c r="AD137" s="52">
        <f ca="1">(SUBSIDIO!$J$137*SUBSIDIO!$Y$137)*(0.02)/(1-0.02)</f>
        <v>144.31624278332549</v>
      </c>
      <c r="AE137" s="52">
        <f>((SUBSIDIO!$L$137*SUBSIDIO!$Z$137)+(SUBSIDIO!$N$137*SUBSIDIO!$AA$137))*(0.02)/(1-0.02)</f>
        <v>0</v>
      </c>
      <c r="AF137" s="4" t="s">
        <v>561</v>
      </c>
    </row>
    <row r="138" spans="1:32" ht="11.25" customHeight="1" x14ac:dyDescent="0.25">
      <c r="A138" s="4" t="s">
        <v>28</v>
      </c>
      <c r="B138" s="4" t="s">
        <v>35</v>
      </c>
      <c r="C138" s="4" t="s">
        <v>36</v>
      </c>
      <c r="D138" s="4" t="s">
        <v>41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44562</v>
      </c>
      <c r="J138" s="6">
        <v>399</v>
      </c>
      <c r="K138" s="52">
        <v>399</v>
      </c>
      <c r="L138" s="6">
        <v>0</v>
      </c>
      <c r="M138" s="52">
        <v>0</v>
      </c>
      <c r="N138" s="6">
        <v>0</v>
      </c>
      <c r="O138" s="52">
        <v>0</v>
      </c>
      <c r="P138" s="6">
        <v>4</v>
      </c>
      <c r="Q138" s="4" t="s">
        <v>26</v>
      </c>
      <c r="R138" s="4">
        <v>0</v>
      </c>
      <c r="S138" s="4">
        <v>11</v>
      </c>
      <c r="T138" s="4">
        <v>0</v>
      </c>
      <c r="U138" s="4">
        <v>0</v>
      </c>
      <c r="V138" s="52">
        <f>IF(ISERROR(VLOOKUP($S$138,'TAR FIN'!$A$1:$O$88,15,0)),0,VLOOKUP($S$138,'TAR FIN'!$A$1:$O$88,15,0))*(1-0.04)</f>
        <v>43.603200000000001</v>
      </c>
      <c r="W138" s="52">
        <f>IF(ISERROR(VLOOKUP($T$138,'TAR FIN'!$A$1:$O$88,15,0)),0,VLOOKUP($T$138,'TAR FIN'!$A$1:$O$88,15,0))</f>
        <v>0</v>
      </c>
      <c r="X138" s="52">
        <f>IF(ISERROR(VLOOKUP($U$138,'TAR FIN'!$A$1:$O$88,15,0)),0,VLOOKUP($U$138,'TAR FIN'!$A$1:$O$88,15,0))</f>
        <v>0</v>
      </c>
      <c r="Y138" s="52">
        <f ca="1">('TUSD BE'!$AM$10+'TUSD BF'!$AM$10+'TUSD CVA'!$AM$10)*1*(1-0.02)</f>
        <v>50.510684974163915</v>
      </c>
      <c r="Z138" s="52"/>
      <c r="AA138" s="52"/>
      <c r="AB138" s="52">
        <f>(SUBSIDIO!$J$138*SUBSIDIO!$V$138)*(0.04)/(1-0.04)</f>
        <v>724.90320000000008</v>
      </c>
      <c r="AC138" s="52">
        <f>((SUBSIDIO!$L$138*SUBSIDIO!$W$138)+(SUBSIDIO!$N$138*SUBSIDIO!$X$138))*(0.04)/(1-0.04)</f>
        <v>0</v>
      </c>
      <c r="AD138" s="52">
        <f ca="1">(SUBSIDIO!$J$138*SUBSIDIO!$Y$138)*(0.02)/(1-0.02)</f>
        <v>411.30129193247757</v>
      </c>
      <c r="AE138" s="52">
        <f>((SUBSIDIO!$L$138*SUBSIDIO!$Z$138)+(SUBSIDIO!$N$138*SUBSIDIO!$AA$138))*(0.02)/(1-0.02)</f>
        <v>0</v>
      </c>
      <c r="AF138" s="4" t="s">
        <v>561</v>
      </c>
    </row>
    <row r="139" spans="1:32" ht="11.25" customHeight="1" x14ac:dyDescent="0.25">
      <c r="A139" s="4" t="s">
        <v>21</v>
      </c>
      <c r="B139" s="4" t="s">
        <v>35</v>
      </c>
      <c r="C139" s="4" t="s">
        <v>36</v>
      </c>
      <c r="D139" s="4" t="s">
        <v>41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44593</v>
      </c>
      <c r="J139" s="6">
        <v>106</v>
      </c>
      <c r="K139" s="52">
        <v>106</v>
      </c>
      <c r="L139" s="6">
        <v>0</v>
      </c>
      <c r="M139" s="52">
        <v>0</v>
      </c>
      <c r="N139" s="6">
        <v>0</v>
      </c>
      <c r="O139" s="52">
        <v>0</v>
      </c>
      <c r="P139" s="6">
        <v>2</v>
      </c>
      <c r="Q139" s="4" t="s">
        <v>26</v>
      </c>
      <c r="R139" s="4">
        <v>0</v>
      </c>
      <c r="S139" s="4">
        <v>11</v>
      </c>
      <c r="T139" s="4">
        <v>0</v>
      </c>
      <c r="U139" s="4">
        <v>0</v>
      </c>
      <c r="V139" s="52">
        <f>IF(ISERROR(VLOOKUP($S$139,'TAR FIN'!$A$1:$O$88,15,0)),0,VLOOKUP($S$139,'TAR FIN'!$A$1:$O$88,15,0))*(1-0.04)</f>
        <v>43.603200000000001</v>
      </c>
      <c r="W139" s="52">
        <f>IF(ISERROR(VLOOKUP($T$139,'TAR FIN'!$A$1:$O$88,15,0)),0,VLOOKUP($T$139,'TAR FIN'!$A$1:$O$88,15,0))</f>
        <v>0</v>
      </c>
      <c r="X139" s="52">
        <f>IF(ISERROR(VLOOKUP($U$139,'TAR FIN'!$A$1:$O$88,15,0)),0,VLOOKUP($U$139,'TAR FIN'!$A$1:$O$88,15,0))</f>
        <v>0</v>
      </c>
      <c r="Y139" s="52">
        <f ca="1">('TUSD BE'!$AM$10+'TUSD BF'!$AM$10+'TUSD CVA'!$AM$10)*1*(1-0.02)</f>
        <v>50.510684974163915</v>
      </c>
      <c r="Z139" s="52"/>
      <c r="AA139" s="52"/>
      <c r="AB139" s="52">
        <f>(SUBSIDIO!$J$139*SUBSIDIO!$V$139)*(0.04)/(1-0.04)</f>
        <v>192.58080000000001</v>
      </c>
      <c r="AC139" s="52">
        <f>((SUBSIDIO!$L$139*SUBSIDIO!$W$139)+(SUBSIDIO!$N$139*SUBSIDIO!$X$139))*(0.04)/(1-0.04)</f>
        <v>0</v>
      </c>
      <c r="AD139" s="52">
        <f ca="1">(SUBSIDIO!$J$139*SUBSIDIO!$Y$139)*(0.02)/(1-0.02)</f>
        <v>109.26801239308929</v>
      </c>
      <c r="AE139" s="52">
        <f>((SUBSIDIO!$L$139*SUBSIDIO!$Z$139)+(SUBSIDIO!$N$139*SUBSIDIO!$AA$139))*(0.02)/(1-0.02)</f>
        <v>0</v>
      </c>
      <c r="AF139" s="4" t="s">
        <v>561</v>
      </c>
    </row>
    <row r="140" spans="1:32" ht="11.25" customHeight="1" x14ac:dyDescent="0.25">
      <c r="A140" s="4" t="s">
        <v>28</v>
      </c>
      <c r="B140" s="4" t="s">
        <v>35</v>
      </c>
      <c r="C140" s="4" t="s">
        <v>36</v>
      </c>
      <c r="D140" s="4" t="s">
        <v>41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44593</v>
      </c>
      <c r="J140" s="6">
        <v>333</v>
      </c>
      <c r="K140" s="52">
        <v>333</v>
      </c>
      <c r="L140" s="6">
        <v>0</v>
      </c>
      <c r="M140" s="52">
        <v>0</v>
      </c>
      <c r="N140" s="6">
        <v>0</v>
      </c>
      <c r="O140" s="52">
        <v>0</v>
      </c>
      <c r="P140" s="6">
        <v>3</v>
      </c>
      <c r="Q140" s="4" t="s">
        <v>26</v>
      </c>
      <c r="R140" s="4">
        <v>0</v>
      </c>
      <c r="S140" s="4">
        <v>11</v>
      </c>
      <c r="T140" s="4">
        <v>0</v>
      </c>
      <c r="U140" s="4">
        <v>0</v>
      </c>
      <c r="V140" s="52">
        <f>IF(ISERROR(VLOOKUP($S$140,'TAR FIN'!$A$1:$O$88,15,0)),0,VLOOKUP($S$140,'TAR FIN'!$A$1:$O$88,15,0))*(1-0.04)</f>
        <v>43.603200000000001</v>
      </c>
      <c r="W140" s="52">
        <f>IF(ISERROR(VLOOKUP($T$140,'TAR FIN'!$A$1:$O$88,15,0)),0,VLOOKUP($T$140,'TAR FIN'!$A$1:$O$88,15,0))</f>
        <v>0</v>
      </c>
      <c r="X140" s="52">
        <f>IF(ISERROR(VLOOKUP($U$140,'TAR FIN'!$A$1:$O$88,15,0)),0,VLOOKUP($U$140,'TAR FIN'!$A$1:$O$88,15,0))</f>
        <v>0</v>
      </c>
      <c r="Y140" s="52">
        <f ca="1">('TUSD BE'!$AM$10+'TUSD BF'!$AM$10+'TUSD CVA'!$AM$10)*1*(1-0.02)</f>
        <v>50.510684974163915</v>
      </c>
      <c r="Z140" s="52"/>
      <c r="AA140" s="52"/>
      <c r="AB140" s="52">
        <f>(SUBSIDIO!$J$140*SUBSIDIO!$V$140)*(0.04)/(1-0.04)</f>
        <v>604.99440000000004</v>
      </c>
      <c r="AC140" s="52">
        <f>((SUBSIDIO!$L$140*SUBSIDIO!$W$140)+(SUBSIDIO!$N$140*SUBSIDIO!$X$140))*(0.04)/(1-0.04)</f>
        <v>0</v>
      </c>
      <c r="AD140" s="52">
        <f ca="1">(SUBSIDIO!$J$140*SUBSIDIO!$Y$140)*(0.02)/(1-0.02)</f>
        <v>343.26649176319563</v>
      </c>
      <c r="AE140" s="52">
        <f>((SUBSIDIO!$L$140*SUBSIDIO!$Z$140)+(SUBSIDIO!$N$140*SUBSIDIO!$AA$140))*(0.02)/(1-0.02)</f>
        <v>0</v>
      </c>
      <c r="AF140" s="4" t="s">
        <v>561</v>
      </c>
    </row>
    <row r="141" spans="1:32" ht="11.25" customHeight="1" x14ac:dyDescent="0.25">
      <c r="A141" s="4" t="s">
        <v>21</v>
      </c>
      <c r="B141" s="4" t="s">
        <v>35</v>
      </c>
      <c r="C141" s="4" t="s">
        <v>36</v>
      </c>
      <c r="D141" s="4" t="s">
        <v>41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44621</v>
      </c>
      <c r="J141" s="6">
        <v>284</v>
      </c>
      <c r="K141" s="52">
        <v>284</v>
      </c>
      <c r="L141" s="6">
        <v>0</v>
      </c>
      <c r="M141" s="52">
        <v>0</v>
      </c>
      <c r="N141" s="6">
        <v>0</v>
      </c>
      <c r="O141" s="52">
        <v>0</v>
      </c>
      <c r="P141" s="6">
        <v>3</v>
      </c>
      <c r="Q141" s="4" t="s">
        <v>26</v>
      </c>
      <c r="R141" s="4">
        <v>0</v>
      </c>
      <c r="S141" s="4">
        <v>11</v>
      </c>
      <c r="T141" s="4">
        <v>0</v>
      </c>
      <c r="U141" s="4">
        <v>0</v>
      </c>
      <c r="V141" s="52">
        <f>IF(ISERROR(VLOOKUP($S$141,'TAR FIN'!$A$1:$O$88,15,0)),0,VLOOKUP($S$141,'TAR FIN'!$A$1:$O$88,15,0))*(1-0.04)</f>
        <v>43.603200000000001</v>
      </c>
      <c r="W141" s="52">
        <f>IF(ISERROR(VLOOKUP($T$141,'TAR FIN'!$A$1:$O$88,15,0)),0,VLOOKUP($T$141,'TAR FIN'!$A$1:$O$88,15,0))</f>
        <v>0</v>
      </c>
      <c r="X141" s="52">
        <f>IF(ISERROR(VLOOKUP($U$141,'TAR FIN'!$A$1:$O$88,15,0)),0,VLOOKUP($U$141,'TAR FIN'!$A$1:$O$88,15,0))</f>
        <v>0</v>
      </c>
      <c r="Y141" s="52">
        <f ca="1">('TUSD BE'!$AM$10+'TUSD BF'!$AM$10+'TUSD CVA'!$AM$10)*1*(1-0.02)</f>
        <v>50.510684974163915</v>
      </c>
      <c r="Z141" s="52"/>
      <c r="AA141" s="52"/>
      <c r="AB141" s="52">
        <f>(SUBSIDIO!$J$141*SUBSIDIO!$V$141)*(0.04)/(1-0.04)</f>
        <v>515.97120000000007</v>
      </c>
      <c r="AC141" s="52">
        <f>((SUBSIDIO!$L$141*SUBSIDIO!$W$141)+(SUBSIDIO!$N$141*SUBSIDIO!$X$141))*(0.04)/(1-0.04)</f>
        <v>0</v>
      </c>
      <c r="AD141" s="52">
        <f ca="1">(SUBSIDIO!$J$141*SUBSIDIO!$Y$141)*(0.02)/(1-0.02)</f>
        <v>292.75580678903168</v>
      </c>
      <c r="AE141" s="52">
        <f>((SUBSIDIO!$L$141*SUBSIDIO!$Z$141)+(SUBSIDIO!$N$141*SUBSIDIO!$AA$141))*(0.02)/(1-0.02)</f>
        <v>0</v>
      </c>
      <c r="AF141" s="4" t="s">
        <v>561</v>
      </c>
    </row>
    <row r="142" spans="1:32" ht="11.25" customHeight="1" x14ac:dyDescent="0.25">
      <c r="A142" s="4" t="s">
        <v>28</v>
      </c>
      <c r="B142" s="4" t="s">
        <v>35</v>
      </c>
      <c r="C142" s="4" t="s">
        <v>36</v>
      </c>
      <c r="D142" s="4" t="s">
        <v>41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44621</v>
      </c>
      <c r="J142" s="6">
        <v>378</v>
      </c>
      <c r="K142" s="52">
        <v>378</v>
      </c>
      <c r="L142" s="6">
        <v>0</v>
      </c>
      <c r="M142" s="52">
        <v>0</v>
      </c>
      <c r="N142" s="6">
        <v>0</v>
      </c>
      <c r="O142" s="52">
        <v>0</v>
      </c>
      <c r="P142" s="6">
        <v>3</v>
      </c>
      <c r="Q142" s="4" t="s">
        <v>26</v>
      </c>
      <c r="R142" s="4">
        <v>0</v>
      </c>
      <c r="S142" s="4">
        <v>11</v>
      </c>
      <c r="T142" s="4">
        <v>0</v>
      </c>
      <c r="U142" s="4">
        <v>0</v>
      </c>
      <c r="V142" s="52">
        <f>IF(ISERROR(VLOOKUP($S$142,'TAR FIN'!$A$1:$O$88,15,0)),0,VLOOKUP($S$142,'TAR FIN'!$A$1:$O$88,15,0))*(1-0.04)</f>
        <v>43.603200000000001</v>
      </c>
      <c r="W142" s="52">
        <f>IF(ISERROR(VLOOKUP($T$142,'TAR FIN'!$A$1:$O$88,15,0)),0,VLOOKUP($T$142,'TAR FIN'!$A$1:$O$88,15,0))</f>
        <v>0</v>
      </c>
      <c r="X142" s="52">
        <f>IF(ISERROR(VLOOKUP($U$142,'TAR FIN'!$A$1:$O$88,15,0)),0,VLOOKUP($U$142,'TAR FIN'!$A$1:$O$88,15,0))</f>
        <v>0</v>
      </c>
      <c r="Y142" s="52">
        <f ca="1">('TUSD BE'!$AM$10+'TUSD BF'!$AM$10+'TUSD CVA'!$AM$10)*1*(1-0.02)</f>
        <v>50.510684974163915</v>
      </c>
      <c r="Z142" s="52"/>
      <c r="AA142" s="52"/>
      <c r="AB142" s="52">
        <f>(SUBSIDIO!$J$142*SUBSIDIO!$V$142)*(0.04)/(1-0.04)</f>
        <v>686.75040000000001</v>
      </c>
      <c r="AC142" s="52">
        <f>((SUBSIDIO!$L$142*SUBSIDIO!$W$142)+(SUBSIDIO!$N$142*SUBSIDIO!$X$142))*(0.04)/(1-0.04)</f>
        <v>0</v>
      </c>
      <c r="AD142" s="52">
        <f ca="1">(SUBSIDIO!$J$142*SUBSIDIO!$Y$142)*(0.02)/(1-0.02)</f>
        <v>389.65385551497883</v>
      </c>
      <c r="AE142" s="52">
        <f>((SUBSIDIO!$L$142*SUBSIDIO!$Z$142)+(SUBSIDIO!$N$142*SUBSIDIO!$AA$142))*(0.02)/(1-0.02)</f>
        <v>0</v>
      </c>
      <c r="AF142" s="4" t="s">
        <v>561</v>
      </c>
    </row>
    <row r="143" spans="1:32" ht="11.25" customHeight="1" x14ac:dyDescent="0.25">
      <c r="A143" s="4" t="s">
        <v>28</v>
      </c>
      <c r="B143" s="4" t="s">
        <v>35</v>
      </c>
      <c r="C143" s="4" t="s">
        <v>36</v>
      </c>
      <c r="D143" s="4" t="s">
        <v>41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44621</v>
      </c>
      <c r="J143" s="6">
        <v>-3</v>
      </c>
      <c r="K143" s="52">
        <v>-3</v>
      </c>
      <c r="L143" s="6">
        <v>0</v>
      </c>
      <c r="M143" s="52">
        <v>0</v>
      </c>
      <c r="N143" s="6">
        <v>0</v>
      </c>
      <c r="O143" s="52">
        <v>0</v>
      </c>
      <c r="P143" s="6">
        <v>2</v>
      </c>
      <c r="Q143" s="4" t="s">
        <v>26</v>
      </c>
      <c r="R143" s="4">
        <v>0</v>
      </c>
      <c r="S143" s="4">
        <v>11</v>
      </c>
      <c r="T143" s="4">
        <v>0</v>
      </c>
      <c r="U143" s="4">
        <v>0</v>
      </c>
      <c r="V143" s="52">
        <f>IF(ISERROR(VLOOKUP($S$143,'TAR FIN'!$A$1:$O$88,15,0)),0,VLOOKUP($S$143,'TAR FIN'!$A$1:$O$88,15,0))*(1-0.04)</f>
        <v>43.603200000000001</v>
      </c>
      <c r="W143" s="52">
        <f>IF(ISERROR(VLOOKUP($T$143,'TAR FIN'!$A$1:$O$88,15,0)),0,VLOOKUP($T$143,'TAR FIN'!$A$1:$O$88,15,0))</f>
        <v>0</v>
      </c>
      <c r="X143" s="52">
        <f>IF(ISERROR(VLOOKUP($U$143,'TAR FIN'!$A$1:$O$88,15,0)),0,VLOOKUP($U$143,'TAR FIN'!$A$1:$O$88,15,0))</f>
        <v>0</v>
      </c>
      <c r="Y143" s="52">
        <f ca="1">('TUSD BE'!$AM$10+'TUSD BF'!$AM$10+'TUSD CVA'!$AM$10)*1*(1-0.02)</f>
        <v>50.510684974163915</v>
      </c>
      <c r="Z143" s="52"/>
      <c r="AA143" s="52"/>
      <c r="AB143" s="52">
        <f>(SUBSIDIO!$J$143*SUBSIDIO!$V$143)*(0.04)/(1-0.04)</f>
        <v>-5.4504000000000001</v>
      </c>
      <c r="AC143" s="52">
        <f>((SUBSIDIO!$L$143*SUBSIDIO!$W$143)+(SUBSIDIO!$N$143*SUBSIDIO!$X$143))*(0.04)/(1-0.04)</f>
        <v>0</v>
      </c>
      <c r="AD143" s="52">
        <f ca="1">(SUBSIDIO!$J$143*SUBSIDIO!$Y$143)*(0.02)/(1-0.02)</f>
        <v>-3.0924909167855454</v>
      </c>
      <c r="AE143" s="52">
        <f>((SUBSIDIO!$L$143*SUBSIDIO!$Z$143)+(SUBSIDIO!$N$143*SUBSIDIO!$AA$143))*(0.02)/(1-0.02)</f>
        <v>0</v>
      </c>
      <c r="AF143" s="4" t="s">
        <v>561</v>
      </c>
    </row>
    <row r="144" spans="1:32" ht="11.25" customHeight="1" x14ac:dyDescent="0.25">
      <c r="A144" s="4" t="s">
        <v>21</v>
      </c>
      <c r="B144" s="4" t="s">
        <v>35</v>
      </c>
      <c r="C144" s="4" t="s">
        <v>36</v>
      </c>
      <c r="D144" s="4" t="s">
        <v>41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44652</v>
      </c>
      <c r="J144" s="6">
        <v>319</v>
      </c>
      <c r="K144" s="52">
        <v>319</v>
      </c>
      <c r="L144" s="6">
        <v>0</v>
      </c>
      <c r="M144" s="52">
        <v>0</v>
      </c>
      <c r="N144" s="6">
        <v>0</v>
      </c>
      <c r="O144" s="52">
        <v>0</v>
      </c>
      <c r="P144" s="6">
        <v>3</v>
      </c>
      <c r="Q144" s="4" t="s">
        <v>26</v>
      </c>
      <c r="R144" s="4">
        <v>0</v>
      </c>
      <c r="S144" s="4">
        <v>11</v>
      </c>
      <c r="T144" s="4">
        <v>0</v>
      </c>
      <c r="U144" s="4">
        <v>0</v>
      </c>
      <c r="V144" s="52">
        <f>IF(ISERROR(VLOOKUP($S$144,'TAR FIN'!$A$1:$O$88,15,0)),0,VLOOKUP($S$144,'TAR FIN'!$A$1:$O$88,15,0))*(1-0.04)</f>
        <v>43.603200000000001</v>
      </c>
      <c r="W144" s="52">
        <f>IF(ISERROR(VLOOKUP($T$144,'TAR FIN'!$A$1:$O$88,15,0)),0,VLOOKUP($T$144,'TAR FIN'!$A$1:$O$88,15,0))</f>
        <v>0</v>
      </c>
      <c r="X144" s="52">
        <f>IF(ISERROR(VLOOKUP($U$144,'TAR FIN'!$A$1:$O$88,15,0)),0,VLOOKUP($U$144,'TAR FIN'!$A$1:$O$88,15,0))</f>
        <v>0</v>
      </c>
      <c r="Y144" s="52">
        <f ca="1">('TUSD BE'!$AM$10+'TUSD BF'!$AM$10+'TUSD CVA'!$AM$10)*1*(1-0.02)</f>
        <v>50.510684974163915</v>
      </c>
      <c r="Z144" s="52"/>
      <c r="AA144" s="52"/>
      <c r="AB144" s="52">
        <f>(SUBSIDIO!$J$144*SUBSIDIO!$V$144)*(0.04)/(1-0.04)</f>
        <v>579.55920000000003</v>
      </c>
      <c r="AC144" s="52">
        <f>((SUBSIDIO!$L$144*SUBSIDIO!$W$144)+(SUBSIDIO!$N$144*SUBSIDIO!$X$144))*(0.04)/(1-0.04)</f>
        <v>0</v>
      </c>
      <c r="AD144" s="52">
        <f ca="1">(SUBSIDIO!$J$144*SUBSIDIO!$Y$144)*(0.02)/(1-0.02)</f>
        <v>328.83486748486308</v>
      </c>
      <c r="AE144" s="52">
        <f>((SUBSIDIO!$L$144*SUBSIDIO!$Z$144)+(SUBSIDIO!$N$144*SUBSIDIO!$AA$144))*(0.02)/(1-0.02)</f>
        <v>0</v>
      </c>
      <c r="AF144" s="4" t="s">
        <v>561</v>
      </c>
    </row>
    <row r="145" spans="1:32" ht="11.25" customHeight="1" x14ac:dyDescent="0.25">
      <c r="A145" s="4" t="s">
        <v>28</v>
      </c>
      <c r="B145" s="4" t="s">
        <v>35</v>
      </c>
      <c r="C145" s="4" t="s">
        <v>36</v>
      </c>
      <c r="D145" s="4" t="s">
        <v>41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44652</v>
      </c>
      <c r="J145" s="6">
        <v>812</v>
      </c>
      <c r="K145" s="52">
        <v>812</v>
      </c>
      <c r="L145" s="6">
        <v>0</v>
      </c>
      <c r="M145" s="52">
        <v>0</v>
      </c>
      <c r="N145" s="6">
        <v>0</v>
      </c>
      <c r="O145" s="52">
        <v>0</v>
      </c>
      <c r="P145" s="6">
        <v>3</v>
      </c>
      <c r="Q145" s="4" t="s">
        <v>26</v>
      </c>
      <c r="R145" s="4">
        <v>0</v>
      </c>
      <c r="S145" s="4">
        <v>11</v>
      </c>
      <c r="T145" s="4">
        <v>0</v>
      </c>
      <c r="U145" s="4">
        <v>0</v>
      </c>
      <c r="V145" s="52">
        <f>IF(ISERROR(VLOOKUP($S$145,'TAR FIN'!$A$1:$O$88,15,0)),0,VLOOKUP($S$145,'TAR FIN'!$A$1:$O$88,15,0))*(1-0.04)</f>
        <v>43.603200000000001</v>
      </c>
      <c r="W145" s="52">
        <f>IF(ISERROR(VLOOKUP($T$145,'TAR FIN'!$A$1:$O$88,15,0)),0,VLOOKUP($T$145,'TAR FIN'!$A$1:$O$88,15,0))</f>
        <v>0</v>
      </c>
      <c r="X145" s="52">
        <f>IF(ISERROR(VLOOKUP($U$145,'TAR FIN'!$A$1:$O$88,15,0)),0,VLOOKUP($U$145,'TAR FIN'!$A$1:$O$88,15,0))</f>
        <v>0</v>
      </c>
      <c r="Y145" s="52">
        <f ca="1">('TUSD BE'!$AM$10+'TUSD BF'!$AM$10+'TUSD CVA'!$AM$10)*1*(1-0.02)</f>
        <v>50.510684974163915</v>
      </c>
      <c r="Z145" s="52"/>
      <c r="AA145" s="52"/>
      <c r="AB145" s="52">
        <f>(SUBSIDIO!$J$145*SUBSIDIO!$V$145)*(0.04)/(1-0.04)</f>
        <v>1475.2416000000001</v>
      </c>
      <c r="AC145" s="52">
        <f>((SUBSIDIO!$L$145*SUBSIDIO!$W$145)+(SUBSIDIO!$N$145*SUBSIDIO!$X$145))*(0.04)/(1-0.04)</f>
        <v>0</v>
      </c>
      <c r="AD145" s="52">
        <f ca="1">(SUBSIDIO!$J$145*SUBSIDIO!$Y$145)*(0.02)/(1-0.02)</f>
        <v>837.03420814328786</v>
      </c>
      <c r="AE145" s="52">
        <f>((SUBSIDIO!$L$145*SUBSIDIO!$Z$145)+(SUBSIDIO!$N$145*SUBSIDIO!$AA$145))*(0.02)/(1-0.02)</f>
        <v>0</v>
      </c>
      <c r="AF145" s="4" t="s">
        <v>561</v>
      </c>
    </row>
    <row r="146" spans="1:32" ht="11.25" customHeight="1" x14ac:dyDescent="0.25">
      <c r="A146" s="4" t="s">
        <v>21</v>
      </c>
      <c r="B146" s="4" t="s">
        <v>35</v>
      </c>
      <c r="C146" s="4" t="s">
        <v>36</v>
      </c>
      <c r="D146" s="4" t="s">
        <v>41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44682</v>
      </c>
      <c r="J146" s="6">
        <v>380</v>
      </c>
      <c r="K146" s="52">
        <v>380</v>
      </c>
      <c r="L146" s="6">
        <v>0</v>
      </c>
      <c r="M146" s="52">
        <v>0</v>
      </c>
      <c r="N146" s="6">
        <v>0</v>
      </c>
      <c r="O146" s="52">
        <v>0</v>
      </c>
      <c r="P146" s="6">
        <v>3</v>
      </c>
      <c r="Q146" s="4" t="s">
        <v>26</v>
      </c>
      <c r="R146" s="4">
        <v>0</v>
      </c>
      <c r="S146" s="4">
        <v>11</v>
      </c>
      <c r="T146" s="4">
        <v>0</v>
      </c>
      <c r="U146" s="4">
        <v>0</v>
      </c>
      <c r="V146" s="52">
        <f>IF(ISERROR(VLOOKUP($S$146,'TAR FIN'!$A$1:$O$88,15,0)),0,VLOOKUP($S$146,'TAR FIN'!$A$1:$O$88,15,0))*(1-0.04)</f>
        <v>43.603200000000001</v>
      </c>
      <c r="W146" s="52">
        <f>IF(ISERROR(VLOOKUP($T$146,'TAR FIN'!$A$1:$O$88,15,0)),0,VLOOKUP($T$146,'TAR FIN'!$A$1:$O$88,15,0))</f>
        <v>0</v>
      </c>
      <c r="X146" s="52">
        <f>IF(ISERROR(VLOOKUP($U$146,'TAR FIN'!$A$1:$O$88,15,0)),0,VLOOKUP($U$146,'TAR FIN'!$A$1:$O$88,15,0))</f>
        <v>0</v>
      </c>
      <c r="Y146" s="52">
        <f ca="1">('TUSD BE'!$AM$10+'TUSD BF'!$AM$10+'TUSD CVA'!$AM$10)*1*(1-0.02)</f>
        <v>50.510684974163915</v>
      </c>
      <c r="Z146" s="52"/>
      <c r="AA146" s="52"/>
      <c r="AB146" s="52">
        <f>(SUBSIDIO!$J$146*SUBSIDIO!$V$146)*(0.04)/(1-0.04)</f>
        <v>690.38400000000001</v>
      </c>
      <c r="AC146" s="52">
        <f>((SUBSIDIO!$L$146*SUBSIDIO!$W$146)+(SUBSIDIO!$N$146*SUBSIDIO!$X$146))*(0.04)/(1-0.04)</f>
        <v>0</v>
      </c>
      <c r="AD146" s="52">
        <f ca="1">(SUBSIDIO!$J$146*SUBSIDIO!$Y$146)*(0.02)/(1-0.02)</f>
        <v>391.71551612616918</v>
      </c>
      <c r="AE146" s="52">
        <f>((SUBSIDIO!$L$146*SUBSIDIO!$Z$146)+(SUBSIDIO!$N$146*SUBSIDIO!$AA$146))*(0.02)/(1-0.02)</f>
        <v>0</v>
      </c>
      <c r="AF146" s="4" t="s">
        <v>561</v>
      </c>
    </row>
    <row r="147" spans="1:32" ht="11.25" customHeight="1" x14ac:dyDescent="0.25">
      <c r="A147" s="4" t="s">
        <v>28</v>
      </c>
      <c r="B147" s="4" t="s">
        <v>35</v>
      </c>
      <c r="C147" s="4" t="s">
        <v>36</v>
      </c>
      <c r="D147" s="4" t="s">
        <v>41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44682</v>
      </c>
      <c r="J147" s="6">
        <v>768</v>
      </c>
      <c r="K147" s="52">
        <v>768</v>
      </c>
      <c r="L147" s="6">
        <v>0</v>
      </c>
      <c r="M147" s="52">
        <v>0</v>
      </c>
      <c r="N147" s="6">
        <v>0</v>
      </c>
      <c r="O147" s="52">
        <v>0</v>
      </c>
      <c r="P147" s="6">
        <v>3</v>
      </c>
      <c r="Q147" s="4" t="s">
        <v>26</v>
      </c>
      <c r="R147" s="4">
        <v>0</v>
      </c>
      <c r="S147" s="4">
        <v>11</v>
      </c>
      <c r="T147" s="4">
        <v>0</v>
      </c>
      <c r="U147" s="4">
        <v>0</v>
      </c>
      <c r="V147" s="52">
        <f>IF(ISERROR(VLOOKUP($S$147,'TAR FIN'!$A$1:$O$88,15,0)),0,VLOOKUP($S$147,'TAR FIN'!$A$1:$O$88,15,0))*(1-0.04)</f>
        <v>43.603200000000001</v>
      </c>
      <c r="W147" s="52">
        <f>IF(ISERROR(VLOOKUP($T$147,'TAR FIN'!$A$1:$O$88,15,0)),0,VLOOKUP($T$147,'TAR FIN'!$A$1:$O$88,15,0))</f>
        <v>0</v>
      </c>
      <c r="X147" s="52">
        <f>IF(ISERROR(VLOOKUP($U$147,'TAR FIN'!$A$1:$O$88,15,0)),0,VLOOKUP($U$147,'TAR FIN'!$A$1:$O$88,15,0))</f>
        <v>0</v>
      </c>
      <c r="Y147" s="52">
        <f ca="1">('TUSD BE'!$AM$10+'TUSD BF'!$AM$10+'TUSD CVA'!$AM$10)*1*(1-0.02)</f>
        <v>50.510684974163915</v>
      </c>
      <c r="Z147" s="52"/>
      <c r="AA147" s="52"/>
      <c r="AB147" s="52">
        <f>(SUBSIDIO!$J$147*SUBSIDIO!$V$147)*(0.04)/(1-0.04)</f>
        <v>1395.3024</v>
      </c>
      <c r="AC147" s="52">
        <f>((SUBSIDIO!$L$147*SUBSIDIO!$W$147)+(SUBSIDIO!$N$147*SUBSIDIO!$X$147))*(0.04)/(1-0.04)</f>
        <v>0</v>
      </c>
      <c r="AD147" s="52">
        <f ca="1">(SUBSIDIO!$J$147*SUBSIDIO!$Y$147)*(0.02)/(1-0.02)</f>
        <v>791.67767469709963</v>
      </c>
      <c r="AE147" s="52">
        <f>((SUBSIDIO!$L$147*SUBSIDIO!$Z$147)+(SUBSIDIO!$N$147*SUBSIDIO!$AA$147))*(0.02)/(1-0.02)</f>
        <v>0</v>
      </c>
      <c r="AF147" s="4" t="s">
        <v>561</v>
      </c>
    </row>
    <row r="148" spans="1:32" ht="11.25" customHeight="1" x14ac:dyDescent="0.25">
      <c r="A148" s="4" t="s">
        <v>21</v>
      </c>
      <c r="B148" s="4" t="s">
        <v>35</v>
      </c>
      <c r="C148" s="4" t="s">
        <v>36</v>
      </c>
      <c r="D148" s="4" t="s">
        <v>41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44713</v>
      </c>
      <c r="J148" s="6">
        <v>437</v>
      </c>
      <c r="K148" s="52">
        <v>437</v>
      </c>
      <c r="L148" s="6">
        <v>0</v>
      </c>
      <c r="M148" s="52">
        <v>0</v>
      </c>
      <c r="N148" s="6">
        <v>0</v>
      </c>
      <c r="O148" s="52">
        <v>0</v>
      </c>
      <c r="P148" s="6">
        <v>3</v>
      </c>
      <c r="Q148" s="4" t="s">
        <v>26</v>
      </c>
      <c r="R148" s="4">
        <v>0</v>
      </c>
      <c r="S148" s="4">
        <v>11</v>
      </c>
      <c r="T148" s="4">
        <v>0</v>
      </c>
      <c r="U148" s="4">
        <v>0</v>
      </c>
      <c r="V148" s="52">
        <f>IF(ISERROR(VLOOKUP($S$148,'TAR FIN'!$A$1:$O$88,15,0)),0,VLOOKUP($S$148,'TAR FIN'!$A$1:$O$88,15,0))*(1-0.04)</f>
        <v>43.603200000000001</v>
      </c>
      <c r="W148" s="52">
        <f>IF(ISERROR(VLOOKUP($T$148,'TAR FIN'!$A$1:$O$88,15,0)),0,VLOOKUP($T$148,'TAR FIN'!$A$1:$O$88,15,0))</f>
        <v>0</v>
      </c>
      <c r="X148" s="52">
        <f>IF(ISERROR(VLOOKUP($U$148,'TAR FIN'!$A$1:$O$88,15,0)),0,VLOOKUP($U$148,'TAR FIN'!$A$1:$O$88,15,0))</f>
        <v>0</v>
      </c>
      <c r="Y148" s="52">
        <f ca="1">('TUSD BE'!$AM$10+'TUSD BF'!$AM$10+'TUSD CVA'!$AM$10)*1*(1-0.02)</f>
        <v>50.510684974163915</v>
      </c>
      <c r="Z148" s="52"/>
      <c r="AA148" s="52"/>
      <c r="AB148" s="52">
        <f>(SUBSIDIO!$J$148*SUBSIDIO!$V$148)*(0.04)/(1-0.04)</f>
        <v>793.94159999999999</v>
      </c>
      <c r="AC148" s="52">
        <f>((SUBSIDIO!$L$148*SUBSIDIO!$W$148)+(SUBSIDIO!$N$148*SUBSIDIO!$X$148))*(0.04)/(1-0.04)</f>
        <v>0</v>
      </c>
      <c r="AD148" s="52">
        <f ca="1">(SUBSIDIO!$J$148*SUBSIDIO!$Y$148)*(0.02)/(1-0.02)</f>
        <v>450.47284354509446</v>
      </c>
      <c r="AE148" s="52">
        <f>((SUBSIDIO!$L$148*SUBSIDIO!$Z$148)+(SUBSIDIO!$N$148*SUBSIDIO!$AA$148))*(0.02)/(1-0.02)</f>
        <v>0</v>
      </c>
      <c r="AF148" s="4" t="s">
        <v>561</v>
      </c>
    </row>
    <row r="149" spans="1:32" ht="11.25" customHeight="1" x14ac:dyDescent="0.25">
      <c r="A149" s="4" t="s">
        <v>28</v>
      </c>
      <c r="B149" s="4" t="s">
        <v>35</v>
      </c>
      <c r="C149" s="4" t="s">
        <v>36</v>
      </c>
      <c r="D149" s="4" t="s">
        <v>41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44713</v>
      </c>
      <c r="J149" s="6">
        <v>700</v>
      </c>
      <c r="K149" s="52">
        <v>700</v>
      </c>
      <c r="L149" s="6">
        <v>0</v>
      </c>
      <c r="M149" s="52">
        <v>0</v>
      </c>
      <c r="N149" s="6">
        <v>0</v>
      </c>
      <c r="O149" s="52">
        <v>0</v>
      </c>
      <c r="P149" s="6">
        <v>3</v>
      </c>
      <c r="Q149" s="4" t="s">
        <v>26</v>
      </c>
      <c r="R149" s="4">
        <v>0</v>
      </c>
      <c r="S149" s="4">
        <v>11</v>
      </c>
      <c r="T149" s="4">
        <v>0</v>
      </c>
      <c r="U149" s="4">
        <v>0</v>
      </c>
      <c r="V149" s="52">
        <f>IF(ISERROR(VLOOKUP($S$149,'TAR FIN'!$A$1:$O$88,15,0)),0,VLOOKUP($S$149,'TAR FIN'!$A$1:$O$88,15,0))*(1-0.04)</f>
        <v>43.603200000000001</v>
      </c>
      <c r="W149" s="52">
        <f>IF(ISERROR(VLOOKUP($T$149,'TAR FIN'!$A$1:$O$88,15,0)),0,VLOOKUP($T$149,'TAR FIN'!$A$1:$O$88,15,0))</f>
        <v>0</v>
      </c>
      <c r="X149" s="52">
        <f>IF(ISERROR(VLOOKUP($U$149,'TAR FIN'!$A$1:$O$88,15,0)),0,VLOOKUP($U$149,'TAR FIN'!$A$1:$O$88,15,0))</f>
        <v>0</v>
      </c>
      <c r="Y149" s="52">
        <f ca="1">('TUSD BE'!$AM$10+'TUSD BF'!$AM$10+'TUSD CVA'!$AM$10)*1*(1-0.02)</f>
        <v>50.510684974163915</v>
      </c>
      <c r="Z149" s="52"/>
      <c r="AA149" s="52"/>
      <c r="AB149" s="52">
        <f>(SUBSIDIO!$J$149*SUBSIDIO!$V$149)*(0.04)/(1-0.04)</f>
        <v>1271.7600000000002</v>
      </c>
      <c r="AC149" s="52">
        <f>((SUBSIDIO!$L$149*SUBSIDIO!$W$149)+(SUBSIDIO!$N$149*SUBSIDIO!$X$149))*(0.04)/(1-0.04)</f>
        <v>0</v>
      </c>
      <c r="AD149" s="52">
        <f ca="1">(SUBSIDIO!$J$149*SUBSIDIO!$Y$149)*(0.02)/(1-0.02)</f>
        <v>721.58121391662746</v>
      </c>
      <c r="AE149" s="52">
        <f>((SUBSIDIO!$L$149*SUBSIDIO!$Z$149)+(SUBSIDIO!$N$149*SUBSIDIO!$AA$149))*(0.02)/(1-0.02)</f>
        <v>0</v>
      </c>
      <c r="AF149" s="4" t="s">
        <v>561</v>
      </c>
    </row>
    <row r="150" spans="1:32" ht="11.25" customHeight="1" x14ac:dyDescent="0.25">
      <c r="A150" s="4" t="s">
        <v>21</v>
      </c>
      <c r="B150" s="4" t="s">
        <v>35</v>
      </c>
      <c r="C150" s="4" t="s">
        <v>36</v>
      </c>
      <c r="D150" s="4" t="s">
        <v>41</v>
      </c>
      <c r="E150" s="4" t="s">
        <v>25</v>
      </c>
      <c r="F150" s="4" t="s">
        <v>25</v>
      </c>
      <c r="G150" s="4" t="s">
        <v>25</v>
      </c>
      <c r="H150" s="4" t="s">
        <v>37</v>
      </c>
      <c r="I150" s="5">
        <v>44378</v>
      </c>
      <c r="J150" s="6">
        <v>0</v>
      </c>
      <c r="K150" s="52">
        <v>0</v>
      </c>
      <c r="L150" s="6">
        <v>2.3250000000000002</v>
      </c>
      <c r="M150" s="52">
        <v>2.3250000000000002</v>
      </c>
      <c r="N150" s="6">
        <v>2.3250000000000002</v>
      </c>
      <c r="O150" s="52">
        <v>2.3250000000000002</v>
      </c>
      <c r="P150" s="6">
        <v>0</v>
      </c>
      <c r="Q150" s="4" t="s">
        <v>26</v>
      </c>
      <c r="R150" s="4">
        <v>0</v>
      </c>
      <c r="S150" s="4">
        <v>0</v>
      </c>
      <c r="T150" s="4">
        <v>7</v>
      </c>
      <c r="U150" s="4">
        <v>41</v>
      </c>
      <c r="V150" s="52">
        <f>IF(ISERROR(VLOOKUP($S$150,'TAR FIN'!$A$1:$O$88,15,0)),0,VLOOKUP($S$150,'TAR FIN'!$A$1:$O$88,15,0))</f>
        <v>0</v>
      </c>
      <c r="W150" s="52">
        <f>IF(ISERROR(VLOOKUP($T$150,'TAR FIN'!$A$1:$O$88,15,0)),0,VLOOKUP($T$150,'TAR FIN'!$A$1:$O$88,15,0))*(1-0.04)</f>
        <v>1406.5151999999998</v>
      </c>
      <c r="X150" s="52">
        <f>IF(ISERROR(VLOOKUP($U$150,'TAR FIN'!$A$1:$O$88,15,0)),0,VLOOKUP($U$150,'TAR FIN'!$A$1:$O$88,15,0))*(1-0.04)</f>
        <v>242.13119999999998</v>
      </c>
      <c r="Y150" s="52"/>
      <c r="Z150" s="52">
        <f ca="1">('TUSD BE'!$AM$11+'TUSD BF'!$AM$11+'TUSD CVA'!$AM$11)*1*(1-0.02)</f>
        <v>1619.5733401074451</v>
      </c>
      <c r="AA150" s="52">
        <f>('TE BE'!$AB$5+'TE BF'!$AB$5+'TE CVA'!$AB$5)*1*(1-0.02)</f>
        <v>246.88600565553992</v>
      </c>
      <c r="AB150" s="52">
        <f>(SUBSIDIO!$J$150*SUBSIDIO!$V$150)*(0.04)/(1-0.04)</f>
        <v>0</v>
      </c>
      <c r="AC150" s="52">
        <f>((SUBSIDIO!$L$150*SUBSIDIO!$W$150)+(SUBSIDIO!$N$150*SUBSIDIO!$X$150))*(0.04)/(1-0.04)</f>
        <v>159.71261999999999</v>
      </c>
      <c r="AD150" s="52">
        <f>(SUBSIDIO!$J$150*SUBSIDIO!$Y$150)*(0.02)/(1-0.02)</f>
        <v>0</v>
      </c>
      <c r="AE150" s="52">
        <f ca="1">((SUBSIDIO!$L$150*SUBSIDIO!$Z$150)+(SUBSIDIO!$N$150*SUBSIDIO!$AA$150))*(0.02)/(1-0.02)</f>
        <v>88.561591406100831</v>
      </c>
      <c r="AF150" s="4" t="s">
        <v>561</v>
      </c>
    </row>
    <row r="151" spans="1:32" ht="11.25" customHeight="1" x14ac:dyDescent="0.25">
      <c r="A151" s="4" t="s">
        <v>28</v>
      </c>
      <c r="B151" s="4" t="s">
        <v>35</v>
      </c>
      <c r="C151" s="4" t="s">
        <v>36</v>
      </c>
      <c r="D151" s="4" t="s">
        <v>41</v>
      </c>
      <c r="E151" s="4" t="s">
        <v>25</v>
      </c>
      <c r="F151" s="4" t="s">
        <v>25</v>
      </c>
      <c r="G151" s="4" t="s">
        <v>25</v>
      </c>
      <c r="H151" s="4" t="s">
        <v>37</v>
      </c>
      <c r="I151" s="5">
        <v>44378</v>
      </c>
      <c r="J151" s="6">
        <v>0</v>
      </c>
      <c r="K151" s="52">
        <v>0</v>
      </c>
      <c r="L151" s="6">
        <v>-11.004</v>
      </c>
      <c r="M151" s="52">
        <v>-11.004</v>
      </c>
      <c r="N151" s="6">
        <v>-11.004</v>
      </c>
      <c r="O151" s="52">
        <v>-11.004</v>
      </c>
      <c r="P151" s="6">
        <v>0</v>
      </c>
      <c r="Q151" s="4" t="s">
        <v>26</v>
      </c>
      <c r="R151" s="4">
        <v>0</v>
      </c>
      <c r="S151" s="4">
        <v>0</v>
      </c>
      <c r="T151" s="4">
        <v>7</v>
      </c>
      <c r="U151" s="4">
        <v>41</v>
      </c>
      <c r="V151" s="52">
        <f>IF(ISERROR(VLOOKUP($S$151,'TAR FIN'!$A$1:$O$88,15,0)),0,VLOOKUP($S$151,'TAR FIN'!$A$1:$O$88,15,0))</f>
        <v>0</v>
      </c>
      <c r="W151" s="52">
        <f>IF(ISERROR(VLOOKUP($T$151,'TAR FIN'!$A$1:$O$88,15,0)),0,VLOOKUP($T$151,'TAR FIN'!$A$1:$O$88,15,0))*(1-0.04)</f>
        <v>1406.5151999999998</v>
      </c>
      <c r="X151" s="52">
        <f>IF(ISERROR(VLOOKUP($U$151,'TAR FIN'!$A$1:$O$88,15,0)),0,VLOOKUP($U$151,'TAR FIN'!$A$1:$O$88,15,0))*(1-0.04)</f>
        <v>242.13119999999998</v>
      </c>
      <c r="Y151" s="52"/>
      <c r="Z151" s="52">
        <f ca="1">('TUSD BE'!$AM$11+'TUSD BF'!$AM$11+'TUSD CVA'!$AM$11)*1*(1-0.02)</f>
        <v>1619.5733401074451</v>
      </c>
      <c r="AA151" s="52">
        <f>('TE BE'!$AB$5+'TE BF'!$AB$5+'TE CVA'!$AB$5)*1*(1-0.02)</f>
        <v>246.88600565553992</v>
      </c>
      <c r="AB151" s="52">
        <f>(SUBSIDIO!$J$151*SUBSIDIO!$V$151)*(0.04)/(1-0.04)</f>
        <v>0</v>
      </c>
      <c r="AC151" s="52">
        <f>((SUBSIDIO!$L$151*SUBSIDIO!$W$151)+(SUBSIDIO!$N$151*SUBSIDIO!$X$151))*(0.04)/(1-0.04)</f>
        <v>-755.90437439999994</v>
      </c>
      <c r="AD151" s="52">
        <f>(SUBSIDIO!$J$151*SUBSIDIO!$Y$151)*(0.02)/(1-0.02)</f>
        <v>0</v>
      </c>
      <c r="AE151" s="52">
        <f ca="1">((SUBSIDIO!$L$151*SUBSIDIO!$Z$151)+(SUBSIDIO!$N$151*SUBSIDIO!$AA$151))*(0.02)/(1-0.02)</f>
        <v>-419.15344164848744</v>
      </c>
      <c r="AF151" s="4" t="s">
        <v>561</v>
      </c>
    </row>
    <row r="152" spans="1:32" ht="11.25" customHeight="1" x14ac:dyDescent="0.25">
      <c r="A152" s="4" t="s">
        <v>21</v>
      </c>
      <c r="B152" s="4" t="s">
        <v>35</v>
      </c>
      <c r="C152" s="4" t="s">
        <v>36</v>
      </c>
      <c r="D152" s="4" t="s">
        <v>41</v>
      </c>
      <c r="E152" s="4" t="s">
        <v>25</v>
      </c>
      <c r="F152" s="4" t="s">
        <v>25</v>
      </c>
      <c r="G152" s="4" t="s">
        <v>25</v>
      </c>
      <c r="H152" s="4" t="s">
        <v>37</v>
      </c>
      <c r="I152" s="5">
        <v>44409</v>
      </c>
      <c r="J152" s="6">
        <v>0</v>
      </c>
      <c r="K152" s="52">
        <v>0</v>
      </c>
      <c r="L152" s="6">
        <v>3.3759999999999999</v>
      </c>
      <c r="M152" s="52">
        <v>3.3759999999999999</v>
      </c>
      <c r="N152" s="6">
        <v>3.3759999999999999</v>
      </c>
      <c r="O152" s="52">
        <v>3.3759999999999999</v>
      </c>
      <c r="P152" s="6">
        <v>0</v>
      </c>
      <c r="Q152" s="4" t="s">
        <v>26</v>
      </c>
      <c r="R152" s="4">
        <v>0</v>
      </c>
      <c r="S152" s="4">
        <v>0</v>
      </c>
      <c r="T152" s="4">
        <v>7</v>
      </c>
      <c r="U152" s="4">
        <v>41</v>
      </c>
      <c r="V152" s="52">
        <f>IF(ISERROR(VLOOKUP($S$152,'TAR FIN'!$A$1:$O$88,15,0)),0,VLOOKUP($S$152,'TAR FIN'!$A$1:$O$88,15,0))</f>
        <v>0</v>
      </c>
      <c r="W152" s="52">
        <f>IF(ISERROR(VLOOKUP($T$152,'TAR FIN'!$A$1:$O$88,15,0)),0,VLOOKUP($T$152,'TAR FIN'!$A$1:$O$88,15,0))*(1-0.04)</f>
        <v>1406.5151999999998</v>
      </c>
      <c r="X152" s="52">
        <f>IF(ISERROR(VLOOKUP($U$152,'TAR FIN'!$A$1:$O$88,15,0)),0,VLOOKUP($U$152,'TAR FIN'!$A$1:$O$88,15,0))*(1-0.04)</f>
        <v>242.13119999999998</v>
      </c>
      <c r="Y152" s="52"/>
      <c r="Z152" s="52">
        <f ca="1">('TUSD BE'!$AM$11+'TUSD BF'!$AM$11+'TUSD CVA'!$AM$11)*1*(1-0.02)</f>
        <v>1619.5733401074451</v>
      </c>
      <c r="AA152" s="52">
        <f>('TE BE'!$AB$5+'TE BF'!$AB$5+'TE CVA'!$AB$5)*1*(1-0.02)</f>
        <v>246.88600565553992</v>
      </c>
      <c r="AB152" s="52">
        <f>(SUBSIDIO!$J$152*SUBSIDIO!$V$152)*(0.04)/(1-0.04)</f>
        <v>0</v>
      </c>
      <c r="AC152" s="52">
        <f>((SUBSIDIO!$L$152*SUBSIDIO!$W$152)+(SUBSIDIO!$N$152*SUBSIDIO!$X$152))*(0.04)/(1-0.04)</f>
        <v>231.90959359999997</v>
      </c>
      <c r="AD152" s="52">
        <f>(SUBSIDIO!$J$152*SUBSIDIO!$Y$152)*(0.02)/(1-0.02)</f>
        <v>0</v>
      </c>
      <c r="AE152" s="52">
        <f ca="1">((SUBSIDIO!$L$152*SUBSIDIO!$Z$152)+(SUBSIDIO!$N$152*SUBSIDIO!$AA$152))*(0.02)/(1-0.02)</f>
        <v>128.59523982236402</v>
      </c>
      <c r="AF152" s="4" t="s">
        <v>561</v>
      </c>
    </row>
    <row r="153" spans="1:32" ht="11.25" customHeight="1" x14ac:dyDescent="0.25">
      <c r="A153" s="4" t="s">
        <v>21</v>
      </c>
      <c r="B153" s="4" t="s">
        <v>35</v>
      </c>
      <c r="C153" s="4" t="s">
        <v>36</v>
      </c>
      <c r="D153" s="4" t="s">
        <v>41</v>
      </c>
      <c r="E153" s="4" t="s">
        <v>25</v>
      </c>
      <c r="F153" s="4" t="s">
        <v>25</v>
      </c>
      <c r="G153" s="4" t="s">
        <v>25</v>
      </c>
      <c r="H153" s="4" t="s">
        <v>37</v>
      </c>
      <c r="I153" s="5">
        <v>44440</v>
      </c>
      <c r="J153" s="6">
        <v>0</v>
      </c>
      <c r="K153" s="52">
        <v>0</v>
      </c>
      <c r="L153" s="6">
        <v>2.831</v>
      </c>
      <c r="M153" s="52">
        <v>2.831</v>
      </c>
      <c r="N153" s="6">
        <v>2.831</v>
      </c>
      <c r="O153" s="52">
        <v>2.831</v>
      </c>
      <c r="P153" s="6">
        <v>0</v>
      </c>
      <c r="Q153" s="4" t="s">
        <v>26</v>
      </c>
      <c r="R153" s="4">
        <v>0</v>
      </c>
      <c r="S153" s="4">
        <v>0</v>
      </c>
      <c r="T153" s="4">
        <v>7</v>
      </c>
      <c r="U153" s="4">
        <v>41</v>
      </c>
      <c r="V153" s="52">
        <f>IF(ISERROR(VLOOKUP($S$153,'TAR FIN'!$A$1:$O$88,15,0)),0,VLOOKUP($S$153,'TAR FIN'!$A$1:$O$88,15,0))</f>
        <v>0</v>
      </c>
      <c r="W153" s="52">
        <f>IF(ISERROR(VLOOKUP($T$153,'TAR FIN'!$A$1:$O$88,15,0)),0,VLOOKUP($T$153,'TAR FIN'!$A$1:$O$88,15,0))*(1-0.04)</f>
        <v>1406.5151999999998</v>
      </c>
      <c r="X153" s="52">
        <f>IF(ISERROR(VLOOKUP($U$153,'TAR FIN'!$A$1:$O$88,15,0)),0,VLOOKUP($U$153,'TAR FIN'!$A$1:$O$88,15,0))*(1-0.04)</f>
        <v>242.13119999999998</v>
      </c>
      <c r="Y153" s="52"/>
      <c r="Z153" s="52">
        <f ca="1">('TUSD BE'!$AM$11+'TUSD BF'!$AM$11+'TUSD CVA'!$AM$11)*1*(1-0.02)</f>
        <v>1619.5733401074451</v>
      </c>
      <c r="AA153" s="52">
        <f>('TE BE'!$AB$5+'TE BF'!$AB$5+'TE CVA'!$AB$5)*1*(1-0.02)</f>
        <v>246.88600565553992</v>
      </c>
      <c r="AB153" s="52">
        <f>(SUBSIDIO!$J$153*SUBSIDIO!$V$153)*(0.04)/(1-0.04)</f>
        <v>0</v>
      </c>
      <c r="AC153" s="52">
        <f>((SUBSIDIO!$L$153*SUBSIDIO!$W$153)+(SUBSIDIO!$N$153*SUBSIDIO!$X$153))*(0.04)/(1-0.04)</f>
        <v>194.47158159999995</v>
      </c>
      <c r="AD153" s="52">
        <f>(SUBSIDIO!$J$153*SUBSIDIO!$Y$153)*(0.02)/(1-0.02)</f>
        <v>0</v>
      </c>
      <c r="AE153" s="52">
        <f ca="1">((SUBSIDIO!$L$153*SUBSIDIO!$Z$153)+(SUBSIDIO!$N$153*SUBSIDIO!$AA$153))*(0.02)/(1-0.02)</f>
        <v>107.83564097663286</v>
      </c>
      <c r="AF153" s="4" t="s">
        <v>561</v>
      </c>
    </row>
    <row r="154" spans="1:32" ht="11.25" customHeight="1" x14ac:dyDescent="0.25">
      <c r="A154" s="4" t="s">
        <v>21</v>
      </c>
      <c r="B154" s="4" t="s">
        <v>35</v>
      </c>
      <c r="C154" s="4" t="s">
        <v>36</v>
      </c>
      <c r="D154" s="4" t="s">
        <v>41</v>
      </c>
      <c r="E154" s="4" t="s">
        <v>25</v>
      </c>
      <c r="F154" s="4" t="s">
        <v>25</v>
      </c>
      <c r="G154" s="4" t="s">
        <v>25</v>
      </c>
      <c r="H154" s="4" t="s">
        <v>37</v>
      </c>
      <c r="I154" s="5">
        <v>44470</v>
      </c>
      <c r="J154" s="6">
        <v>0</v>
      </c>
      <c r="K154" s="52">
        <v>0</v>
      </c>
      <c r="L154" s="6">
        <v>2.9790000000000001</v>
      </c>
      <c r="M154" s="52">
        <v>2.9790000000000001</v>
      </c>
      <c r="N154" s="6">
        <v>2.9790000000000001</v>
      </c>
      <c r="O154" s="52">
        <v>2.9790000000000001</v>
      </c>
      <c r="P154" s="6">
        <v>0</v>
      </c>
      <c r="Q154" s="4" t="s">
        <v>26</v>
      </c>
      <c r="R154" s="4">
        <v>0</v>
      </c>
      <c r="S154" s="4">
        <v>0</v>
      </c>
      <c r="T154" s="4">
        <v>7</v>
      </c>
      <c r="U154" s="4">
        <v>41</v>
      </c>
      <c r="V154" s="52">
        <f>IF(ISERROR(VLOOKUP($S$154,'TAR FIN'!$A$1:$O$88,15,0)),0,VLOOKUP($S$154,'TAR FIN'!$A$1:$O$88,15,0))</f>
        <v>0</v>
      </c>
      <c r="W154" s="52">
        <f>IF(ISERROR(VLOOKUP($T$154,'TAR FIN'!$A$1:$O$88,15,0)),0,VLOOKUP($T$154,'TAR FIN'!$A$1:$O$88,15,0))*(1-0.04)</f>
        <v>1406.5151999999998</v>
      </c>
      <c r="X154" s="52">
        <f>IF(ISERROR(VLOOKUP($U$154,'TAR FIN'!$A$1:$O$88,15,0)),0,VLOOKUP($U$154,'TAR FIN'!$A$1:$O$88,15,0))*(1-0.04)</f>
        <v>242.13119999999998</v>
      </c>
      <c r="Y154" s="52"/>
      <c r="Z154" s="52">
        <f ca="1">('TUSD BE'!$AM$11+'TUSD BF'!$AM$11+'TUSD CVA'!$AM$11)*1*(1-0.02)</f>
        <v>1619.5733401074451</v>
      </c>
      <c r="AA154" s="52">
        <f>('TE BE'!$AB$5+'TE BF'!$AB$5+'TE CVA'!$AB$5)*1*(1-0.02)</f>
        <v>246.88600565553992</v>
      </c>
      <c r="AB154" s="52">
        <f>(SUBSIDIO!$J$154*SUBSIDIO!$V$154)*(0.04)/(1-0.04)</f>
        <v>0</v>
      </c>
      <c r="AC154" s="52">
        <f>((SUBSIDIO!$L$154*SUBSIDIO!$W$154)+(SUBSIDIO!$N$154*SUBSIDIO!$X$154))*(0.04)/(1-0.04)</f>
        <v>204.63823439999999</v>
      </c>
      <c r="AD154" s="52">
        <f>(SUBSIDIO!$J$154*SUBSIDIO!$Y$154)*(0.02)/(1-0.02)</f>
        <v>0</v>
      </c>
      <c r="AE154" s="52">
        <f ca="1">((SUBSIDIO!$L$154*SUBSIDIO!$Z$154)+(SUBSIDIO!$N$154*SUBSIDIO!$AA$154))*(0.02)/(1-0.02)</f>
        <v>113.47311002097823</v>
      </c>
      <c r="AF154" s="4" t="s">
        <v>561</v>
      </c>
    </row>
    <row r="155" spans="1:32" ht="11.25" customHeight="1" x14ac:dyDescent="0.25">
      <c r="A155" s="4" t="s">
        <v>21</v>
      </c>
      <c r="B155" s="4" t="s">
        <v>35</v>
      </c>
      <c r="C155" s="4" t="s">
        <v>36</v>
      </c>
      <c r="D155" s="4" t="s">
        <v>41</v>
      </c>
      <c r="E155" s="4" t="s">
        <v>25</v>
      </c>
      <c r="F155" s="4" t="s">
        <v>25</v>
      </c>
      <c r="G155" s="4" t="s">
        <v>25</v>
      </c>
      <c r="H155" s="4" t="s">
        <v>37</v>
      </c>
      <c r="I155" s="5">
        <v>44501</v>
      </c>
      <c r="J155" s="6">
        <v>0</v>
      </c>
      <c r="K155" s="52">
        <v>0</v>
      </c>
      <c r="L155" s="6">
        <v>3.573</v>
      </c>
      <c r="M155" s="52">
        <v>3.573</v>
      </c>
      <c r="N155" s="6">
        <v>3.573</v>
      </c>
      <c r="O155" s="52">
        <v>3.573</v>
      </c>
      <c r="P155" s="6">
        <v>0</v>
      </c>
      <c r="Q155" s="4" t="s">
        <v>26</v>
      </c>
      <c r="R155" s="4">
        <v>0</v>
      </c>
      <c r="S155" s="4">
        <v>0</v>
      </c>
      <c r="T155" s="4">
        <v>7</v>
      </c>
      <c r="U155" s="4">
        <v>41</v>
      </c>
      <c r="V155" s="52">
        <f>IF(ISERROR(VLOOKUP($S$155,'TAR FIN'!$A$1:$O$88,15,0)),0,VLOOKUP($S$155,'TAR FIN'!$A$1:$O$88,15,0))</f>
        <v>0</v>
      </c>
      <c r="W155" s="52">
        <f>IF(ISERROR(VLOOKUP($T$155,'TAR FIN'!$A$1:$O$88,15,0)),0,VLOOKUP($T$155,'TAR FIN'!$A$1:$O$88,15,0))*(1-0.04)</f>
        <v>1406.5151999999998</v>
      </c>
      <c r="X155" s="52">
        <f>IF(ISERROR(VLOOKUP($U$155,'TAR FIN'!$A$1:$O$88,15,0)),0,VLOOKUP($U$155,'TAR FIN'!$A$1:$O$88,15,0))*(1-0.04)</f>
        <v>242.13119999999998</v>
      </c>
      <c r="Y155" s="52"/>
      <c r="Z155" s="52">
        <f ca="1">('TUSD BE'!$AM$11+'TUSD BF'!$AM$11+'TUSD CVA'!$AM$11)*1*(1-0.02)</f>
        <v>1619.5733401074451</v>
      </c>
      <c r="AA155" s="52">
        <f>('TE BE'!$AB$5+'TE BF'!$AB$5+'TE CVA'!$AB$5)*1*(1-0.02)</f>
        <v>246.88600565553992</v>
      </c>
      <c r="AB155" s="52">
        <f>(SUBSIDIO!$J$155*SUBSIDIO!$V$155)*(0.04)/(1-0.04)</f>
        <v>0</v>
      </c>
      <c r="AC155" s="52">
        <f>((SUBSIDIO!$L$155*SUBSIDIO!$W$155)+(SUBSIDIO!$N$155*SUBSIDIO!$X$155))*(0.04)/(1-0.04)</f>
        <v>245.44223279999997</v>
      </c>
      <c r="AD155" s="52">
        <f>(SUBSIDIO!$J$155*SUBSIDIO!$Y$155)*(0.02)/(1-0.02)</f>
        <v>0</v>
      </c>
      <c r="AE155" s="52">
        <f ca="1">((SUBSIDIO!$L$155*SUBSIDIO!$Z$155)+(SUBSIDIO!$N$155*SUBSIDIO!$AA$155))*(0.02)/(1-0.02)</f>
        <v>136.09916821247236</v>
      </c>
      <c r="AF155" s="4" t="s">
        <v>561</v>
      </c>
    </row>
    <row r="156" spans="1:32" ht="11.25" customHeight="1" x14ac:dyDescent="0.25">
      <c r="A156" s="4" t="s">
        <v>21</v>
      </c>
      <c r="B156" s="4" t="s">
        <v>35</v>
      </c>
      <c r="C156" s="4" t="s">
        <v>36</v>
      </c>
      <c r="D156" s="4" t="s">
        <v>41</v>
      </c>
      <c r="E156" s="4" t="s">
        <v>25</v>
      </c>
      <c r="F156" s="4" t="s">
        <v>25</v>
      </c>
      <c r="G156" s="4" t="s">
        <v>25</v>
      </c>
      <c r="H156" s="4" t="s">
        <v>37</v>
      </c>
      <c r="I156" s="5">
        <v>44531</v>
      </c>
      <c r="J156" s="6">
        <v>0</v>
      </c>
      <c r="K156" s="52">
        <v>0</v>
      </c>
      <c r="L156" s="6">
        <v>3.4940000000000002</v>
      </c>
      <c r="M156" s="52">
        <v>3.4940000000000002</v>
      </c>
      <c r="N156" s="6">
        <v>3.4940000000000002</v>
      </c>
      <c r="O156" s="52">
        <v>3.4940000000000002</v>
      </c>
      <c r="P156" s="6">
        <v>0</v>
      </c>
      <c r="Q156" s="4" t="s">
        <v>26</v>
      </c>
      <c r="R156" s="4">
        <v>0</v>
      </c>
      <c r="S156" s="4">
        <v>0</v>
      </c>
      <c r="T156" s="4">
        <v>7</v>
      </c>
      <c r="U156" s="4">
        <v>41</v>
      </c>
      <c r="V156" s="52">
        <f>IF(ISERROR(VLOOKUP($S$156,'TAR FIN'!$A$1:$O$88,15,0)),0,VLOOKUP($S$156,'TAR FIN'!$A$1:$O$88,15,0))</f>
        <v>0</v>
      </c>
      <c r="W156" s="52">
        <f>IF(ISERROR(VLOOKUP($T$156,'TAR FIN'!$A$1:$O$88,15,0)),0,VLOOKUP($T$156,'TAR FIN'!$A$1:$O$88,15,0))*(1-0.04)</f>
        <v>1406.5151999999998</v>
      </c>
      <c r="X156" s="52">
        <f>IF(ISERROR(VLOOKUP($U$156,'TAR FIN'!$A$1:$O$88,15,0)),0,VLOOKUP($U$156,'TAR FIN'!$A$1:$O$88,15,0))*(1-0.04)</f>
        <v>242.13119999999998</v>
      </c>
      <c r="Y156" s="52"/>
      <c r="Z156" s="52">
        <f ca="1">('TUSD BE'!$AM$11+'TUSD BF'!$AM$11+'TUSD CVA'!$AM$11)*1*(1-0.02)</f>
        <v>1619.5733401074451</v>
      </c>
      <c r="AA156" s="52">
        <f>('TE BE'!$AB$5+'TE BF'!$AB$5+'TE CVA'!$AB$5)*1*(1-0.02)</f>
        <v>246.88600565553992</v>
      </c>
      <c r="AB156" s="52">
        <f>(SUBSIDIO!$J$156*SUBSIDIO!$V$156)*(0.04)/(1-0.04)</f>
        <v>0</v>
      </c>
      <c r="AC156" s="52">
        <f>((SUBSIDIO!$L$156*SUBSIDIO!$W$156)+(SUBSIDIO!$N$156*SUBSIDIO!$X$156))*(0.04)/(1-0.04)</f>
        <v>240.01543840000002</v>
      </c>
      <c r="AD156" s="52">
        <f>(SUBSIDIO!$J$156*SUBSIDIO!$Y$156)*(0.02)/(1-0.02)</f>
        <v>0</v>
      </c>
      <c r="AE156" s="52">
        <f ca="1">((SUBSIDIO!$L$156*SUBSIDIO!$Z$156)+(SUBSIDIO!$N$156*SUBSIDIO!$AA$156))*(0.02)/(1-0.02)</f>
        <v>133.08997865501777</v>
      </c>
      <c r="AF156" s="4" t="s">
        <v>561</v>
      </c>
    </row>
    <row r="157" spans="1:32" ht="11.25" customHeight="1" x14ac:dyDescent="0.25">
      <c r="A157" s="4" t="s">
        <v>21</v>
      </c>
      <c r="B157" s="4" t="s">
        <v>35</v>
      </c>
      <c r="C157" s="4" t="s">
        <v>36</v>
      </c>
      <c r="D157" s="4" t="s">
        <v>41</v>
      </c>
      <c r="E157" s="4" t="s">
        <v>25</v>
      </c>
      <c r="F157" s="4" t="s">
        <v>25</v>
      </c>
      <c r="G157" s="4" t="s">
        <v>25</v>
      </c>
      <c r="H157" s="4" t="s">
        <v>37</v>
      </c>
      <c r="I157" s="5">
        <v>44562</v>
      </c>
      <c r="J157" s="6">
        <v>0</v>
      </c>
      <c r="K157" s="52">
        <v>0</v>
      </c>
      <c r="L157" s="6">
        <v>4.181</v>
      </c>
      <c r="M157" s="52">
        <v>4.181</v>
      </c>
      <c r="N157" s="6">
        <v>4.181</v>
      </c>
      <c r="O157" s="52">
        <v>4.181</v>
      </c>
      <c r="P157" s="6">
        <v>0</v>
      </c>
      <c r="Q157" s="4" t="s">
        <v>26</v>
      </c>
      <c r="R157" s="4">
        <v>0</v>
      </c>
      <c r="S157" s="4">
        <v>0</v>
      </c>
      <c r="T157" s="4">
        <v>7</v>
      </c>
      <c r="U157" s="4">
        <v>41</v>
      </c>
      <c r="V157" s="52">
        <f>IF(ISERROR(VLOOKUP($S$157,'TAR FIN'!$A$1:$O$88,15,0)),0,VLOOKUP($S$157,'TAR FIN'!$A$1:$O$88,15,0))</f>
        <v>0</v>
      </c>
      <c r="W157" s="52">
        <f>IF(ISERROR(VLOOKUP($T$157,'TAR FIN'!$A$1:$O$88,15,0)),0,VLOOKUP($T$157,'TAR FIN'!$A$1:$O$88,15,0))*(1-0.04)</f>
        <v>1406.5151999999998</v>
      </c>
      <c r="X157" s="52">
        <f>IF(ISERROR(VLOOKUP($U$157,'TAR FIN'!$A$1:$O$88,15,0)),0,VLOOKUP($U$157,'TAR FIN'!$A$1:$O$88,15,0))*(1-0.04)</f>
        <v>242.13119999999998</v>
      </c>
      <c r="Y157" s="52"/>
      <c r="Z157" s="52">
        <f ca="1">('TUSD BE'!$AM$11+'TUSD BF'!$AM$11+'TUSD CVA'!$AM$11)*1*(1-0.02)</f>
        <v>1619.5733401074451</v>
      </c>
      <c r="AA157" s="52">
        <f>('TE BE'!$AB$5+'TE BF'!$AB$5+'TE CVA'!$AB$5)*1*(1-0.02)</f>
        <v>246.88600565553992</v>
      </c>
      <c r="AB157" s="52">
        <f>(SUBSIDIO!$J$157*SUBSIDIO!$V$157)*(0.04)/(1-0.04)</f>
        <v>0</v>
      </c>
      <c r="AC157" s="52">
        <f>((SUBSIDIO!$L$157*SUBSIDIO!$W$157)+(SUBSIDIO!$N$157*SUBSIDIO!$X$157))*(0.04)/(1-0.04)</f>
        <v>287.20794159999997</v>
      </c>
      <c r="AD157" s="52">
        <f>(SUBSIDIO!$J$157*SUBSIDIO!$Y$157)*(0.02)/(1-0.02)</f>
        <v>0</v>
      </c>
      <c r="AE157" s="52">
        <f ca="1">((SUBSIDIO!$L$157*SUBSIDIO!$Z$157)+(SUBSIDIO!$N$157*SUBSIDIO!$AA$157))*(0.02)/(1-0.02)</f>
        <v>159.25850050275594</v>
      </c>
      <c r="AF157" s="4" t="s">
        <v>561</v>
      </c>
    </row>
    <row r="158" spans="1:32" ht="11.25" customHeight="1" x14ac:dyDescent="0.25">
      <c r="A158" s="4" t="s">
        <v>21</v>
      </c>
      <c r="B158" s="4" t="s">
        <v>35</v>
      </c>
      <c r="C158" s="4" t="s">
        <v>36</v>
      </c>
      <c r="D158" s="4" t="s">
        <v>41</v>
      </c>
      <c r="E158" s="4" t="s">
        <v>25</v>
      </c>
      <c r="F158" s="4" t="s">
        <v>25</v>
      </c>
      <c r="G158" s="4" t="s">
        <v>25</v>
      </c>
      <c r="H158" s="4" t="s">
        <v>37</v>
      </c>
      <c r="I158" s="5">
        <v>44593</v>
      </c>
      <c r="J158" s="6">
        <v>0</v>
      </c>
      <c r="K158" s="52">
        <v>0</v>
      </c>
      <c r="L158" s="6">
        <v>3.2709999999999999</v>
      </c>
      <c r="M158" s="52">
        <v>3.2709999999999999</v>
      </c>
      <c r="N158" s="6">
        <v>3.2709999999999999</v>
      </c>
      <c r="O158" s="52">
        <v>3.2709999999999999</v>
      </c>
      <c r="P158" s="6">
        <v>0</v>
      </c>
      <c r="Q158" s="4" t="s">
        <v>26</v>
      </c>
      <c r="R158" s="4">
        <v>0</v>
      </c>
      <c r="S158" s="4">
        <v>0</v>
      </c>
      <c r="T158" s="4">
        <v>7</v>
      </c>
      <c r="U158" s="4">
        <v>41</v>
      </c>
      <c r="V158" s="52">
        <f>IF(ISERROR(VLOOKUP($S$158,'TAR FIN'!$A$1:$O$88,15,0)),0,VLOOKUP($S$158,'TAR FIN'!$A$1:$O$88,15,0))</f>
        <v>0</v>
      </c>
      <c r="W158" s="52">
        <f>IF(ISERROR(VLOOKUP($T$158,'TAR FIN'!$A$1:$O$88,15,0)),0,VLOOKUP($T$158,'TAR FIN'!$A$1:$O$88,15,0))*(1-0.04)</f>
        <v>1406.5151999999998</v>
      </c>
      <c r="X158" s="52">
        <f>IF(ISERROR(VLOOKUP($U$158,'TAR FIN'!$A$1:$O$88,15,0)),0,VLOOKUP($U$158,'TAR FIN'!$A$1:$O$88,15,0))*(1-0.04)</f>
        <v>242.13119999999998</v>
      </c>
      <c r="Y158" s="52"/>
      <c r="Z158" s="52">
        <f ca="1">('TUSD BE'!$AM$11+'TUSD BF'!$AM$11+'TUSD CVA'!$AM$11)*1*(1-0.02)</f>
        <v>1619.5733401074451</v>
      </c>
      <c r="AA158" s="52">
        <f>('TE BE'!$AB$5+'TE BF'!$AB$5+'TE CVA'!$AB$5)*1*(1-0.02)</f>
        <v>246.88600565553992</v>
      </c>
      <c r="AB158" s="52">
        <f>(SUBSIDIO!$J$158*SUBSIDIO!$V$158)*(0.04)/(1-0.04)</f>
        <v>0</v>
      </c>
      <c r="AC158" s="52">
        <f>((SUBSIDIO!$L$158*SUBSIDIO!$W$158)+(SUBSIDIO!$N$158*SUBSIDIO!$X$158))*(0.04)/(1-0.04)</f>
        <v>224.69676559999999</v>
      </c>
      <c r="AD158" s="52">
        <f>(SUBSIDIO!$J$158*SUBSIDIO!$Y$158)*(0.02)/(1-0.02)</f>
        <v>0</v>
      </c>
      <c r="AE158" s="52">
        <f ca="1">((SUBSIDIO!$L$158*SUBSIDIO!$Z$158)+(SUBSIDIO!$N$158*SUBSIDIO!$AA$158))*(0.02)/(1-0.02)</f>
        <v>124.59568408144335</v>
      </c>
      <c r="AF158" s="4" t="s">
        <v>561</v>
      </c>
    </row>
    <row r="159" spans="1:32" ht="11.25" customHeight="1" x14ac:dyDescent="0.25">
      <c r="A159" s="4" t="s">
        <v>21</v>
      </c>
      <c r="B159" s="4" t="s">
        <v>35</v>
      </c>
      <c r="C159" s="4" t="s">
        <v>36</v>
      </c>
      <c r="D159" s="4" t="s">
        <v>41</v>
      </c>
      <c r="E159" s="4" t="s">
        <v>25</v>
      </c>
      <c r="F159" s="4" t="s">
        <v>25</v>
      </c>
      <c r="G159" s="4" t="s">
        <v>25</v>
      </c>
      <c r="H159" s="4" t="s">
        <v>37</v>
      </c>
      <c r="I159" s="5">
        <v>44621</v>
      </c>
      <c r="J159" s="6">
        <v>0</v>
      </c>
      <c r="K159" s="52">
        <v>0</v>
      </c>
      <c r="L159" s="6">
        <v>8.6219999999999999</v>
      </c>
      <c r="M159" s="52">
        <v>8.6219999999999999</v>
      </c>
      <c r="N159" s="6">
        <v>8.6219999999999999</v>
      </c>
      <c r="O159" s="52">
        <v>8.6219999999999999</v>
      </c>
      <c r="P159" s="6">
        <v>0</v>
      </c>
      <c r="Q159" s="4" t="s">
        <v>26</v>
      </c>
      <c r="R159" s="4">
        <v>0</v>
      </c>
      <c r="S159" s="4">
        <v>0</v>
      </c>
      <c r="T159" s="4">
        <v>7</v>
      </c>
      <c r="U159" s="4">
        <v>41</v>
      </c>
      <c r="V159" s="52">
        <f>IF(ISERROR(VLOOKUP($S$159,'TAR FIN'!$A$1:$O$88,15,0)),0,VLOOKUP($S$159,'TAR FIN'!$A$1:$O$88,15,0))</f>
        <v>0</v>
      </c>
      <c r="W159" s="52">
        <f>IF(ISERROR(VLOOKUP($T$159,'TAR FIN'!$A$1:$O$88,15,0)),0,VLOOKUP($T$159,'TAR FIN'!$A$1:$O$88,15,0))*(1-0.04)</f>
        <v>1406.5151999999998</v>
      </c>
      <c r="X159" s="52">
        <f>IF(ISERROR(VLOOKUP($U$159,'TAR FIN'!$A$1:$O$88,15,0)),0,VLOOKUP($U$159,'TAR FIN'!$A$1:$O$88,15,0))*(1-0.04)</f>
        <v>242.13119999999998</v>
      </c>
      <c r="Y159" s="52"/>
      <c r="Z159" s="52">
        <f ca="1">('TUSD BE'!$AM$11+'TUSD BF'!$AM$11+'TUSD CVA'!$AM$11)*1*(1-0.02)</f>
        <v>1619.5733401074451</v>
      </c>
      <c r="AA159" s="52">
        <f>('TE BE'!$AB$5+'TE BF'!$AB$5+'TE CVA'!$AB$5)*1*(1-0.02)</f>
        <v>246.88600565553992</v>
      </c>
      <c r="AB159" s="52">
        <f>(SUBSIDIO!$J$159*SUBSIDIO!$V$159)*(0.04)/(1-0.04)</f>
        <v>0</v>
      </c>
      <c r="AC159" s="52">
        <f>((SUBSIDIO!$L$159*SUBSIDIO!$W$159)+(SUBSIDIO!$N$159*SUBSIDIO!$X$159))*(0.04)/(1-0.04)</f>
        <v>592.2762191999999</v>
      </c>
      <c r="AD159" s="52">
        <f>(SUBSIDIO!$J$159*SUBSIDIO!$Y$159)*(0.02)/(1-0.02)</f>
        <v>0</v>
      </c>
      <c r="AE159" s="52">
        <f ca="1">((SUBSIDIO!$L$159*SUBSIDIO!$Z$159)+(SUBSIDIO!$N$159*SUBSIDIO!$AA$159))*(0.02)/(1-0.02)</f>
        <v>328.42066284017261</v>
      </c>
      <c r="AF159" s="4" t="s">
        <v>561</v>
      </c>
    </row>
    <row r="160" spans="1:32" ht="11.25" customHeight="1" x14ac:dyDescent="0.25">
      <c r="A160" s="4" t="s">
        <v>21</v>
      </c>
      <c r="B160" s="4" t="s">
        <v>35</v>
      </c>
      <c r="C160" s="4" t="s">
        <v>36</v>
      </c>
      <c r="D160" s="4" t="s">
        <v>41</v>
      </c>
      <c r="E160" s="4" t="s">
        <v>25</v>
      </c>
      <c r="F160" s="4" t="s">
        <v>25</v>
      </c>
      <c r="G160" s="4" t="s">
        <v>25</v>
      </c>
      <c r="H160" s="4" t="s">
        <v>37</v>
      </c>
      <c r="I160" s="5">
        <v>44652</v>
      </c>
      <c r="J160" s="6">
        <v>0</v>
      </c>
      <c r="K160" s="52">
        <v>0</v>
      </c>
      <c r="L160" s="6">
        <v>8.2959999999999994</v>
      </c>
      <c r="M160" s="52">
        <v>8.2959999999999994</v>
      </c>
      <c r="N160" s="6">
        <v>8.2959999999999994</v>
      </c>
      <c r="O160" s="52">
        <v>8.2959999999999994</v>
      </c>
      <c r="P160" s="6">
        <v>0</v>
      </c>
      <c r="Q160" s="4" t="s">
        <v>26</v>
      </c>
      <c r="R160" s="4">
        <v>0</v>
      </c>
      <c r="S160" s="4">
        <v>0</v>
      </c>
      <c r="T160" s="4">
        <v>7</v>
      </c>
      <c r="U160" s="4">
        <v>41</v>
      </c>
      <c r="V160" s="52">
        <f>IF(ISERROR(VLOOKUP($S$160,'TAR FIN'!$A$1:$O$88,15,0)),0,VLOOKUP($S$160,'TAR FIN'!$A$1:$O$88,15,0))</f>
        <v>0</v>
      </c>
      <c r="W160" s="52">
        <f>IF(ISERROR(VLOOKUP($T$160,'TAR FIN'!$A$1:$O$88,15,0)),0,VLOOKUP($T$160,'TAR FIN'!$A$1:$O$88,15,0))*(1-0.04)</f>
        <v>1406.5151999999998</v>
      </c>
      <c r="X160" s="52">
        <f>IF(ISERROR(VLOOKUP($U$160,'TAR FIN'!$A$1:$O$88,15,0)),0,VLOOKUP($U$160,'TAR FIN'!$A$1:$O$88,15,0))*(1-0.04)</f>
        <v>242.13119999999998</v>
      </c>
      <c r="Y160" s="52"/>
      <c r="Z160" s="52">
        <f ca="1">('TUSD BE'!$AM$11+'TUSD BF'!$AM$11+'TUSD CVA'!$AM$11)*1*(1-0.02)</f>
        <v>1619.5733401074451</v>
      </c>
      <c r="AA160" s="52">
        <f>('TE BE'!$AB$5+'TE BF'!$AB$5+'TE CVA'!$AB$5)*1*(1-0.02)</f>
        <v>246.88600565553992</v>
      </c>
      <c r="AB160" s="52">
        <f>(SUBSIDIO!$J$160*SUBSIDIO!$V$160)*(0.04)/(1-0.04)</f>
        <v>0</v>
      </c>
      <c r="AC160" s="52">
        <f>((SUBSIDIO!$L$160*SUBSIDIO!$W$160)+(SUBSIDIO!$N$160*SUBSIDIO!$X$160))*(0.04)/(1-0.04)</f>
        <v>569.88210559999993</v>
      </c>
      <c r="AD160" s="52">
        <f>(SUBSIDIO!$J$160*SUBSIDIO!$Y$160)*(0.02)/(1-0.02)</f>
        <v>0</v>
      </c>
      <c r="AE160" s="52">
        <f ca="1">((SUBSIDIO!$L$160*SUBSIDIO!$Z$160)+(SUBSIDIO!$N$160*SUBSIDIO!$AA$160))*(0.02)/(1-0.02)</f>
        <v>316.00299453979028</v>
      </c>
      <c r="AF160" s="4" t="s">
        <v>561</v>
      </c>
    </row>
    <row r="161" spans="1:32" ht="11.25" customHeight="1" x14ac:dyDescent="0.25">
      <c r="A161" s="4" t="s">
        <v>21</v>
      </c>
      <c r="B161" s="4" t="s">
        <v>35</v>
      </c>
      <c r="C161" s="4" t="s">
        <v>36</v>
      </c>
      <c r="D161" s="4" t="s">
        <v>41</v>
      </c>
      <c r="E161" s="4" t="s">
        <v>25</v>
      </c>
      <c r="F161" s="4" t="s">
        <v>25</v>
      </c>
      <c r="G161" s="4" t="s">
        <v>25</v>
      </c>
      <c r="H161" s="4" t="s">
        <v>37</v>
      </c>
      <c r="I161" s="5">
        <v>44682</v>
      </c>
      <c r="J161" s="6">
        <v>0</v>
      </c>
      <c r="K161" s="52">
        <v>0</v>
      </c>
      <c r="L161" s="6">
        <v>5.03</v>
      </c>
      <c r="M161" s="52">
        <v>5.03</v>
      </c>
      <c r="N161" s="6">
        <v>5.03</v>
      </c>
      <c r="O161" s="52">
        <v>5.03</v>
      </c>
      <c r="P161" s="6">
        <v>0</v>
      </c>
      <c r="Q161" s="4" t="s">
        <v>26</v>
      </c>
      <c r="R161" s="4">
        <v>0</v>
      </c>
      <c r="S161" s="4">
        <v>0</v>
      </c>
      <c r="T161" s="4">
        <v>7</v>
      </c>
      <c r="U161" s="4">
        <v>41</v>
      </c>
      <c r="V161" s="52">
        <f>IF(ISERROR(VLOOKUP($S$161,'TAR FIN'!$A$1:$O$88,15,0)),0,VLOOKUP($S$161,'TAR FIN'!$A$1:$O$88,15,0))</f>
        <v>0</v>
      </c>
      <c r="W161" s="52">
        <f>IF(ISERROR(VLOOKUP($T$161,'TAR FIN'!$A$1:$O$88,15,0)),0,VLOOKUP($T$161,'TAR FIN'!$A$1:$O$88,15,0))*(1-0.04)</f>
        <v>1406.5151999999998</v>
      </c>
      <c r="X161" s="52">
        <f>IF(ISERROR(VLOOKUP($U$161,'TAR FIN'!$A$1:$O$88,15,0)),0,VLOOKUP($U$161,'TAR FIN'!$A$1:$O$88,15,0))*(1-0.04)</f>
        <v>242.13119999999998</v>
      </c>
      <c r="Y161" s="52"/>
      <c r="Z161" s="52">
        <f ca="1">('TUSD BE'!$AM$11+'TUSD BF'!$AM$11+'TUSD CVA'!$AM$11)*1*(1-0.02)</f>
        <v>1619.5733401074451</v>
      </c>
      <c r="AA161" s="52">
        <f>('TE BE'!$AB$5+'TE BF'!$AB$5+'TE CVA'!$AB$5)*1*(1-0.02)</f>
        <v>246.88600565553992</v>
      </c>
      <c r="AB161" s="52">
        <f>(SUBSIDIO!$J$161*SUBSIDIO!$V$161)*(0.04)/(1-0.04)</f>
        <v>0</v>
      </c>
      <c r="AC161" s="52">
        <f>((SUBSIDIO!$L$161*SUBSIDIO!$W$161)+(SUBSIDIO!$N$161*SUBSIDIO!$X$161))*(0.04)/(1-0.04)</f>
        <v>345.52880799999997</v>
      </c>
      <c r="AD161" s="52">
        <f>(SUBSIDIO!$J$161*SUBSIDIO!$Y$161)*(0.02)/(1-0.02)</f>
        <v>0</v>
      </c>
      <c r="AE161" s="52">
        <f ca="1">((SUBSIDIO!$L$161*SUBSIDIO!$Z$161)+(SUBSIDIO!$N$161*SUBSIDIO!$AA$161))*(0.02)/(1-0.02)</f>
        <v>191.59776549362886</v>
      </c>
      <c r="AF161" s="4" t="s">
        <v>561</v>
      </c>
    </row>
    <row r="162" spans="1:32" ht="11.25" customHeight="1" x14ac:dyDescent="0.25">
      <c r="A162" s="4" t="s">
        <v>28</v>
      </c>
      <c r="B162" s="4" t="s">
        <v>35</v>
      </c>
      <c r="C162" s="4" t="s">
        <v>36</v>
      </c>
      <c r="D162" s="4" t="s">
        <v>41</v>
      </c>
      <c r="E162" s="4" t="s">
        <v>25</v>
      </c>
      <c r="F162" s="4" t="s">
        <v>25</v>
      </c>
      <c r="G162" s="4" t="s">
        <v>25</v>
      </c>
      <c r="H162" s="4" t="s">
        <v>37</v>
      </c>
      <c r="I162" s="5">
        <v>44682</v>
      </c>
      <c r="J162" s="6">
        <v>0</v>
      </c>
      <c r="K162" s="52">
        <v>0</v>
      </c>
      <c r="L162" s="6">
        <v>2.157</v>
      </c>
      <c r="M162" s="52">
        <v>2.157</v>
      </c>
      <c r="N162" s="6">
        <v>2.157</v>
      </c>
      <c r="O162" s="52">
        <v>2.157</v>
      </c>
      <c r="P162" s="6">
        <v>0</v>
      </c>
      <c r="Q162" s="4" t="s">
        <v>26</v>
      </c>
      <c r="R162" s="4">
        <v>0</v>
      </c>
      <c r="S162" s="4">
        <v>0</v>
      </c>
      <c r="T162" s="4">
        <v>7</v>
      </c>
      <c r="U162" s="4">
        <v>41</v>
      </c>
      <c r="V162" s="52">
        <f>IF(ISERROR(VLOOKUP($S$162,'TAR FIN'!$A$1:$O$88,15,0)),0,VLOOKUP($S$162,'TAR FIN'!$A$1:$O$88,15,0))</f>
        <v>0</v>
      </c>
      <c r="W162" s="52">
        <f>IF(ISERROR(VLOOKUP($T$162,'TAR FIN'!$A$1:$O$88,15,0)),0,VLOOKUP($T$162,'TAR FIN'!$A$1:$O$88,15,0))*(1-0.04)</f>
        <v>1406.5151999999998</v>
      </c>
      <c r="X162" s="52">
        <f>IF(ISERROR(VLOOKUP($U$162,'TAR FIN'!$A$1:$O$88,15,0)),0,VLOOKUP($U$162,'TAR FIN'!$A$1:$O$88,15,0))*(1-0.04)</f>
        <v>242.13119999999998</v>
      </c>
      <c r="Y162" s="52"/>
      <c r="Z162" s="52">
        <f ca="1">('TUSD BE'!$AM$11+'TUSD BF'!$AM$11+'TUSD CVA'!$AM$11)*1*(1-0.02)</f>
        <v>1619.5733401074451</v>
      </c>
      <c r="AA162" s="52">
        <f>('TE BE'!$AB$5+'TE BF'!$AB$5+'TE CVA'!$AB$5)*1*(1-0.02)</f>
        <v>246.88600565553992</v>
      </c>
      <c r="AB162" s="52">
        <f>(SUBSIDIO!$J$162*SUBSIDIO!$V$162)*(0.04)/(1-0.04)</f>
        <v>0</v>
      </c>
      <c r="AC162" s="52">
        <f>((SUBSIDIO!$L$162*SUBSIDIO!$W$162)+(SUBSIDIO!$N$162*SUBSIDIO!$X$162))*(0.04)/(1-0.04)</f>
        <v>148.1720952</v>
      </c>
      <c r="AD162" s="52">
        <f>(SUBSIDIO!$J$162*SUBSIDIO!$Y$162)*(0.02)/(1-0.02)</f>
        <v>0</v>
      </c>
      <c r="AE162" s="52">
        <f ca="1">((SUBSIDIO!$L$162*SUBSIDIO!$Z$162)+(SUBSIDIO!$N$162*SUBSIDIO!$AA$162))*(0.02)/(1-0.02)</f>
        <v>82.162302220627723</v>
      </c>
      <c r="AF162" s="4" t="s">
        <v>561</v>
      </c>
    </row>
    <row r="163" spans="1:32" ht="11.25" customHeight="1" x14ac:dyDescent="0.25">
      <c r="A163" s="4" t="s">
        <v>21</v>
      </c>
      <c r="B163" s="4" t="s">
        <v>35</v>
      </c>
      <c r="C163" s="4" t="s">
        <v>36</v>
      </c>
      <c r="D163" s="4" t="s">
        <v>41</v>
      </c>
      <c r="E163" s="4" t="s">
        <v>25</v>
      </c>
      <c r="F163" s="4" t="s">
        <v>25</v>
      </c>
      <c r="G163" s="4" t="s">
        <v>25</v>
      </c>
      <c r="H163" s="4" t="s">
        <v>37</v>
      </c>
      <c r="I163" s="5">
        <v>44713</v>
      </c>
      <c r="J163" s="6">
        <v>0</v>
      </c>
      <c r="K163" s="52">
        <v>0</v>
      </c>
      <c r="L163" s="6">
        <v>3.0459999999999998</v>
      </c>
      <c r="M163" s="52">
        <v>3.0459999999999998</v>
      </c>
      <c r="N163" s="6">
        <v>3.0459999999999998</v>
      </c>
      <c r="O163" s="52">
        <v>3.0459999999999998</v>
      </c>
      <c r="P163" s="6">
        <v>0</v>
      </c>
      <c r="Q163" s="4" t="s">
        <v>26</v>
      </c>
      <c r="R163" s="4">
        <v>0</v>
      </c>
      <c r="S163" s="4">
        <v>0</v>
      </c>
      <c r="T163" s="4">
        <v>7</v>
      </c>
      <c r="U163" s="4">
        <v>41</v>
      </c>
      <c r="V163" s="52">
        <f>IF(ISERROR(VLOOKUP($S$163,'TAR FIN'!$A$1:$O$88,15,0)),0,VLOOKUP($S$163,'TAR FIN'!$A$1:$O$88,15,0))</f>
        <v>0</v>
      </c>
      <c r="W163" s="52">
        <f>IF(ISERROR(VLOOKUP($T$163,'TAR FIN'!$A$1:$O$88,15,0)),0,VLOOKUP($T$163,'TAR FIN'!$A$1:$O$88,15,0))*(1-0.04)</f>
        <v>1406.5151999999998</v>
      </c>
      <c r="X163" s="52">
        <f>IF(ISERROR(VLOOKUP($U$163,'TAR FIN'!$A$1:$O$88,15,0)),0,VLOOKUP($U$163,'TAR FIN'!$A$1:$O$88,15,0))*(1-0.04)</f>
        <v>242.13119999999998</v>
      </c>
      <c r="Y163" s="52"/>
      <c r="Z163" s="52">
        <f ca="1">('TUSD BE'!$AM$11+'TUSD BF'!$AM$11+'TUSD CVA'!$AM$11)*1*(1-0.02)</f>
        <v>1619.5733401074451</v>
      </c>
      <c r="AA163" s="52">
        <f>('TE BE'!$AB$5+'TE BF'!$AB$5+'TE CVA'!$AB$5)*1*(1-0.02)</f>
        <v>246.88600565553992</v>
      </c>
      <c r="AB163" s="52">
        <f>(SUBSIDIO!$J$163*SUBSIDIO!$V$163)*(0.04)/(1-0.04)</f>
        <v>0</v>
      </c>
      <c r="AC163" s="52">
        <f>((SUBSIDIO!$L$163*SUBSIDIO!$W$163)+(SUBSIDIO!$N$163*SUBSIDIO!$X$163))*(0.04)/(1-0.04)</f>
        <v>209.24070559999996</v>
      </c>
      <c r="AD163" s="52">
        <f>(SUBSIDIO!$J$163*SUBSIDIO!$Y$163)*(0.02)/(1-0.02)</f>
        <v>0</v>
      </c>
      <c r="AE163" s="52">
        <f ca="1">((SUBSIDIO!$L$163*SUBSIDIO!$Z$163)+(SUBSIDIO!$N$163*SUBSIDIO!$AA$163))*(0.02)/(1-0.02)</f>
        <v>116.02520749375616</v>
      </c>
      <c r="AF163" s="4" t="s">
        <v>561</v>
      </c>
    </row>
    <row r="164" spans="1:32" ht="11.25" customHeight="1" x14ac:dyDescent="0.25">
      <c r="A164" s="4" t="s">
        <v>28</v>
      </c>
      <c r="B164" s="4" t="s">
        <v>35</v>
      </c>
      <c r="C164" s="4" t="s">
        <v>36</v>
      </c>
      <c r="D164" s="4" t="s">
        <v>41</v>
      </c>
      <c r="E164" s="4" t="s">
        <v>25</v>
      </c>
      <c r="F164" s="4" t="s">
        <v>25</v>
      </c>
      <c r="G164" s="4" t="s">
        <v>25</v>
      </c>
      <c r="H164" s="4" t="s">
        <v>37</v>
      </c>
      <c r="I164" s="5">
        <v>44713</v>
      </c>
      <c r="J164" s="6">
        <v>0</v>
      </c>
      <c r="K164" s="52">
        <v>0</v>
      </c>
      <c r="L164" s="6">
        <v>2.0249999999999999</v>
      </c>
      <c r="M164" s="52">
        <v>2.0249999999999999</v>
      </c>
      <c r="N164" s="6">
        <v>2.0249999999999999</v>
      </c>
      <c r="O164" s="52">
        <v>2.0249999999999999</v>
      </c>
      <c r="P164" s="6">
        <v>0</v>
      </c>
      <c r="Q164" s="4" t="s">
        <v>26</v>
      </c>
      <c r="R164" s="4">
        <v>0</v>
      </c>
      <c r="S164" s="4">
        <v>0</v>
      </c>
      <c r="T164" s="4">
        <v>7</v>
      </c>
      <c r="U164" s="4">
        <v>41</v>
      </c>
      <c r="V164" s="52">
        <f>IF(ISERROR(VLOOKUP($S$164,'TAR FIN'!$A$1:$O$88,15,0)),0,VLOOKUP($S$164,'TAR FIN'!$A$1:$O$88,15,0))</f>
        <v>0</v>
      </c>
      <c r="W164" s="52">
        <f>IF(ISERROR(VLOOKUP($T$164,'TAR FIN'!$A$1:$O$88,15,0)),0,VLOOKUP($T$164,'TAR FIN'!$A$1:$O$88,15,0))*(1-0.04)</f>
        <v>1406.5151999999998</v>
      </c>
      <c r="X164" s="52">
        <f>IF(ISERROR(VLOOKUP($U$164,'TAR FIN'!$A$1:$O$88,15,0)),0,VLOOKUP($U$164,'TAR FIN'!$A$1:$O$88,15,0))*(1-0.04)</f>
        <v>242.13119999999998</v>
      </c>
      <c r="Y164" s="52"/>
      <c r="Z164" s="52">
        <f ca="1">('TUSD BE'!$AM$11+'TUSD BF'!$AM$11+'TUSD CVA'!$AM$11)*1*(1-0.02)</f>
        <v>1619.5733401074451</v>
      </c>
      <c r="AA164" s="52">
        <f>('TE BE'!$AB$5+'TE BF'!$AB$5+'TE CVA'!$AB$5)*1*(1-0.02)</f>
        <v>246.88600565553992</v>
      </c>
      <c r="AB164" s="52">
        <f>(SUBSIDIO!$J$164*SUBSIDIO!$V$164)*(0.04)/(1-0.04)</f>
        <v>0</v>
      </c>
      <c r="AC164" s="52">
        <f>((SUBSIDIO!$L$164*SUBSIDIO!$W$164)+(SUBSIDIO!$N$164*SUBSIDIO!$X$164))*(0.04)/(1-0.04)</f>
        <v>139.10453999999999</v>
      </c>
      <c r="AD164" s="52">
        <f>(SUBSIDIO!$J$164*SUBSIDIO!$Y$164)*(0.02)/(1-0.02)</f>
        <v>0</v>
      </c>
      <c r="AE164" s="52">
        <f ca="1">((SUBSIDIO!$L$164*SUBSIDIO!$Z$164)+(SUBSIDIO!$N$164*SUBSIDIO!$AA$164))*(0.02)/(1-0.02)</f>
        <v>77.134289289184579</v>
      </c>
      <c r="AF164" s="4" t="s">
        <v>561</v>
      </c>
    </row>
    <row r="165" spans="1:32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24</v>
      </c>
      <c r="F165" s="4" t="s">
        <v>25</v>
      </c>
      <c r="G165" s="4" t="s">
        <v>25</v>
      </c>
      <c r="H165" s="4" t="s">
        <v>25</v>
      </c>
      <c r="I165" s="5">
        <v>44378</v>
      </c>
      <c r="J165" s="6">
        <v>0</v>
      </c>
      <c r="K165" s="6">
        <v>0</v>
      </c>
      <c r="L165" s="6">
        <v>992.53399999999999</v>
      </c>
      <c r="M165" s="6">
        <v>992.53399999999999</v>
      </c>
      <c r="N165" s="6">
        <v>992.53399999999999</v>
      </c>
      <c r="O165" s="6">
        <v>992.53399999999999</v>
      </c>
      <c r="P165" s="6">
        <v>8255</v>
      </c>
      <c r="Q165" s="4" t="s">
        <v>26</v>
      </c>
      <c r="R165" s="4">
        <v>0</v>
      </c>
      <c r="S165" s="4">
        <v>0</v>
      </c>
      <c r="T165" s="4">
        <v>4</v>
      </c>
      <c r="U165" s="4">
        <v>73</v>
      </c>
      <c r="V165" s="6">
        <f>IF(ISERROR(VLOOKUP($S$165,'TAR FIN'!$A$1:$O$88,15,0)),0,VLOOKUP($S$165,'TAR FIN'!$A$1:$O$88,15,0))</f>
        <v>0</v>
      </c>
      <c r="W165" s="6">
        <f>IF(ISERROR(VLOOKUP($T$165,'TAR FIN'!$A$1:$O$88,15,0)),0,VLOOKUP($T$165,'TAR FIN'!$A$1:$O$88,15,0))</f>
        <v>425.75</v>
      </c>
      <c r="X165" s="6">
        <f>IF(ISERROR(VLOOKUP($U$165,'TAR FIN'!$A$1:$O$88,15,0)),0,VLOOKUP($U$165,'TAR FIN'!$A$1:$O$88,15,0))</f>
        <v>252.22</v>
      </c>
      <c r="Y165" s="6"/>
      <c r="Z165" s="6">
        <f ca="1">('TUSD BE'!$AM$20+'TUSD BF'!$AM$20+'TUSD CVA'!$AM$20)*1</f>
        <v>487.85699036910154</v>
      </c>
      <c r="AA165" s="6">
        <f>('TE BE'!$AB$10+'TE BF'!$AB$10+'TE CVA'!$AB$10)*1</f>
        <v>251.92449556687748</v>
      </c>
      <c r="AB165" s="6">
        <f t="shared" ref="AB165:AB193" si="8">(J165-K165)*V165</f>
        <v>0</v>
      </c>
      <c r="AC165" s="6">
        <f t="shared" ref="AC165" si="9">(L165-M165)*W165+(N165-O165)*X165</f>
        <v>0</v>
      </c>
      <c r="AD165" s="6">
        <f t="shared" ref="AD165:AD193" si="10">(J165-K165)*Y165</f>
        <v>0</v>
      </c>
      <c r="AE165" s="6">
        <f t="shared" ref="AE165" ca="1" si="11">(L165-M165)*Z165+(N165-O165)*AA165</f>
        <v>0</v>
      </c>
    </row>
    <row r="166" spans="1:32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29</v>
      </c>
      <c r="F166" s="4" t="s">
        <v>25</v>
      </c>
      <c r="G166" s="4" t="s">
        <v>25</v>
      </c>
      <c r="H166" s="4" t="s">
        <v>25</v>
      </c>
      <c r="I166" s="5">
        <v>44378</v>
      </c>
      <c r="J166" s="6">
        <v>0</v>
      </c>
      <c r="K166" s="6">
        <v>0</v>
      </c>
      <c r="L166" s="6">
        <v>8.0399999999999991</v>
      </c>
      <c r="M166" s="6">
        <v>8.0399999999999991</v>
      </c>
      <c r="N166" s="6">
        <v>8.0399999999999991</v>
      </c>
      <c r="O166" s="6">
        <v>8.0399999999999991</v>
      </c>
      <c r="P166" s="6">
        <v>28</v>
      </c>
      <c r="Q166" s="4" t="s">
        <v>26</v>
      </c>
      <c r="R166" s="4">
        <v>0</v>
      </c>
      <c r="S166" s="4">
        <v>0</v>
      </c>
      <c r="T166" s="4">
        <v>12</v>
      </c>
      <c r="U166" s="4">
        <v>77</v>
      </c>
      <c r="V166" s="6">
        <f>IF(ISERROR(VLOOKUP($S$166,'TAR FIN'!$A$1:$O$88,15,0)),0,VLOOKUP($S$166,'TAR FIN'!$A$1:$O$88,15,0))</f>
        <v>0</v>
      </c>
      <c r="W166" s="6">
        <f>IF(ISERROR(VLOOKUP($T$166,'TAR FIN'!$A$1:$O$88,15,0)),0,VLOOKUP($T$166,'TAR FIN'!$A$1:$O$88,15,0))</f>
        <v>124.73</v>
      </c>
      <c r="X166" s="6">
        <f>IF(ISERROR(VLOOKUP($U$166,'TAR FIN'!$A$1:$O$88,15,0)),0,VLOOKUP($U$166,'TAR FIN'!$A$1:$O$88,15,0))</f>
        <v>88.28</v>
      </c>
      <c r="Y166" s="6"/>
      <c r="Z166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66" s="6">
        <f>('TE BE'!$AB$11+'TE BF'!$AB$11+'TE CVA'!$AB$11)*(1-CUSTOS!$M$34)</f>
        <v>88.173573448407112</v>
      </c>
      <c r="AB166" s="6">
        <f t="shared" si="8"/>
        <v>0</v>
      </c>
      <c r="AC166" s="6">
        <f>(L166-M166)*(W166+X166)+($W$232+$X$232-$W$166-$X$166)*(L166)</f>
        <v>3180.4632000000001</v>
      </c>
      <c r="AD166" s="6">
        <f t="shared" si="10"/>
        <v>0</v>
      </c>
      <c r="AE166" s="6">
        <f ca="1">(L166-M166)*(Z166+AA166)+($Z$232+$AA$232-$Z$166-$AA$166)*(L166)</f>
        <v>3336.2464827851481</v>
      </c>
      <c r="AF166" s="4" t="s">
        <v>564</v>
      </c>
    </row>
    <row r="167" spans="1:32" ht="11.25" customHeight="1" x14ac:dyDescent="0.25">
      <c r="A167" s="4" t="s">
        <v>28</v>
      </c>
      <c r="B167" s="4" t="s">
        <v>22</v>
      </c>
      <c r="C167" s="4" t="s">
        <v>23</v>
      </c>
      <c r="D167" s="4" t="s">
        <v>24</v>
      </c>
      <c r="E167" s="4" t="s">
        <v>29</v>
      </c>
      <c r="F167" s="4" t="s">
        <v>25</v>
      </c>
      <c r="G167" s="4" t="s">
        <v>25</v>
      </c>
      <c r="H167" s="4" t="s">
        <v>25</v>
      </c>
      <c r="I167" s="5">
        <v>44378</v>
      </c>
      <c r="J167" s="6">
        <v>0</v>
      </c>
      <c r="K167" s="6">
        <v>0</v>
      </c>
      <c r="L167" s="6">
        <v>0.09</v>
      </c>
      <c r="M167" s="6">
        <v>-8.5500000000000007E-2</v>
      </c>
      <c r="N167" s="6">
        <v>0.09</v>
      </c>
      <c r="O167" s="6">
        <v>-8.5500000000000007E-2</v>
      </c>
      <c r="P167" s="6">
        <v>0</v>
      </c>
      <c r="Q167" s="4" t="s">
        <v>26</v>
      </c>
      <c r="R167" s="4">
        <v>0</v>
      </c>
      <c r="S167" s="4">
        <v>0</v>
      </c>
      <c r="T167" s="4">
        <v>12</v>
      </c>
      <c r="U167" s="4">
        <v>77</v>
      </c>
      <c r="V167" s="6">
        <f>IF(ISERROR(VLOOKUP($S$167,'TAR FIN'!$A$1:$O$88,15,0)),0,VLOOKUP($S$167,'TAR FIN'!$A$1:$O$88,15,0))</f>
        <v>0</v>
      </c>
      <c r="W167" s="6">
        <f>IF(ISERROR(VLOOKUP($T$167,'TAR FIN'!$A$1:$O$88,15,0)),0,VLOOKUP($T$167,'TAR FIN'!$A$1:$O$88,15,0))</f>
        <v>124.73</v>
      </c>
      <c r="X167" s="6">
        <f>IF(ISERROR(VLOOKUP($U$167,'TAR FIN'!$A$1:$O$88,15,0)),0,VLOOKUP($U$167,'TAR FIN'!$A$1:$O$88,15,0))</f>
        <v>88.28</v>
      </c>
      <c r="Y167" s="6"/>
      <c r="Z167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67" s="6">
        <f>('TE BE'!$AB$11+'TE BF'!$AB$11+'TE CVA'!$AB$11)*(1-CUSTOS!$M$34)</f>
        <v>88.173573448407112</v>
      </c>
      <c r="AB167" s="6">
        <f t="shared" si="8"/>
        <v>0</v>
      </c>
      <c r="AC167" s="6">
        <f>(L167-M167)*(W167+X167)+($W$232+$X$232-$W$167-$X$167)*(L167)</f>
        <v>72.985455000000002</v>
      </c>
      <c r="AD167" s="6">
        <f t="shared" si="10"/>
        <v>0</v>
      </c>
      <c r="AE167" s="6">
        <f ca="1">(L167-M167)*(Z167+AA167)+($Z$232+$AA$232-$Z$167-$AA$167)*(L167)</f>
        <v>76.559387571375595</v>
      </c>
      <c r="AF167" s="4" t="s">
        <v>564</v>
      </c>
    </row>
    <row r="168" spans="1:32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29</v>
      </c>
      <c r="F168" s="4" t="s">
        <v>25</v>
      </c>
      <c r="G168" s="4" t="s">
        <v>25</v>
      </c>
      <c r="H168" s="4" t="s">
        <v>25</v>
      </c>
      <c r="I168" s="5">
        <v>44409</v>
      </c>
      <c r="J168" s="6">
        <v>0</v>
      </c>
      <c r="K168" s="6">
        <v>0</v>
      </c>
      <c r="L168" s="6">
        <v>8.52</v>
      </c>
      <c r="M168" s="6">
        <v>8.52</v>
      </c>
      <c r="N168" s="6">
        <v>8.52</v>
      </c>
      <c r="O168" s="6">
        <v>8.52</v>
      </c>
      <c r="P168" s="6">
        <v>25</v>
      </c>
      <c r="Q168" s="4" t="s">
        <v>26</v>
      </c>
      <c r="R168" s="4">
        <v>0</v>
      </c>
      <c r="S168" s="4">
        <v>0</v>
      </c>
      <c r="T168" s="4">
        <v>12</v>
      </c>
      <c r="U168" s="4">
        <v>77</v>
      </c>
      <c r="V168" s="6">
        <f>IF(ISERROR(VLOOKUP($S$168,'TAR FIN'!$A$1:$O$88,15,0)),0,VLOOKUP($S$168,'TAR FIN'!$A$1:$O$88,15,0))</f>
        <v>0</v>
      </c>
      <c r="W168" s="6">
        <f>IF(ISERROR(VLOOKUP($T$168,'TAR FIN'!$A$1:$O$88,15,0)),0,VLOOKUP($T$168,'TAR FIN'!$A$1:$O$88,15,0))</f>
        <v>124.73</v>
      </c>
      <c r="X168" s="6">
        <f>IF(ISERROR(VLOOKUP($U$168,'TAR FIN'!$A$1:$O$88,15,0)),0,VLOOKUP($U$168,'TAR FIN'!$A$1:$O$88,15,0))</f>
        <v>88.28</v>
      </c>
      <c r="Y168" s="6"/>
      <c r="Z168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68" s="6">
        <f>('TE BE'!$AB$11+'TE BF'!$AB$11+'TE CVA'!$AB$11)*(1-CUSTOS!$M$34)</f>
        <v>88.173573448407112</v>
      </c>
      <c r="AB168" s="6">
        <f t="shared" si="8"/>
        <v>0</v>
      </c>
      <c r="AC168" s="6">
        <f>(L168-M168)*(W168+X168)+($W$232+$X$232-$W$168-$X$168)*(L168)</f>
        <v>3370.3416000000002</v>
      </c>
      <c r="AD168" s="6">
        <f t="shared" si="10"/>
        <v>0</v>
      </c>
      <c r="AE168" s="6">
        <f ca="1">(L168-M168)*(Z168+AA168)+($Z$232+$AA$232-$Z$168-$AA$168)*(L168)</f>
        <v>3535.4253772797838</v>
      </c>
      <c r="AF168" s="4" t="s">
        <v>564</v>
      </c>
    </row>
    <row r="169" spans="1:32" ht="11.25" customHeight="1" x14ac:dyDescent="0.25">
      <c r="A169" s="4" t="s">
        <v>28</v>
      </c>
      <c r="B169" s="4" t="s">
        <v>22</v>
      </c>
      <c r="C169" s="4" t="s">
        <v>23</v>
      </c>
      <c r="D169" s="4" t="s">
        <v>24</v>
      </c>
      <c r="E169" s="4" t="s">
        <v>29</v>
      </c>
      <c r="F169" s="4" t="s">
        <v>25</v>
      </c>
      <c r="G169" s="4" t="s">
        <v>25</v>
      </c>
      <c r="H169" s="4" t="s">
        <v>25</v>
      </c>
      <c r="I169" s="5">
        <v>44409</v>
      </c>
      <c r="J169" s="6">
        <v>0</v>
      </c>
      <c r="K169" s="6">
        <v>0</v>
      </c>
      <c r="L169" s="6">
        <v>7.5999999999999998E-2</v>
      </c>
      <c r="M169" s="6">
        <v>-7.22E-2</v>
      </c>
      <c r="N169" s="6">
        <v>7.5999999999999998E-2</v>
      </c>
      <c r="O169" s="6">
        <v>-7.22E-2</v>
      </c>
      <c r="P169" s="6">
        <v>0</v>
      </c>
      <c r="Q169" s="4" t="s">
        <v>26</v>
      </c>
      <c r="R169" s="4">
        <v>0</v>
      </c>
      <c r="S169" s="4">
        <v>0</v>
      </c>
      <c r="T169" s="4">
        <v>12</v>
      </c>
      <c r="U169" s="4">
        <v>77</v>
      </c>
      <c r="V169" s="6">
        <f>IF(ISERROR(VLOOKUP($S$169,'TAR FIN'!$A$1:$O$88,15,0)),0,VLOOKUP($S$169,'TAR FIN'!$A$1:$O$88,15,0))</f>
        <v>0</v>
      </c>
      <c r="W169" s="6">
        <f>IF(ISERROR(VLOOKUP($T$169,'TAR FIN'!$A$1:$O$88,15,0)),0,VLOOKUP($T$169,'TAR FIN'!$A$1:$O$88,15,0))</f>
        <v>124.73</v>
      </c>
      <c r="X169" s="6">
        <f>IF(ISERROR(VLOOKUP($U$169,'TAR FIN'!$A$1:$O$88,15,0)),0,VLOOKUP($U$169,'TAR FIN'!$A$1:$O$88,15,0))</f>
        <v>88.28</v>
      </c>
      <c r="Y169" s="6"/>
      <c r="Z169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69" s="6">
        <f>('TE BE'!$AB$11+'TE BF'!$AB$11+'TE CVA'!$AB$11)*(1-CUSTOS!$M$34)</f>
        <v>88.173573448407112</v>
      </c>
      <c r="AB169" s="6">
        <f t="shared" si="8"/>
        <v>0</v>
      </c>
      <c r="AC169" s="6">
        <f>(L169-M169)*(W169+X169)+($W$232+$X$232-$W$169-$X$169)*(L169)</f>
        <v>61.632162000000001</v>
      </c>
      <c r="AD169" s="6">
        <f t="shared" si="10"/>
        <v>0</v>
      </c>
      <c r="AE169" s="6">
        <f ca="1">(L169-M169)*(Z169+AA169)+($Z$232+$AA$232-$Z$169-$AA$169)*(L169)</f>
        <v>64.650149504717177</v>
      </c>
      <c r="AF169" s="4" t="s">
        <v>564</v>
      </c>
    </row>
    <row r="170" spans="1:32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29</v>
      </c>
      <c r="F170" s="4" t="s">
        <v>25</v>
      </c>
      <c r="G170" s="4" t="s">
        <v>25</v>
      </c>
      <c r="H170" s="4" t="s">
        <v>25</v>
      </c>
      <c r="I170" s="5">
        <v>44440</v>
      </c>
      <c r="J170" s="6">
        <v>0</v>
      </c>
      <c r="K170" s="6">
        <v>0</v>
      </c>
      <c r="L170" s="6">
        <v>8.5039999999999996</v>
      </c>
      <c r="M170" s="6">
        <v>8.5039999999999996</v>
      </c>
      <c r="N170" s="6">
        <v>8.5039999999999996</v>
      </c>
      <c r="O170" s="6">
        <v>8.5039999999999996</v>
      </c>
      <c r="P170" s="6">
        <v>24</v>
      </c>
      <c r="Q170" s="4" t="s">
        <v>26</v>
      </c>
      <c r="R170" s="4">
        <v>0</v>
      </c>
      <c r="S170" s="4">
        <v>0</v>
      </c>
      <c r="T170" s="4">
        <v>12</v>
      </c>
      <c r="U170" s="4">
        <v>77</v>
      </c>
      <c r="V170" s="6">
        <f>IF(ISERROR(VLOOKUP($S$170,'TAR FIN'!$A$1:$O$88,15,0)),0,VLOOKUP($S$170,'TAR FIN'!$A$1:$O$88,15,0))</f>
        <v>0</v>
      </c>
      <c r="W170" s="6">
        <f>IF(ISERROR(VLOOKUP($T$170,'TAR FIN'!$A$1:$O$88,15,0)),0,VLOOKUP($T$170,'TAR FIN'!$A$1:$O$88,15,0))</f>
        <v>124.73</v>
      </c>
      <c r="X170" s="6">
        <f>IF(ISERROR(VLOOKUP($U$170,'TAR FIN'!$A$1:$O$88,15,0)),0,VLOOKUP($U$170,'TAR FIN'!$A$1:$O$88,15,0))</f>
        <v>88.28</v>
      </c>
      <c r="Y170" s="6"/>
      <c r="Z170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0" s="6">
        <f>('TE BE'!$AB$11+'TE BF'!$AB$11+'TE CVA'!$AB$11)*(1-CUSTOS!$M$34)</f>
        <v>88.173573448407112</v>
      </c>
      <c r="AB170" s="6">
        <f t="shared" si="8"/>
        <v>0</v>
      </c>
      <c r="AC170" s="6">
        <f>(L170-M170)*(W170+X170)+($W$232+$X$232-$W$170-$X$170)*(L170)</f>
        <v>3364.0123200000003</v>
      </c>
      <c r="AD170" s="6">
        <f t="shared" si="10"/>
        <v>0</v>
      </c>
      <c r="AE170" s="6">
        <f ca="1">(L170-M170)*(Z170+AA170)+($Z$232+$AA$232-$Z$170-$AA$170)*(L170)</f>
        <v>3528.7860807966294</v>
      </c>
      <c r="AF170" s="4" t="s">
        <v>564</v>
      </c>
    </row>
    <row r="171" spans="1:32" ht="11.25" customHeight="1" x14ac:dyDescent="0.25">
      <c r="A171" s="4" t="s">
        <v>28</v>
      </c>
      <c r="B171" s="4" t="s">
        <v>22</v>
      </c>
      <c r="C171" s="4" t="s">
        <v>23</v>
      </c>
      <c r="D171" s="4" t="s">
        <v>24</v>
      </c>
      <c r="E171" s="4" t="s">
        <v>29</v>
      </c>
      <c r="F171" s="4" t="s">
        <v>25</v>
      </c>
      <c r="G171" s="4" t="s">
        <v>25</v>
      </c>
      <c r="H171" s="4" t="s">
        <v>25</v>
      </c>
      <c r="I171" s="5">
        <v>44440</v>
      </c>
      <c r="J171" s="6">
        <v>0</v>
      </c>
      <c r="K171" s="6">
        <v>0</v>
      </c>
      <c r="L171" s="6">
        <v>6.2E-2</v>
      </c>
      <c r="M171" s="6">
        <v>-9.9199999999999997E-2</v>
      </c>
      <c r="N171" s="6">
        <v>6.2E-2</v>
      </c>
      <c r="O171" s="6">
        <v>-9.9199999999999997E-2</v>
      </c>
      <c r="P171" s="6">
        <v>0</v>
      </c>
      <c r="Q171" s="4" t="s">
        <v>26</v>
      </c>
      <c r="R171" s="4">
        <v>0</v>
      </c>
      <c r="S171" s="4">
        <v>0</v>
      </c>
      <c r="T171" s="4">
        <v>12</v>
      </c>
      <c r="U171" s="4">
        <v>77</v>
      </c>
      <c r="V171" s="6">
        <f>IF(ISERROR(VLOOKUP($S$171,'TAR FIN'!$A$1:$O$88,15,0)),0,VLOOKUP($S$171,'TAR FIN'!$A$1:$O$88,15,0))</f>
        <v>0</v>
      </c>
      <c r="W171" s="6">
        <f>IF(ISERROR(VLOOKUP($T$171,'TAR FIN'!$A$1:$O$88,15,0)),0,VLOOKUP($T$171,'TAR FIN'!$A$1:$O$88,15,0))</f>
        <v>124.73</v>
      </c>
      <c r="X171" s="6">
        <f>IF(ISERROR(VLOOKUP($U$171,'TAR FIN'!$A$1:$O$88,15,0)),0,VLOOKUP($U$171,'TAR FIN'!$A$1:$O$88,15,0))</f>
        <v>88.28</v>
      </c>
      <c r="Y171" s="6"/>
      <c r="Z171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1" s="6">
        <f>('TE BE'!$AB$11+'TE BF'!$AB$11+'TE CVA'!$AB$11)*(1-CUSTOS!$M$34)</f>
        <v>88.173573448407112</v>
      </c>
      <c r="AB171" s="6">
        <f t="shared" si="8"/>
        <v>0</v>
      </c>
      <c r="AC171" s="6">
        <f>(L171-M171)*(W171+X171)+($W$232+$X$232-$W$171-$X$171)*(L171)</f>
        <v>58.863172000000006</v>
      </c>
      <c r="AD171" s="6">
        <f t="shared" si="10"/>
        <v>0</v>
      </c>
      <c r="AE171" s="6">
        <f ca="1">(L171-M171)*(Z171+AA171)+($Z$232+$AA$232-$Z$171-$AA$171)*(L171)</f>
        <v>61.745457293337083</v>
      </c>
      <c r="AF171" s="4" t="s">
        <v>564</v>
      </c>
    </row>
    <row r="172" spans="1:32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29</v>
      </c>
      <c r="F172" s="4" t="s">
        <v>25</v>
      </c>
      <c r="G172" s="4" t="s">
        <v>25</v>
      </c>
      <c r="H172" s="4" t="s">
        <v>25</v>
      </c>
      <c r="I172" s="5">
        <v>44470</v>
      </c>
      <c r="J172" s="6">
        <v>0</v>
      </c>
      <c r="K172" s="6">
        <v>0</v>
      </c>
      <c r="L172" s="6">
        <v>8.67</v>
      </c>
      <c r="M172" s="6">
        <v>8.67</v>
      </c>
      <c r="N172" s="6">
        <v>8.67</v>
      </c>
      <c r="O172" s="6">
        <v>8.67</v>
      </c>
      <c r="P172" s="6">
        <v>21</v>
      </c>
      <c r="Q172" s="4" t="s">
        <v>26</v>
      </c>
      <c r="R172" s="4">
        <v>0</v>
      </c>
      <c r="S172" s="4">
        <v>0</v>
      </c>
      <c r="T172" s="4">
        <v>12</v>
      </c>
      <c r="U172" s="4">
        <v>77</v>
      </c>
      <c r="V172" s="6">
        <f>IF(ISERROR(VLOOKUP($S$172,'TAR FIN'!$A$1:$O$88,15,0)),0,VLOOKUP($S$172,'TAR FIN'!$A$1:$O$88,15,0))</f>
        <v>0</v>
      </c>
      <c r="W172" s="6">
        <f>IF(ISERROR(VLOOKUP($T$172,'TAR FIN'!$A$1:$O$88,15,0)),0,VLOOKUP($T$172,'TAR FIN'!$A$1:$O$88,15,0))</f>
        <v>124.73</v>
      </c>
      <c r="X172" s="6">
        <f>IF(ISERROR(VLOOKUP($U$172,'TAR FIN'!$A$1:$O$88,15,0)),0,VLOOKUP($U$172,'TAR FIN'!$A$1:$O$88,15,0))</f>
        <v>88.28</v>
      </c>
      <c r="Y172" s="6"/>
      <c r="Z172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2" s="6">
        <f>('TE BE'!$AB$11+'TE BF'!$AB$11+'TE CVA'!$AB$11)*(1-CUSTOS!$M$34)</f>
        <v>88.173573448407112</v>
      </c>
      <c r="AB172" s="6">
        <f t="shared" si="8"/>
        <v>0</v>
      </c>
      <c r="AC172" s="6">
        <f>(L172-M172)*(W172+X172)+($W$232+$X$232-$W$172-$X$172)*(L172)</f>
        <v>3429.6786000000002</v>
      </c>
      <c r="AD172" s="6">
        <f t="shared" si="10"/>
        <v>0</v>
      </c>
      <c r="AE172" s="6">
        <f ca="1">(L172-M172)*(Z172+AA172)+($Z$232+$AA$232-$Z$172-$AA$172)*(L172)</f>
        <v>3597.6687818093578</v>
      </c>
      <c r="AF172" s="4" t="s">
        <v>564</v>
      </c>
    </row>
    <row r="173" spans="1:32" ht="11.25" customHeight="1" x14ac:dyDescent="0.25">
      <c r="A173" s="4" t="s">
        <v>28</v>
      </c>
      <c r="B173" s="4" t="s">
        <v>22</v>
      </c>
      <c r="C173" s="4" t="s">
        <v>23</v>
      </c>
      <c r="D173" s="4" t="s">
        <v>24</v>
      </c>
      <c r="E173" s="4" t="s">
        <v>29</v>
      </c>
      <c r="F173" s="4" t="s">
        <v>25</v>
      </c>
      <c r="G173" s="4" t="s">
        <v>25</v>
      </c>
      <c r="H173" s="4" t="s">
        <v>25</v>
      </c>
      <c r="I173" s="5">
        <v>44470</v>
      </c>
      <c r="J173" s="6">
        <v>0</v>
      </c>
      <c r="K173" s="6">
        <v>0</v>
      </c>
      <c r="L173" s="6">
        <v>5.3999999999999999E-2</v>
      </c>
      <c r="M173" s="6">
        <v>-8.6400000000000005E-2</v>
      </c>
      <c r="N173" s="6">
        <v>5.3999999999999999E-2</v>
      </c>
      <c r="O173" s="6">
        <v>-8.6400000000000005E-2</v>
      </c>
      <c r="P173" s="6">
        <v>0</v>
      </c>
      <c r="Q173" s="4" t="s">
        <v>26</v>
      </c>
      <c r="R173" s="4">
        <v>0</v>
      </c>
      <c r="S173" s="4">
        <v>0</v>
      </c>
      <c r="T173" s="4">
        <v>12</v>
      </c>
      <c r="U173" s="4">
        <v>77</v>
      </c>
      <c r="V173" s="6">
        <f>IF(ISERROR(VLOOKUP($S$173,'TAR FIN'!$A$1:$O$88,15,0)),0,VLOOKUP($S$173,'TAR FIN'!$A$1:$O$88,15,0))</f>
        <v>0</v>
      </c>
      <c r="W173" s="6">
        <f>IF(ISERROR(VLOOKUP($T$173,'TAR FIN'!$A$1:$O$88,15,0)),0,VLOOKUP($T$173,'TAR FIN'!$A$1:$O$88,15,0))</f>
        <v>124.73</v>
      </c>
      <c r="X173" s="6">
        <f>IF(ISERROR(VLOOKUP($U$173,'TAR FIN'!$A$1:$O$88,15,0)),0,VLOOKUP($U$173,'TAR FIN'!$A$1:$O$88,15,0))</f>
        <v>88.28</v>
      </c>
      <c r="Y173" s="6"/>
      <c r="Z173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3" s="6">
        <f>('TE BE'!$AB$11+'TE BF'!$AB$11+'TE CVA'!$AB$11)*(1-CUSTOS!$M$34)</f>
        <v>88.173573448407112</v>
      </c>
      <c r="AB173" s="6">
        <f t="shared" si="8"/>
        <v>0</v>
      </c>
      <c r="AC173" s="6">
        <f>(L173-M173)*(W173+X173)+($W$232+$X$232-$W$173-$X$173)*(L173)</f>
        <v>51.267924000000001</v>
      </c>
      <c r="AD173" s="6">
        <f t="shared" si="10"/>
        <v>0</v>
      </c>
      <c r="AE173" s="6">
        <f ca="1">(L173-M173)*(Z173+AA173)+($Z$232+$AA$232-$Z$173-$AA$173)*(L173)</f>
        <v>53.778301513551646</v>
      </c>
      <c r="AF173" s="4" t="s">
        <v>564</v>
      </c>
    </row>
    <row r="174" spans="1:32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29</v>
      </c>
      <c r="F174" s="4" t="s">
        <v>25</v>
      </c>
      <c r="G174" s="4" t="s">
        <v>25</v>
      </c>
      <c r="H174" s="4" t="s">
        <v>25</v>
      </c>
      <c r="I174" s="5">
        <v>44501</v>
      </c>
      <c r="J174" s="6">
        <v>0</v>
      </c>
      <c r="K174" s="6">
        <v>0</v>
      </c>
      <c r="L174" s="6">
        <v>8.73</v>
      </c>
      <c r="M174" s="6">
        <v>8.73</v>
      </c>
      <c r="N174" s="6">
        <v>8.73</v>
      </c>
      <c r="O174" s="6">
        <v>8.73</v>
      </c>
      <c r="P174" s="6">
        <v>14</v>
      </c>
      <c r="Q174" s="4" t="s">
        <v>26</v>
      </c>
      <c r="R174" s="4">
        <v>0</v>
      </c>
      <c r="S174" s="4">
        <v>0</v>
      </c>
      <c r="T174" s="4">
        <v>12</v>
      </c>
      <c r="U174" s="4">
        <v>77</v>
      </c>
      <c r="V174" s="6">
        <f>IF(ISERROR(VLOOKUP($S$174,'TAR FIN'!$A$1:$O$88,15,0)),0,VLOOKUP($S$174,'TAR FIN'!$A$1:$O$88,15,0))</f>
        <v>0</v>
      </c>
      <c r="W174" s="6">
        <f>IF(ISERROR(VLOOKUP($T$174,'TAR FIN'!$A$1:$O$88,15,0)),0,VLOOKUP($T$174,'TAR FIN'!$A$1:$O$88,15,0))</f>
        <v>124.73</v>
      </c>
      <c r="X174" s="6">
        <f>IF(ISERROR(VLOOKUP($U$174,'TAR FIN'!$A$1:$O$88,15,0)),0,VLOOKUP($U$174,'TAR FIN'!$A$1:$O$88,15,0))</f>
        <v>88.28</v>
      </c>
      <c r="Y174" s="6"/>
      <c r="Z174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4" s="6">
        <f>('TE BE'!$AB$11+'TE BF'!$AB$11+'TE CVA'!$AB$11)*(1-CUSTOS!$M$34)</f>
        <v>88.173573448407112</v>
      </c>
      <c r="AB174" s="6">
        <f t="shared" si="8"/>
        <v>0</v>
      </c>
      <c r="AC174" s="6">
        <f>(L174-M174)*(W174+X174)+($W$232+$X$232-$W$174-$X$174)*(L174)</f>
        <v>3453.4134000000004</v>
      </c>
      <c r="AD174" s="6">
        <f t="shared" si="10"/>
        <v>0</v>
      </c>
      <c r="AE174" s="6">
        <f ca="1">(L174-M174)*(Z174+AA174)+($Z$232+$AA$232-$Z$174-$AA$174)*(L174)</f>
        <v>3622.5661436211876</v>
      </c>
      <c r="AF174" s="4" t="s">
        <v>564</v>
      </c>
    </row>
    <row r="175" spans="1:32" ht="11.25" customHeight="1" x14ac:dyDescent="0.25">
      <c r="A175" s="4" t="s">
        <v>28</v>
      </c>
      <c r="B175" s="4" t="s">
        <v>22</v>
      </c>
      <c r="C175" s="4" t="s">
        <v>23</v>
      </c>
      <c r="D175" s="4" t="s">
        <v>24</v>
      </c>
      <c r="E175" s="4" t="s">
        <v>29</v>
      </c>
      <c r="F175" s="4" t="s">
        <v>25</v>
      </c>
      <c r="G175" s="4" t="s">
        <v>25</v>
      </c>
      <c r="H175" s="4" t="s">
        <v>25</v>
      </c>
      <c r="I175" s="5">
        <v>44501</v>
      </c>
      <c r="J175" s="6">
        <v>0</v>
      </c>
      <c r="K175" s="6">
        <v>0</v>
      </c>
      <c r="L175" s="6">
        <v>0.06</v>
      </c>
      <c r="M175" s="6">
        <v>-9.6000000000000002E-2</v>
      </c>
      <c r="N175" s="6">
        <v>0.06</v>
      </c>
      <c r="O175" s="6">
        <v>-9.6000000000000002E-2</v>
      </c>
      <c r="P175" s="6">
        <v>0</v>
      </c>
      <c r="Q175" s="4" t="s">
        <v>26</v>
      </c>
      <c r="R175" s="4">
        <v>0</v>
      </c>
      <c r="S175" s="4">
        <v>0</v>
      </c>
      <c r="T175" s="4">
        <v>12</v>
      </c>
      <c r="U175" s="4">
        <v>77</v>
      </c>
      <c r="V175" s="6">
        <f>IF(ISERROR(VLOOKUP($S$175,'TAR FIN'!$A$1:$O$88,15,0)),0,VLOOKUP($S$175,'TAR FIN'!$A$1:$O$88,15,0))</f>
        <v>0</v>
      </c>
      <c r="W175" s="6">
        <f>IF(ISERROR(VLOOKUP($T$175,'TAR FIN'!$A$1:$O$88,15,0)),0,VLOOKUP($T$175,'TAR FIN'!$A$1:$O$88,15,0))</f>
        <v>124.73</v>
      </c>
      <c r="X175" s="6">
        <f>IF(ISERROR(VLOOKUP($U$175,'TAR FIN'!$A$1:$O$88,15,0)),0,VLOOKUP($U$175,'TAR FIN'!$A$1:$O$88,15,0))</f>
        <v>88.28</v>
      </c>
      <c r="Y175" s="6"/>
      <c r="Z175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5" s="6">
        <f>('TE BE'!$AB$11+'TE BF'!$AB$11+'TE CVA'!$AB$11)*(1-CUSTOS!$M$34)</f>
        <v>88.173573448407112</v>
      </c>
      <c r="AB175" s="6">
        <f t="shared" si="8"/>
        <v>0</v>
      </c>
      <c r="AC175" s="6">
        <f>(L175-M175)*(W175+X175)+($W$232+$X$232-$W$175-$X$175)*(L175)</f>
        <v>56.964359999999999</v>
      </c>
      <c r="AD175" s="6">
        <f t="shared" si="10"/>
        <v>0</v>
      </c>
      <c r="AE175" s="6">
        <f ca="1">(L175-M175)*(Z175+AA175)+($Z$232+$AA$232-$Z$175-$AA$175)*(L175)</f>
        <v>59.753668348390718</v>
      </c>
      <c r="AF175" s="4" t="s">
        <v>564</v>
      </c>
    </row>
    <row r="176" spans="1:32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29</v>
      </c>
      <c r="F176" s="4" t="s">
        <v>25</v>
      </c>
      <c r="G176" s="4" t="s">
        <v>25</v>
      </c>
      <c r="H176" s="4" t="s">
        <v>25</v>
      </c>
      <c r="I176" s="5">
        <v>44531</v>
      </c>
      <c r="J176" s="6">
        <v>0</v>
      </c>
      <c r="K176" s="6">
        <v>0</v>
      </c>
      <c r="L176" s="6">
        <v>9.06</v>
      </c>
      <c r="M176" s="6">
        <v>9.06</v>
      </c>
      <c r="N176" s="6">
        <v>9.06</v>
      </c>
      <c r="O176" s="6">
        <v>9.06</v>
      </c>
      <c r="P176" s="6">
        <v>13</v>
      </c>
      <c r="Q176" s="4" t="s">
        <v>26</v>
      </c>
      <c r="R176" s="4">
        <v>0</v>
      </c>
      <c r="S176" s="4">
        <v>0</v>
      </c>
      <c r="T176" s="4">
        <v>12</v>
      </c>
      <c r="U176" s="4">
        <v>77</v>
      </c>
      <c r="V176" s="6">
        <f>IF(ISERROR(VLOOKUP($S$176,'TAR FIN'!$A$1:$O$88,15,0)),0,VLOOKUP($S$176,'TAR FIN'!$A$1:$O$88,15,0))</f>
        <v>0</v>
      </c>
      <c r="W176" s="6">
        <f>IF(ISERROR(VLOOKUP($T$176,'TAR FIN'!$A$1:$O$88,15,0)),0,VLOOKUP($T$176,'TAR FIN'!$A$1:$O$88,15,0))</f>
        <v>124.73</v>
      </c>
      <c r="X176" s="6">
        <f>IF(ISERROR(VLOOKUP($U$176,'TAR FIN'!$A$1:$O$88,15,0)),0,VLOOKUP($U$176,'TAR FIN'!$A$1:$O$88,15,0))</f>
        <v>88.28</v>
      </c>
      <c r="Y176" s="6"/>
      <c r="Z176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6" s="6">
        <f>('TE BE'!$AB$11+'TE BF'!$AB$11+'TE CVA'!$AB$11)*(1-CUSTOS!$M$34)</f>
        <v>88.173573448407112</v>
      </c>
      <c r="AB176" s="6">
        <f t="shared" si="8"/>
        <v>0</v>
      </c>
      <c r="AC176" s="6">
        <f>(L176-M176)*(W176+X176)+($W$232+$X$232-$W$176-$X$176)*(L176)</f>
        <v>3583.9548000000004</v>
      </c>
      <c r="AD176" s="6">
        <f t="shared" si="10"/>
        <v>0</v>
      </c>
      <c r="AE176" s="6">
        <f ca="1">(L176-M176)*(Z176+AA176)+($Z$232+$AA$232-$Z$176-$AA$176)*(L176)</f>
        <v>3759.5016335862497</v>
      </c>
      <c r="AF176" s="4" t="s">
        <v>564</v>
      </c>
    </row>
    <row r="177" spans="1:32" ht="11.25" customHeight="1" x14ac:dyDescent="0.25">
      <c r="A177" s="4" t="s">
        <v>28</v>
      </c>
      <c r="B177" s="4" t="s">
        <v>22</v>
      </c>
      <c r="C177" s="4" t="s">
        <v>23</v>
      </c>
      <c r="D177" s="4" t="s">
        <v>24</v>
      </c>
      <c r="E177" s="4" t="s">
        <v>29</v>
      </c>
      <c r="F177" s="4" t="s">
        <v>25</v>
      </c>
      <c r="G177" s="4" t="s">
        <v>25</v>
      </c>
      <c r="H177" s="4" t="s">
        <v>25</v>
      </c>
      <c r="I177" s="5">
        <v>44531</v>
      </c>
      <c r="J177" s="6">
        <v>0</v>
      </c>
      <c r="K177" s="6">
        <v>0</v>
      </c>
      <c r="L177" s="6">
        <v>0.06</v>
      </c>
      <c r="M177" s="6">
        <v>-5.7000000000000002E-2</v>
      </c>
      <c r="N177" s="6">
        <v>0.06</v>
      </c>
      <c r="O177" s="6">
        <v>-5.7000000000000002E-2</v>
      </c>
      <c r="P177" s="6">
        <v>0</v>
      </c>
      <c r="Q177" s="4" t="s">
        <v>26</v>
      </c>
      <c r="R177" s="4">
        <v>0</v>
      </c>
      <c r="S177" s="4">
        <v>0</v>
      </c>
      <c r="T177" s="4">
        <v>12</v>
      </c>
      <c r="U177" s="4">
        <v>77</v>
      </c>
      <c r="V177" s="6">
        <f>IF(ISERROR(VLOOKUP($S$177,'TAR FIN'!$A$1:$O$88,15,0)),0,VLOOKUP($S$177,'TAR FIN'!$A$1:$O$88,15,0))</f>
        <v>0</v>
      </c>
      <c r="W177" s="6">
        <f>IF(ISERROR(VLOOKUP($T$177,'TAR FIN'!$A$1:$O$88,15,0)),0,VLOOKUP($T$177,'TAR FIN'!$A$1:$O$88,15,0))</f>
        <v>124.73</v>
      </c>
      <c r="X177" s="6">
        <f>IF(ISERROR(VLOOKUP($U$177,'TAR FIN'!$A$1:$O$88,15,0)),0,VLOOKUP($U$177,'TAR FIN'!$A$1:$O$88,15,0))</f>
        <v>88.28</v>
      </c>
      <c r="Y177" s="6"/>
      <c r="Z177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7" s="6">
        <f>('TE BE'!$AB$11+'TE BF'!$AB$11+'TE CVA'!$AB$11)*(1-CUSTOS!$M$34)</f>
        <v>88.173573448407112</v>
      </c>
      <c r="AB177" s="6">
        <f t="shared" si="8"/>
        <v>0</v>
      </c>
      <c r="AC177" s="6">
        <f>(L177-M177)*(W177+X177)+($W$232+$X$232-$W$177-$X$177)*(L177)</f>
        <v>48.656970000000001</v>
      </c>
      <c r="AD177" s="6">
        <f t="shared" si="10"/>
        <v>0</v>
      </c>
      <c r="AE177" s="6">
        <f ca="1">(L177-M177)*(Z177+AA177)+($Z$232+$AA$232-$Z$177-$AA$177)*(L177)</f>
        <v>51.039591714250406</v>
      </c>
      <c r="AF177" s="4" t="s">
        <v>564</v>
      </c>
    </row>
    <row r="178" spans="1:32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29</v>
      </c>
      <c r="F178" s="4" t="s">
        <v>25</v>
      </c>
      <c r="G178" s="4" t="s">
        <v>25</v>
      </c>
      <c r="H178" s="4" t="s">
        <v>25</v>
      </c>
      <c r="I178" s="5">
        <v>44562</v>
      </c>
      <c r="J178" s="6">
        <v>0</v>
      </c>
      <c r="K178" s="6">
        <v>0</v>
      </c>
      <c r="L178" s="6">
        <v>9.2100000000000009</v>
      </c>
      <c r="M178" s="6">
        <v>9.2100000000000009</v>
      </c>
      <c r="N178" s="6">
        <v>9.2100000000000009</v>
      </c>
      <c r="O178" s="6">
        <v>9.2100000000000009</v>
      </c>
      <c r="P178" s="6">
        <v>14</v>
      </c>
      <c r="Q178" s="4" t="s">
        <v>26</v>
      </c>
      <c r="R178" s="4">
        <v>0</v>
      </c>
      <c r="S178" s="4">
        <v>0</v>
      </c>
      <c r="T178" s="4">
        <v>12</v>
      </c>
      <c r="U178" s="4">
        <v>77</v>
      </c>
      <c r="V178" s="6">
        <f>IF(ISERROR(VLOOKUP($S$178,'TAR FIN'!$A$1:$O$88,15,0)),0,VLOOKUP($S$178,'TAR FIN'!$A$1:$O$88,15,0))</f>
        <v>0</v>
      </c>
      <c r="W178" s="6">
        <f>IF(ISERROR(VLOOKUP($T$178,'TAR FIN'!$A$1:$O$88,15,0)),0,VLOOKUP($T$178,'TAR FIN'!$A$1:$O$88,15,0))</f>
        <v>124.73</v>
      </c>
      <c r="X178" s="6">
        <f>IF(ISERROR(VLOOKUP($U$178,'TAR FIN'!$A$1:$O$88,15,0)),0,VLOOKUP($U$178,'TAR FIN'!$A$1:$O$88,15,0))</f>
        <v>88.28</v>
      </c>
      <c r="Y178" s="6"/>
      <c r="Z178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8" s="6">
        <f>('TE BE'!$AB$11+'TE BF'!$AB$11+'TE CVA'!$AB$11)*(1-CUSTOS!$M$34)</f>
        <v>88.173573448407112</v>
      </c>
      <c r="AB178" s="6">
        <f t="shared" si="8"/>
        <v>0</v>
      </c>
      <c r="AC178" s="6">
        <f>(L178-M178)*(W178+X178)+($W$232+$X$232-$W$178-$X$178)*(L178)</f>
        <v>3643.2918000000009</v>
      </c>
      <c r="AD178" s="6">
        <f t="shared" si="10"/>
        <v>0</v>
      </c>
      <c r="AE178" s="6">
        <f ca="1">(L178-M178)*(Z178+AA178)+($Z$232+$AA$232-$Z$178-$AA$178)*(L178)</f>
        <v>3821.7450381158233</v>
      </c>
      <c r="AF178" s="4" t="s">
        <v>564</v>
      </c>
    </row>
    <row r="179" spans="1:32" ht="11.25" customHeight="1" x14ac:dyDescent="0.25">
      <c r="A179" s="4" t="s">
        <v>28</v>
      </c>
      <c r="B179" s="4" t="s">
        <v>22</v>
      </c>
      <c r="C179" s="4" t="s">
        <v>23</v>
      </c>
      <c r="D179" s="4" t="s">
        <v>24</v>
      </c>
      <c r="E179" s="4" t="s">
        <v>29</v>
      </c>
      <c r="F179" s="4" t="s">
        <v>25</v>
      </c>
      <c r="G179" s="4" t="s">
        <v>25</v>
      </c>
      <c r="H179" s="4" t="s">
        <v>25</v>
      </c>
      <c r="I179" s="5">
        <v>44562</v>
      </c>
      <c r="J179" s="6">
        <v>0</v>
      </c>
      <c r="K179" s="6">
        <v>0</v>
      </c>
      <c r="L179" s="6">
        <v>0.06</v>
      </c>
      <c r="M179" s="6">
        <v>-5.7000000000000002E-2</v>
      </c>
      <c r="N179" s="6">
        <v>0.06</v>
      </c>
      <c r="O179" s="6">
        <v>-5.7000000000000002E-2</v>
      </c>
      <c r="P179" s="6">
        <v>0</v>
      </c>
      <c r="Q179" s="4" t="s">
        <v>26</v>
      </c>
      <c r="R179" s="4">
        <v>0</v>
      </c>
      <c r="S179" s="4">
        <v>0</v>
      </c>
      <c r="T179" s="4">
        <v>12</v>
      </c>
      <c r="U179" s="4">
        <v>77</v>
      </c>
      <c r="V179" s="6">
        <f>IF(ISERROR(VLOOKUP($S$179,'TAR FIN'!$A$1:$O$88,15,0)),0,VLOOKUP($S$179,'TAR FIN'!$A$1:$O$88,15,0))</f>
        <v>0</v>
      </c>
      <c r="W179" s="6">
        <f>IF(ISERROR(VLOOKUP($T$179,'TAR FIN'!$A$1:$O$88,15,0)),0,VLOOKUP($T$179,'TAR FIN'!$A$1:$O$88,15,0))</f>
        <v>124.73</v>
      </c>
      <c r="X179" s="6">
        <f>IF(ISERROR(VLOOKUP($U$179,'TAR FIN'!$A$1:$O$88,15,0)),0,VLOOKUP($U$179,'TAR FIN'!$A$1:$O$88,15,0))</f>
        <v>88.28</v>
      </c>
      <c r="Y179" s="6"/>
      <c r="Z179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79" s="6">
        <f>('TE BE'!$AB$11+'TE BF'!$AB$11+'TE CVA'!$AB$11)*(1-CUSTOS!$M$34)</f>
        <v>88.173573448407112</v>
      </c>
      <c r="AB179" s="6">
        <f t="shared" si="8"/>
        <v>0</v>
      </c>
      <c r="AC179" s="6">
        <f>(L179-M179)*(W179+X179)+($W$232+$X$232-$W$179-$X$179)*(L179)</f>
        <v>48.656970000000001</v>
      </c>
      <c r="AD179" s="6">
        <f t="shared" si="10"/>
        <v>0</v>
      </c>
      <c r="AE179" s="6">
        <f ca="1">(L179-M179)*(Z179+AA179)+($Z$232+$AA$232-$Z$179-$AA$179)*(L179)</f>
        <v>51.039591714250406</v>
      </c>
      <c r="AF179" s="4" t="s">
        <v>564</v>
      </c>
    </row>
    <row r="180" spans="1:32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29</v>
      </c>
      <c r="F180" s="4" t="s">
        <v>25</v>
      </c>
      <c r="G180" s="4" t="s">
        <v>25</v>
      </c>
      <c r="H180" s="4" t="s">
        <v>25</v>
      </c>
      <c r="I180" s="5">
        <v>44593</v>
      </c>
      <c r="J180" s="6">
        <v>0</v>
      </c>
      <c r="K180" s="6">
        <v>0</v>
      </c>
      <c r="L180" s="6">
        <v>9.33</v>
      </c>
      <c r="M180" s="6">
        <v>9.33</v>
      </c>
      <c r="N180" s="6">
        <v>9.33</v>
      </c>
      <c r="O180" s="6">
        <v>9.33</v>
      </c>
      <c r="P180" s="6">
        <v>8</v>
      </c>
      <c r="Q180" s="4" t="s">
        <v>26</v>
      </c>
      <c r="R180" s="4">
        <v>0</v>
      </c>
      <c r="S180" s="4">
        <v>0</v>
      </c>
      <c r="T180" s="4">
        <v>12</v>
      </c>
      <c r="U180" s="4">
        <v>77</v>
      </c>
      <c r="V180" s="6">
        <f>IF(ISERROR(VLOOKUP($S$180,'TAR FIN'!$A$1:$O$88,15,0)),0,VLOOKUP($S$180,'TAR FIN'!$A$1:$O$88,15,0))</f>
        <v>0</v>
      </c>
      <c r="W180" s="6">
        <f>IF(ISERROR(VLOOKUP($T$180,'TAR FIN'!$A$1:$O$88,15,0)),0,VLOOKUP($T$180,'TAR FIN'!$A$1:$O$88,15,0))</f>
        <v>124.73</v>
      </c>
      <c r="X180" s="6">
        <f>IF(ISERROR(VLOOKUP($U$180,'TAR FIN'!$A$1:$O$88,15,0)),0,VLOOKUP($U$180,'TAR FIN'!$A$1:$O$88,15,0))</f>
        <v>88.28</v>
      </c>
      <c r="Y180" s="6"/>
      <c r="Z180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0" s="6">
        <f>('TE BE'!$AB$11+'TE BF'!$AB$11+'TE CVA'!$AB$11)*(1-CUSTOS!$M$34)</f>
        <v>88.173573448407112</v>
      </c>
      <c r="AB180" s="6">
        <f t="shared" si="8"/>
        <v>0</v>
      </c>
      <c r="AC180" s="6">
        <f>(L180-M180)*(W180+X180)+($W$232+$X$232-$W$180-$X$180)*(L180)</f>
        <v>3690.7614000000003</v>
      </c>
      <c r="AD180" s="6">
        <f t="shared" si="10"/>
        <v>0</v>
      </c>
      <c r="AE180" s="6">
        <f ca="1">(L180-M180)*(Z180+AA180)+($Z$232+$AA$232-$Z$180-$AA$180)*(L180)</f>
        <v>3871.5397617394819</v>
      </c>
      <c r="AF180" s="4" t="s">
        <v>564</v>
      </c>
    </row>
    <row r="181" spans="1:32" ht="11.25" customHeight="1" x14ac:dyDescent="0.25">
      <c r="A181" s="4" t="s">
        <v>28</v>
      </c>
      <c r="B181" s="4" t="s">
        <v>22</v>
      </c>
      <c r="C181" s="4" t="s">
        <v>23</v>
      </c>
      <c r="D181" s="4" t="s">
        <v>24</v>
      </c>
      <c r="E181" s="4" t="s">
        <v>29</v>
      </c>
      <c r="F181" s="4" t="s">
        <v>25</v>
      </c>
      <c r="G181" s="4" t="s">
        <v>25</v>
      </c>
      <c r="H181" s="4" t="s">
        <v>25</v>
      </c>
      <c r="I181" s="5">
        <v>44593</v>
      </c>
      <c r="J181" s="6">
        <v>0</v>
      </c>
      <c r="K181" s="6">
        <v>0</v>
      </c>
      <c r="L181" s="6">
        <v>0.09</v>
      </c>
      <c r="M181" s="6">
        <v>-8.5500000000000007E-2</v>
      </c>
      <c r="N181" s="6">
        <v>0.09</v>
      </c>
      <c r="O181" s="6">
        <v>-8.5500000000000007E-2</v>
      </c>
      <c r="P181" s="6">
        <v>0</v>
      </c>
      <c r="Q181" s="4" t="s">
        <v>26</v>
      </c>
      <c r="R181" s="4">
        <v>0</v>
      </c>
      <c r="S181" s="4">
        <v>0</v>
      </c>
      <c r="T181" s="4">
        <v>12</v>
      </c>
      <c r="U181" s="4">
        <v>77</v>
      </c>
      <c r="V181" s="6">
        <f>IF(ISERROR(VLOOKUP($S$181,'TAR FIN'!$A$1:$O$88,15,0)),0,VLOOKUP($S$181,'TAR FIN'!$A$1:$O$88,15,0))</f>
        <v>0</v>
      </c>
      <c r="W181" s="6">
        <f>IF(ISERROR(VLOOKUP($T$181,'TAR FIN'!$A$1:$O$88,15,0)),0,VLOOKUP($T$181,'TAR FIN'!$A$1:$O$88,15,0))</f>
        <v>124.73</v>
      </c>
      <c r="X181" s="6">
        <f>IF(ISERROR(VLOOKUP($U$181,'TAR FIN'!$A$1:$O$88,15,0)),0,VLOOKUP($U$181,'TAR FIN'!$A$1:$O$88,15,0))</f>
        <v>88.28</v>
      </c>
      <c r="Y181" s="6"/>
      <c r="Z181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1" s="6">
        <f>('TE BE'!$AB$11+'TE BF'!$AB$11+'TE CVA'!$AB$11)*(1-CUSTOS!$M$34)</f>
        <v>88.173573448407112</v>
      </c>
      <c r="AB181" s="6">
        <f t="shared" si="8"/>
        <v>0</v>
      </c>
      <c r="AC181" s="6">
        <f>(L181-M181)*(W181+X181)+($W$232+$X$232-$W$181-$X$181)*(L181)</f>
        <v>72.985455000000002</v>
      </c>
      <c r="AD181" s="6">
        <f t="shared" si="10"/>
        <v>0</v>
      </c>
      <c r="AE181" s="6">
        <f ca="1">(L181-M181)*(Z181+AA181)+($Z$232+$AA$232-$Z$181-$AA$181)*(L181)</f>
        <v>76.559387571375595</v>
      </c>
      <c r="AF181" s="4" t="s">
        <v>564</v>
      </c>
    </row>
    <row r="182" spans="1:32" ht="11.25" customHeight="1" x14ac:dyDescent="0.25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29</v>
      </c>
      <c r="F182" s="4" t="s">
        <v>25</v>
      </c>
      <c r="G182" s="4" t="s">
        <v>25</v>
      </c>
      <c r="H182" s="4" t="s">
        <v>25</v>
      </c>
      <c r="I182" s="5">
        <v>44621</v>
      </c>
      <c r="J182" s="6">
        <v>0</v>
      </c>
      <c r="K182" s="6">
        <v>0</v>
      </c>
      <c r="L182" s="6">
        <v>9.6300000000000008</v>
      </c>
      <c r="M182" s="6">
        <v>9.6300000000000008</v>
      </c>
      <c r="N182" s="6">
        <v>9.6300000000000008</v>
      </c>
      <c r="O182" s="6">
        <v>9.6300000000000008</v>
      </c>
      <c r="P182" s="6">
        <v>14</v>
      </c>
      <c r="Q182" s="4" t="s">
        <v>26</v>
      </c>
      <c r="R182" s="4">
        <v>0</v>
      </c>
      <c r="S182" s="4">
        <v>0</v>
      </c>
      <c r="T182" s="4">
        <v>12</v>
      </c>
      <c r="U182" s="4">
        <v>77</v>
      </c>
      <c r="V182" s="6">
        <f>IF(ISERROR(VLOOKUP($S$182,'TAR FIN'!$A$1:$O$88,15,0)),0,VLOOKUP($S$182,'TAR FIN'!$A$1:$O$88,15,0))</f>
        <v>0</v>
      </c>
      <c r="W182" s="6">
        <f>IF(ISERROR(VLOOKUP($T$182,'TAR FIN'!$A$1:$O$88,15,0)),0,VLOOKUP($T$182,'TAR FIN'!$A$1:$O$88,15,0))</f>
        <v>124.73</v>
      </c>
      <c r="X182" s="6">
        <f>IF(ISERROR(VLOOKUP($U$182,'TAR FIN'!$A$1:$O$88,15,0)),0,VLOOKUP($U$182,'TAR FIN'!$A$1:$O$88,15,0))</f>
        <v>88.28</v>
      </c>
      <c r="Y182" s="6"/>
      <c r="Z182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2" s="6">
        <f>('TE BE'!$AB$11+'TE BF'!$AB$11+'TE CVA'!$AB$11)*(1-CUSTOS!$M$34)</f>
        <v>88.173573448407112</v>
      </c>
      <c r="AB182" s="6">
        <f t="shared" si="8"/>
        <v>0</v>
      </c>
      <c r="AC182" s="6">
        <f>(L182-M182)*(W182+X182)+($W$232+$X$232-$W$182-$X$182)*(L182)</f>
        <v>3809.4354000000008</v>
      </c>
      <c r="AD182" s="6">
        <f t="shared" si="10"/>
        <v>0</v>
      </c>
      <c r="AE182" s="6">
        <f ca="1">(L182-M182)*(Z182+AA182)+($Z$232+$AA$232-$Z$182-$AA$182)*(L182)</f>
        <v>3996.0265707986296</v>
      </c>
      <c r="AF182" s="4" t="s">
        <v>564</v>
      </c>
    </row>
    <row r="183" spans="1:32" ht="11.25" customHeight="1" x14ac:dyDescent="0.25">
      <c r="A183" s="4" t="s">
        <v>28</v>
      </c>
      <c r="B183" s="4" t="s">
        <v>22</v>
      </c>
      <c r="C183" s="4" t="s">
        <v>23</v>
      </c>
      <c r="D183" s="4" t="s">
        <v>24</v>
      </c>
      <c r="E183" s="4" t="s">
        <v>29</v>
      </c>
      <c r="F183" s="4" t="s">
        <v>25</v>
      </c>
      <c r="G183" s="4" t="s">
        <v>25</v>
      </c>
      <c r="H183" s="4" t="s">
        <v>25</v>
      </c>
      <c r="I183" s="5">
        <v>44621</v>
      </c>
      <c r="J183" s="6">
        <v>0</v>
      </c>
      <c r="K183" s="6">
        <v>0</v>
      </c>
      <c r="L183" s="6">
        <v>0.09</v>
      </c>
      <c r="M183" s="6">
        <v>-0.14399999999999999</v>
      </c>
      <c r="N183" s="6">
        <v>0.09</v>
      </c>
      <c r="O183" s="6">
        <v>-0.14399999999999999</v>
      </c>
      <c r="P183" s="6">
        <v>0</v>
      </c>
      <c r="Q183" s="4" t="s">
        <v>26</v>
      </c>
      <c r="R183" s="4">
        <v>0</v>
      </c>
      <c r="S183" s="4">
        <v>0</v>
      </c>
      <c r="T183" s="4">
        <v>12</v>
      </c>
      <c r="U183" s="4">
        <v>77</v>
      </c>
      <c r="V183" s="6">
        <f>IF(ISERROR(VLOOKUP($S$183,'TAR FIN'!$A$1:$O$88,15,0)),0,VLOOKUP($S$183,'TAR FIN'!$A$1:$O$88,15,0))</f>
        <v>0</v>
      </c>
      <c r="W183" s="6">
        <f>IF(ISERROR(VLOOKUP($T$183,'TAR FIN'!$A$1:$O$88,15,0)),0,VLOOKUP($T$183,'TAR FIN'!$A$1:$O$88,15,0))</f>
        <v>124.73</v>
      </c>
      <c r="X183" s="6">
        <f>IF(ISERROR(VLOOKUP($U$183,'TAR FIN'!$A$1:$O$88,15,0)),0,VLOOKUP($U$183,'TAR FIN'!$A$1:$O$88,15,0))</f>
        <v>88.28</v>
      </c>
      <c r="Y183" s="6"/>
      <c r="Z183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3" s="6">
        <f>('TE BE'!$AB$11+'TE BF'!$AB$11+'TE CVA'!$AB$11)*(1-CUSTOS!$M$34)</f>
        <v>88.173573448407112</v>
      </c>
      <c r="AB183" s="6">
        <f t="shared" si="8"/>
        <v>0</v>
      </c>
      <c r="AC183" s="6">
        <f>(L183-M183)*(W183+X183)+($W$232+$X$232-$W$183-$X$183)*(L183)</f>
        <v>85.446539999999999</v>
      </c>
      <c r="AD183" s="6">
        <f t="shared" si="10"/>
        <v>0</v>
      </c>
      <c r="AE183" s="6">
        <f ca="1">(L183-M183)*(Z183+AA183)+($Z$232+$AA$232-$Z$183-$AA$183)*(L183)</f>
        <v>89.630502522586085</v>
      </c>
      <c r="AF183" s="4" t="s">
        <v>564</v>
      </c>
    </row>
    <row r="184" spans="1:32" ht="11.25" customHeight="1" x14ac:dyDescent="0.25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29</v>
      </c>
      <c r="F184" s="4" t="s">
        <v>25</v>
      </c>
      <c r="G184" s="4" t="s">
        <v>25</v>
      </c>
      <c r="H184" s="4" t="s">
        <v>25</v>
      </c>
      <c r="I184" s="5">
        <v>44652</v>
      </c>
      <c r="J184" s="6">
        <v>0</v>
      </c>
      <c r="K184" s="6">
        <v>0</v>
      </c>
      <c r="L184" s="6">
        <v>22.948</v>
      </c>
      <c r="M184" s="6">
        <v>22.948</v>
      </c>
      <c r="N184" s="6">
        <v>22.948</v>
      </c>
      <c r="O184" s="6">
        <v>22.948</v>
      </c>
      <c r="P184" s="6">
        <v>68</v>
      </c>
      <c r="Q184" s="4" t="s">
        <v>26</v>
      </c>
      <c r="R184" s="4">
        <v>0</v>
      </c>
      <c r="S184" s="4">
        <v>0</v>
      </c>
      <c r="T184" s="4">
        <v>12</v>
      </c>
      <c r="U184" s="4">
        <v>77</v>
      </c>
      <c r="V184" s="6">
        <f>IF(ISERROR(VLOOKUP($S$184,'TAR FIN'!$A$1:$O$88,15,0)),0,VLOOKUP($S$184,'TAR FIN'!$A$1:$O$88,15,0))</f>
        <v>0</v>
      </c>
      <c r="W184" s="6">
        <f>IF(ISERROR(VLOOKUP($T$184,'TAR FIN'!$A$1:$O$88,15,0)),0,VLOOKUP($T$184,'TAR FIN'!$A$1:$O$88,15,0))</f>
        <v>124.73</v>
      </c>
      <c r="X184" s="6">
        <f>IF(ISERROR(VLOOKUP($U$184,'TAR FIN'!$A$1:$O$88,15,0)),0,VLOOKUP($U$184,'TAR FIN'!$A$1:$O$88,15,0))</f>
        <v>88.28</v>
      </c>
      <c r="Y184" s="6"/>
      <c r="Z184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4" s="6">
        <f>('TE BE'!$AB$11+'TE BF'!$AB$11+'TE CVA'!$AB$11)*(1-CUSTOS!$M$34)</f>
        <v>88.173573448407112</v>
      </c>
      <c r="AB184" s="6">
        <f t="shared" si="8"/>
        <v>0</v>
      </c>
      <c r="AC184" s="6">
        <f>(L184-M184)*(W184+X184)+($W$232+$X$232-$W$184-$X$184)*(L184)</f>
        <v>9077.7698400000008</v>
      </c>
      <c r="AD184" s="6">
        <f t="shared" si="10"/>
        <v>0</v>
      </c>
      <c r="AE184" s="6">
        <f ca="1">(L184-M184)*(Z184+AA184)+($Z$232+$AA$232-$Z$184-$AA$184)*(L184)</f>
        <v>9522.410980964376</v>
      </c>
      <c r="AF184" s="4" t="s">
        <v>564</v>
      </c>
    </row>
    <row r="185" spans="1:32" ht="11.25" customHeight="1" x14ac:dyDescent="0.25">
      <c r="A185" s="4" t="s">
        <v>28</v>
      </c>
      <c r="B185" s="4" t="s">
        <v>22</v>
      </c>
      <c r="C185" s="4" t="s">
        <v>23</v>
      </c>
      <c r="D185" s="4" t="s">
        <v>24</v>
      </c>
      <c r="E185" s="4" t="s">
        <v>29</v>
      </c>
      <c r="F185" s="4" t="s">
        <v>25</v>
      </c>
      <c r="G185" s="4" t="s">
        <v>25</v>
      </c>
      <c r="H185" s="4" t="s">
        <v>25</v>
      </c>
      <c r="I185" s="5">
        <v>44652</v>
      </c>
      <c r="J185" s="6">
        <v>0</v>
      </c>
      <c r="K185" s="6">
        <v>0</v>
      </c>
      <c r="L185" s="6">
        <v>8.8999999999999996E-2</v>
      </c>
      <c r="M185" s="6">
        <v>-0.54735</v>
      </c>
      <c r="N185" s="6">
        <v>8.8999999999999996E-2</v>
      </c>
      <c r="O185" s="6">
        <v>-0.54735</v>
      </c>
      <c r="P185" s="6">
        <v>0</v>
      </c>
      <c r="Q185" s="4" t="s">
        <v>26</v>
      </c>
      <c r="R185" s="4">
        <v>0</v>
      </c>
      <c r="S185" s="4">
        <v>0</v>
      </c>
      <c r="T185" s="4">
        <v>12</v>
      </c>
      <c r="U185" s="4">
        <v>77</v>
      </c>
      <c r="V185" s="6">
        <f>IF(ISERROR(VLOOKUP($S$185,'TAR FIN'!$A$1:$O$88,15,0)),0,VLOOKUP($S$185,'TAR FIN'!$A$1:$O$88,15,0))</f>
        <v>0</v>
      </c>
      <c r="W185" s="6">
        <f>IF(ISERROR(VLOOKUP($T$185,'TAR FIN'!$A$1:$O$88,15,0)),0,VLOOKUP($T$185,'TAR FIN'!$A$1:$O$88,15,0))</f>
        <v>124.73</v>
      </c>
      <c r="X185" s="6">
        <f>IF(ISERROR(VLOOKUP($U$185,'TAR FIN'!$A$1:$O$88,15,0)),0,VLOOKUP($U$185,'TAR FIN'!$A$1:$O$88,15,0))</f>
        <v>88.28</v>
      </c>
      <c r="Y185" s="6"/>
      <c r="Z185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5" s="6">
        <f>('TE BE'!$AB$11+'TE BF'!$AB$11+'TE CVA'!$AB$11)*(1-CUSTOS!$M$34)</f>
        <v>88.173573448407112</v>
      </c>
      <c r="AB185" s="6">
        <f t="shared" si="8"/>
        <v>0</v>
      </c>
      <c r="AC185" s="6">
        <f>(L185-M185)*(W185+X185)+($W$232+$X$232-$W$185-$X$185)*(L185)</f>
        <v>170.75553350000001</v>
      </c>
      <c r="AD185" s="6">
        <f t="shared" si="10"/>
        <v>0</v>
      </c>
      <c r="AE185" s="6">
        <f ca="1">(L185-M185)*(Z185+AA185)+($Z$232+$AA$232-$Z$185-$AA$185)*(L185)</f>
        <v>179.11577043460315</v>
      </c>
      <c r="AF185" s="4" t="s">
        <v>564</v>
      </c>
    </row>
    <row r="186" spans="1:32" ht="11.25" customHeight="1" x14ac:dyDescent="0.25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29</v>
      </c>
      <c r="F186" s="4" t="s">
        <v>25</v>
      </c>
      <c r="G186" s="4" t="s">
        <v>25</v>
      </c>
      <c r="H186" s="4" t="s">
        <v>25</v>
      </c>
      <c r="I186" s="5">
        <v>44682</v>
      </c>
      <c r="J186" s="6">
        <v>0</v>
      </c>
      <c r="K186" s="6">
        <v>0</v>
      </c>
      <c r="L186" s="6">
        <v>23.457000000000001</v>
      </c>
      <c r="M186" s="6">
        <v>23.457000000000001</v>
      </c>
      <c r="N186" s="6">
        <v>23.457000000000001</v>
      </c>
      <c r="O186" s="6">
        <v>23.457000000000001</v>
      </c>
      <c r="P186" s="6">
        <v>74</v>
      </c>
      <c r="Q186" s="4" t="s">
        <v>26</v>
      </c>
      <c r="R186" s="4">
        <v>0</v>
      </c>
      <c r="S186" s="4">
        <v>0</v>
      </c>
      <c r="T186" s="4">
        <v>12</v>
      </c>
      <c r="U186" s="4">
        <v>77</v>
      </c>
      <c r="V186" s="6">
        <f>IF(ISERROR(VLOOKUP($S$186,'TAR FIN'!$A$1:$O$88,15,0)),0,VLOOKUP($S$186,'TAR FIN'!$A$1:$O$88,15,0))</f>
        <v>0</v>
      </c>
      <c r="W186" s="6">
        <f>IF(ISERROR(VLOOKUP($T$186,'TAR FIN'!$A$1:$O$88,15,0)),0,VLOOKUP($T$186,'TAR FIN'!$A$1:$O$88,15,0))</f>
        <v>124.73</v>
      </c>
      <c r="X186" s="6">
        <f>IF(ISERROR(VLOOKUP($U$186,'TAR FIN'!$A$1:$O$88,15,0)),0,VLOOKUP($U$186,'TAR FIN'!$A$1:$O$88,15,0))</f>
        <v>88.28</v>
      </c>
      <c r="Y186" s="6"/>
      <c r="Z186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6" s="6">
        <f>('TE BE'!$AB$11+'TE BF'!$AB$11+'TE CVA'!$AB$11)*(1-CUSTOS!$M$34)</f>
        <v>88.173573448407112</v>
      </c>
      <c r="AB186" s="6">
        <f t="shared" si="8"/>
        <v>0</v>
      </c>
      <c r="AC186" s="6">
        <f>(L186-M186)*(W186+X186)+($W$232+$X$232-$W$186-$X$186)*(L186)</f>
        <v>9279.1200600000011</v>
      </c>
      <c r="AD186" s="6">
        <f t="shared" si="10"/>
        <v>0</v>
      </c>
      <c r="AE186" s="6">
        <f ca="1">(L186-M186)*(Z186+AA186)+($Z$232+$AA$232-$Z$186-$AA$186)*(L186)</f>
        <v>9733.6236003347294</v>
      </c>
      <c r="AF186" s="4" t="s">
        <v>564</v>
      </c>
    </row>
    <row r="187" spans="1:32" ht="11.25" customHeight="1" x14ac:dyDescent="0.25">
      <c r="A187" s="4" t="s">
        <v>28</v>
      </c>
      <c r="B187" s="4" t="s">
        <v>22</v>
      </c>
      <c r="C187" s="4" t="s">
        <v>23</v>
      </c>
      <c r="D187" s="4" t="s">
        <v>24</v>
      </c>
      <c r="E187" s="4" t="s">
        <v>29</v>
      </c>
      <c r="F187" s="4" t="s">
        <v>25</v>
      </c>
      <c r="G187" s="4" t="s">
        <v>25</v>
      </c>
      <c r="H187" s="4" t="s">
        <v>25</v>
      </c>
      <c r="I187" s="5">
        <v>44682</v>
      </c>
      <c r="J187" s="6">
        <v>0</v>
      </c>
      <c r="K187" s="6">
        <v>0</v>
      </c>
      <c r="L187" s="6">
        <v>0.19900000000000001</v>
      </c>
      <c r="M187" s="6">
        <v>-1.2238500000000001</v>
      </c>
      <c r="N187" s="6">
        <v>0.19900000000000001</v>
      </c>
      <c r="O187" s="6">
        <v>-1.2238500000000001</v>
      </c>
      <c r="P187" s="6">
        <v>0</v>
      </c>
      <c r="Q187" s="4" t="s">
        <v>26</v>
      </c>
      <c r="R187" s="4">
        <v>0</v>
      </c>
      <c r="S187" s="4">
        <v>0</v>
      </c>
      <c r="T187" s="4">
        <v>12</v>
      </c>
      <c r="U187" s="4">
        <v>77</v>
      </c>
      <c r="V187" s="6">
        <f>IF(ISERROR(VLOOKUP($S$187,'TAR FIN'!$A$1:$O$88,15,0)),0,VLOOKUP($S$187,'TAR FIN'!$A$1:$O$88,15,0))</f>
        <v>0</v>
      </c>
      <c r="W187" s="6">
        <f>IF(ISERROR(VLOOKUP($T$187,'TAR FIN'!$A$1:$O$88,15,0)),0,VLOOKUP($T$187,'TAR FIN'!$A$1:$O$88,15,0))</f>
        <v>124.73</v>
      </c>
      <c r="X187" s="6">
        <f>IF(ISERROR(VLOOKUP($U$187,'TAR FIN'!$A$1:$O$88,15,0)),0,VLOOKUP($U$187,'TAR FIN'!$A$1:$O$88,15,0))</f>
        <v>88.28</v>
      </c>
      <c r="Y187" s="6"/>
      <c r="Z187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7" s="6">
        <f>('TE BE'!$AB$11+'TE BF'!$AB$11+'TE CVA'!$AB$11)*(1-CUSTOS!$M$34)</f>
        <v>88.173573448407112</v>
      </c>
      <c r="AB187" s="6">
        <f t="shared" si="8"/>
        <v>0</v>
      </c>
      <c r="AC187" s="6">
        <f>(L187-M187)*(W187+X187)+($W$232+$X$232-$W$187-$X$187)*(L187)</f>
        <v>381.80169850000004</v>
      </c>
      <c r="AD187" s="6">
        <f t="shared" si="10"/>
        <v>0</v>
      </c>
      <c r="AE187" s="6">
        <f ca="1">(L187-M187)*(Z187+AA187)+($Z$232+$AA$232-$Z$187-$AA$187)*(L187)</f>
        <v>400.4948125447869</v>
      </c>
      <c r="AF187" s="4" t="s">
        <v>564</v>
      </c>
    </row>
    <row r="188" spans="1:32" ht="11.25" customHeight="1" x14ac:dyDescent="0.25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29</v>
      </c>
      <c r="F188" s="4" t="s">
        <v>25</v>
      </c>
      <c r="G188" s="4" t="s">
        <v>25</v>
      </c>
      <c r="H188" s="4" t="s">
        <v>25</v>
      </c>
      <c r="I188" s="5">
        <v>44713</v>
      </c>
      <c r="J188" s="6">
        <v>0</v>
      </c>
      <c r="K188" s="6">
        <v>0</v>
      </c>
      <c r="L188" s="6">
        <v>24.93</v>
      </c>
      <c r="M188" s="6">
        <v>24.93</v>
      </c>
      <c r="N188" s="6">
        <v>24.93</v>
      </c>
      <c r="O188" s="6">
        <v>24.93</v>
      </c>
      <c r="P188" s="6">
        <v>96</v>
      </c>
      <c r="Q188" s="4" t="s">
        <v>26</v>
      </c>
      <c r="R188" s="4">
        <v>0</v>
      </c>
      <c r="S188" s="4">
        <v>0</v>
      </c>
      <c r="T188" s="4">
        <v>12</v>
      </c>
      <c r="U188" s="4">
        <v>77</v>
      </c>
      <c r="V188" s="6">
        <f>IF(ISERROR(VLOOKUP($S$188,'TAR FIN'!$A$1:$O$88,15,0)),0,VLOOKUP($S$188,'TAR FIN'!$A$1:$O$88,15,0))</f>
        <v>0</v>
      </c>
      <c r="W188" s="6">
        <f>IF(ISERROR(VLOOKUP($T$188,'TAR FIN'!$A$1:$O$88,15,0)),0,VLOOKUP($T$188,'TAR FIN'!$A$1:$O$88,15,0))</f>
        <v>124.73</v>
      </c>
      <c r="X188" s="6">
        <f>IF(ISERROR(VLOOKUP($U$188,'TAR FIN'!$A$1:$O$88,15,0)),0,VLOOKUP($U$188,'TAR FIN'!$A$1:$O$88,15,0))</f>
        <v>88.28</v>
      </c>
      <c r="Y188" s="6"/>
      <c r="Z188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8" s="6">
        <f>('TE BE'!$AB$11+'TE BF'!$AB$11+'TE CVA'!$AB$11)*(1-CUSTOS!$M$34)</f>
        <v>88.173573448407112</v>
      </c>
      <c r="AB188" s="6">
        <f t="shared" si="8"/>
        <v>0</v>
      </c>
      <c r="AC188" s="6">
        <f>(L188-M188)*(W188+X188)+($W$232+$X$232-$W$188-$X$188)*(L188)</f>
        <v>9861.8094000000001</v>
      </c>
      <c r="AD188" s="6">
        <f t="shared" si="10"/>
        <v>0</v>
      </c>
      <c r="AE188" s="6">
        <f ca="1">(L188-M188)*(Z188+AA188)+($Z$232+$AA$232-$Z$188-$AA$188)*(L188)</f>
        <v>10344.853832815143</v>
      </c>
      <c r="AF188" s="4" t="s">
        <v>564</v>
      </c>
    </row>
    <row r="189" spans="1:32" ht="11.25" customHeight="1" x14ac:dyDescent="0.25">
      <c r="A189" s="4" t="s">
        <v>28</v>
      </c>
      <c r="B189" s="4" t="s">
        <v>22</v>
      </c>
      <c r="C189" s="4" t="s">
        <v>23</v>
      </c>
      <c r="D189" s="4" t="s">
        <v>24</v>
      </c>
      <c r="E189" s="4" t="s">
        <v>29</v>
      </c>
      <c r="F189" s="4" t="s">
        <v>25</v>
      </c>
      <c r="G189" s="4" t="s">
        <v>25</v>
      </c>
      <c r="H189" s="4" t="s">
        <v>25</v>
      </c>
      <c r="I189" s="5">
        <v>44713</v>
      </c>
      <c r="J189" s="6">
        <v>0</v>
      </c>
      <c r="K189" s="6">
        <v>0</v>
      </c>
      <c r="L189" s="6">
        <v>0.26300000000000001</v>
      </c>
      <c r="M189" s="6">
        <v>-1.6174500000000001</v>
      </c>
      <c r="N189" s="6">
        <v>0.26300000000000001</v>
      </c>
      <c r="O189" s="6">
        <v>-1.6174500000000001</v>
      </c>
      <c r="P189" s="6">
        <v>0</v>
      </c>
      <c r="Q189" s="4" t="s">
        <v>26</v>
      </c>
      <c r="R189" s="4">
        <v>0</v>
      </c>
      <c r="S189" s="4">
        <v>0</v>
      </c>
      <c r="T189" s="4">
        <v>12</v>
      </c>
      <c r="U189" s="4">
        <v>77</v>
      </c>
      <c r="V189" s="6">
        <f>IF(ISERROR(VLOOKUP($S$189,'TAR FIN'!$A$1:$O$88,15,0)),0,VLOOKUP($S$189,'TAR FIN'!$A$1:$O$88,15,0))</f>
        <v>0</v>
      </c>
      <c r="W189" s="6">
        <f>IF(ISERROR(VLOOKUP($T$189,'TAR FIN'!$A$1:$O$88,15,0)),0,VLOOKUP($T$189,'TAR FIN'!$A$1:$O$88,15,0))</f>
        <v>124.73</v>
      </c>
      <c r="X189" s="6">
        <f>IF(ISERROR(VLOOKUP($U$189,'TAR FIN'!$A$1:$O$88,15,0)),0,VLOOKUP($U$189,'TAR FIN'!$A$1:$O$88,15,0))</f>
        <v>88.28</v>
      </c>
      <c r="Y189" s="6"/>
      <c r="Z189" s="6">
        <f ca="1">('TUSD BE'!$AM$21+'TUSD BF'!$AM$21+'TUSD CVA'!$AM$21-('TUSD BE'!$P$21+'TUSD BF'!$P$21+'TUSD CVA'!$P$21)-('TUSD BE'!$Q$21+'TUSD BF'!$Q$21+'TUSD CVA'!$Q$21)-('TUSD BE'!$R$21+'TUSD BF'!$R$21+'TUSD CVA'!$R$21))*(1-CUSTOS!$M$34)</f>
        <v>135.26428896544709</v>
      </c>
      <c r="AA189" s="6">
        <f>('TE BE'!$AB$11+'TE BF'!$AB$11+'TE CVA'!$AB$11)*(1-CUSTOS!$M$34)</f>
        <v>88.173573448407112</v>
      </c>
      <c r="AB189" s="6">
        <f t="shared" si="8"/>
        <v>0</v>
      </c>
      <c r="AC189" s="6">
        <f>(L189-M189)*(W189+X189)+($W$232+$X$232-$W$189-$X$189)*(L189)</f>
        <v>504.59219450000006</v>
      </c>
      <c r="AD189" s="6">
        <f t="shared" si="10"/>
        <v>0</v>
      </c>
      <c r="AE189" s="6">
        <f ca="1">(L189-M189)*(Z189+AA189)+($Z$232+$AA$232-$Z$189-$AA$189)*(L189)</f>
        <v>529.29716431798465</v>
      </c>
      <c r="AF189" s="4" t="s">
        <v>564</v>
      </c>
    </row>
    <row r="190" spans="1:32" ht="11.25" customHeight="1" x14ac:dyDescent="0.25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30</v>
      </c>
      <c r="F190" s="4" t="s">
        <v>25</v>
      </c>
      <c r="G190" s="4" t="s">
        <v>25</v>
      </c>
      <c r="H190" s="4" t="s">
        <v>25</v>
      </c>
      <c r="I190" s="5">
        <v>44378</v>
      </c>
      <c r="J190" s="6">
        <v>0</v>
      </c>
      <c r="K190" s="6">
        <v>0</v>
      </c>
      <c r="L190" s="6">
        <v>13.337999999999999</v>
      </c>
      <c r="M190" s="6">
        <v>13.337999999999999</v>
      </c>
      <c r="N190" s="6">
        <v>13.337999999999999</v>
      </c>
      <c r="O190" s="6">
        <v>13.337999999999999</v>
      </c>
      <c r="P190" s="6">
        <v>110</v>
      </c>
      <c r="Q190" s="4" t="s">
        <v>26</v>
      </c>
      <c r="R190" s="4">
        <v>0</v>
      </c>
      <c r="S190" s="4">
        <v>0</v>
      </c>
      <c r="T190" s="4">
        <v>55</v>
      </c>
      <c r="U190" s="4">
        <v>50</v>
      </c>
      <c r="V190" s="6">
        <f>IF(ISERROR(VLOOKUP($S$190,'TAR FIN'!$A$1:$O$88,15,0)),0,VLOOKUP($S$190,'TAR FIN'!$A$1:$O$88,15,0))</f>
        <v>0</v>
      </c>
      <c r="W190" s="6">
        <f>IF(ISERROR(VLOOKUP($T$190,'TAR FIN'!$A$1:$O$88,15,0)),0,VLOOKUP($T$190,'TAR FIN'!$A$1:$O$88,15,0))</f>
        <v>213.82</v>
      </c>
      <c r="X190" s="6">
        <f>IF(ISERROR(VLOOKUP($U$190,'TAR FIN'!$A$1:$O$88,15,0)),0,VLOOKUP($U$190,'TAR FIN'!$A$1:$O$88,15,0))</f>
        <v>151.33000000000001</v>
      </c>
      <c r="Y190" s="6"/>
      <c r="Z190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0" s="6">
        <f>('TE BE'!$AB$12+'TE BF'!$AB$12+'TE CVA'!$AB$12)*(1-CUSTOS!$M$35)</f>
        <v>151.15469734012649</v>
      </c>
      <c r="AB190" s="6">
        <f t="shared" si="8"/>
        <v>0</v>
      </c>
      <c r="AC190" s="6">
        <f>(L190-M190)*(W190+X190)+($W$232+$X$232-$W$190-$X$190)*(L190)</f>
        <v>3247.00272</v>
      </c>
      <c r="AD190" s="6">
        <f t="shared" si="10"/>
        <v>0</v>
      </c>
      <c r="AE190" s="6">
        <f ca="1">(L190-M190)*(Z190+AA190)+($Z$232+$AA$232-$Z$190-$AA$190)*(L190)</f>
        <v>3405.9590958582708</v>
      </c>
      <c r="AF190" s="4" t="s">
        <v>564</v>
      </c>
    </row>
    <row r="191" spans="1:32" ht="11.25" customHeight="1" x14ac:dyDescent="0.25">
      <c r="A191" s="4" t="s">
        <v>28</v>
      </c>
      <c r="B191" s="4" t="s">
        <v>22</v>
      </c>
      <c r="C191" s="4" t="s">
        <v>23</v>
      </c>
      <c r="D191" s="4" t="s">
        <v>24</v>
      </c>
      <c r="E191" s="4" t="s">
        <v>30</v>
      </c>
      <c r="F191" s="4" t="s">
        <v>25</v>
      </c>
      <c r="G191" s="4" t="s">
        <v>25</v>
      </c>
      <c r="H191" s="4" t="s">
        <v>25</v>
      </c>
      <c r="I191" s="5">
        <v>44378</v>
      </c>
      <c r="J191" s="6">
        <v>0</v>
      </c>
      <c r="K191" s="6">
        <v>0</v>
      </c>
      <c r="L191" s="6">
        <v>4.2999999999999997E-2</v>
      </c>
      <c r="M191" s="6">
        <v>-8.6E-3</v>
      </c>
      <c r="N191" s="6">
        <v>4.2999999999999997E-2</v>
      </c>
      <c r="O191" s="6">
        <v>-8.6E-3</v>
      </c>
      <c r="P191" s="6">
        <v>0</v>
      </c>
      <c r="Q191" s="4" t="s">
        <v>26</v>
      </c>
      <c r="R191" s="4">
        <v>0</v>
      </c>
      <c r="S191" s="4">
        <v>0</v>
      </c>
      <c r="T191" s="4">
        <v>55</v>
      </c>
      <c r="U191" s="4">
        <v>50</v>
      </c>
      <c r="V191" s="6">
        <f>IF(ISERROR(VLOOKUP($S$191,'TAR FIN'!$A$1:$O$88,15,0)),0,VLOOKUP($S$191,'TAR FIN'!$A$1:$O$88,15,0))</f>
        <v>0</v>
      </c>
      <c r="W191" s="6">
        <f>IF(ISERROR(VLOOKUP($T$191,'TAR FIN'!$A$1:$O$88,15,0)),0,VLOOKUP($T$191,'TAR FIN'!$A$1:$O$88,15,0))</f>
        <v>213.82</v>
      </c>
      <c r="X191" s="6">
        <f>IF(ISERROR(VLOOKUP($U$191,'TAR FIN'!$A$1:$O$88,15,0)),0,VLOOKUP($U$191,'TAR FIN'!$A$1:$O$88,15,0))</f>
        <v>151.33000000000001</v>
      </c>
      <c r="Y191" s="6"/>
      <c r="Z191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1" s="6">
        <f>('TE BE'!$AB$12+'TE BF'!$AB$12+'TE CVA'!$AB$12)*(1-CUSTOS!$M$35)</f>
        <v>151.15469734012649</v>
      </c>
      <c r="AB191" s="6">
        <f t="shared" si="8"/>
        <v>0</v>
      </c>
      <c r="AC191" s="6">
        <f>(L191-M191)*(W191+X191)+($W$232+$X$232-$W$191-$X$191)*(L191)</f>
        <v>29.309659999999997</v>
      </c>
      <c r="AD191" s="6">
        <f t="shared" si="10"/>
        <v>0</v>
      </c>
      <c r="AE191" s="6">
        <f ca="1">(L191-M191)*(Z191+AA191)+($Z$232+$AA$232-$Z$191-$AA$191)*(L191)</f>
        <v>30.745049868146335</v>
      </c>
      <c r="AF191" s="4" t="s">
        <v>564</v>
      </c>
    </row>
    <row r="192" spans="1:32" ht="11.25" customHeight="1" x14ac:dyDescent="0.25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30</v>
      </c>
      <c r="F192" s="4" t="s">
        <v>25</v>
      </c>
      <c r="G192" s="4" t="s">
        <v>25</v>
      </c>
      <c r="H192" s="4" t="s">
        <v>25</v>
      </c>
      <c r="I192" s="5">
        <v>44409</v>
      </c>
      <c r="J192" s="6">
        <v>0</v>
      </c>
      <c r="K192" s="6">
        <v>0</v>
      </c>
      <c r="L192" s="6">
        <v>14.515000000000001</v>
      </c>
      <c r="M192" s="6">
        <v>14.515000000000001</v>
      </c>
      <c r="N192" s="6">
        <v>14.515000000000001</v>
      </c>
      <c r="O192" s="6">
        <v>14.515000000000001</v>
      </c>
      <c r="P192" s="6">
        <v>113</v>
      </c>
      <c r="Q192" s="4" t="s">
        <v>26</v>
      </c>
      <c r="R192" s="4">
        <v>0</v>
      </c>
      <c r="S192" s="4">
        <v>0</v>
      </c>
      <c r="T192" s="4">
        <v>55</v>
      </c>
      <c r="U192" s="4">
        <v>50</v>
      </c>
      <c r="V192" s="6">
        <f>IF(ISERROR(VLOOKUP($S$192,'TAR FIN'!$A$1:$O$88,15,0)),0,VLOOKUP($S$192,'TAR FIN'!$A$1:$O$88,15,0))</f>
        <v>0</v>
      </c>
      <c r="W192" s="6">
        <f>IF(ISERROR(VLOOKUP($T$192,'TAR FIN'!$A$1:$O$88,15,0)),0,VLOOKUP($T$192,'TAR FIN'!$A$1:$O$88,15,0))</f>
        <v>213.82</v>
      </c>
      <c r="X192" s="6">
        <f>IF(ISERROR(VLOOKUP($U$192,'TAR FIN'!$A$1:$O$88,15,0)),0,VLOOKUP($U$192,'TAR FIN'!$A$1:$O$88,15,0))</f>
        <v>151.33000000000001</v>
      </c>
      <c r="Y192" s="6"/>
      <c r="Z192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2" s="6">
        <f>('TE BE'!$AB$12+'TE BF'!$AB$12+'TE CVA'!$AB$12)*(1-CUSTOS!$M$35)</f>
        <v>151.15469734012649</v>
      </c>
      <c r="AB192" s="6">
        <f t="shared" si="8"/>
        <v>0</v>
      </c>
      <c r="AC192" s="6">
        <f>(L192-M192)*(W192+X192)+($W$232+$X$232-$W$192-$X$192)*(L192)</f>
        <v>3533.5316000000007</v>
      </c>
      <c r="AD192" s="6">
        <f t="shared" si="10"/>
        <v>0</v>
      </c>
      <c r="AE192" s="6">
        <f ca="1">(L192-M192)*(Z192+AA192)+($Z$232+$AA$232-$Z$192-$AA$192)*(L192)</f>
        <v>3706.5149404995354</v>
      </c>
      <c r="AF192" s="4" t="s">
        <v>564</v>
      </c>
    </row>
    <row r="193" spans="1:32" ht="11.25" customHeight="1" x14ac:dyDescent="0.25">
      <c r="A193" s="4" t="s">
        <v>21</v>
      </c>
      <c r="B193" s="4" t="s">
        <v>22</v>
      </c>
      <c r="C193" s="4" t="s">
        <v>23</v>
      </c>
      <c r="D193" s="4" t="s">
        <v>24</v>
      </c>
      <c r="E193" s="4" t="s">
        <v>30</v>
      </c>
      <c r="F193" s="4" t="s">
        <v>25</v>
      </c>
      <c r="G193" s="4" t="s">
        <v>25</v>
      </c>
      <c r="H193" s="4" t="s">
        <v>25</v>
      </c>
      <c r="I193" s="5">
        <v>44440</v>
      </c>
      <c r="J193" s="6">
        <v>0</v>
      </c>
      <c r="K193" s="6">
        <v>0</v>
      </c>
      <c r="L193" s="6">
        <v>15.045</v>
      </c>
      <c r="M193" s="6">
        <v>15.045</v>
      </c>
      <c r="N193" s="6">
        <v>15.045</v>
      </c>
      <c r="O193" s="6">
        <v>15.045</v>
      </c>
      <c r="P193" s="6">
        <v>102</v>
      </c>
      <c r="Q193" s="4" t="s">
        <v>26</v>
      </c>
      <c r="R193" s="4">
        <v>0</v>
      </c>
      <c r="S193" s="4">
        <v>0</v>
      </c>
      <c r="T193" s="4">
        <v>55</v>
      </c>
      <c r="U193" s="4">
        <v>50</v>
      </c>
      <c r="V193" s="6">
        <f>IF(ISERROR(VLOOKUP($S$193,'TAR FIN'!$A$1:$O$88,15,0)),0,VLOOKUP($S$193,'TAR FIN'!$A$1:$O$88,15,0))</f>
        <v>0</v>
      </c>
      <c r="W193" s="6">
        <f>IF(ISERROR(VLOOKUP($T$193,'TAR FIN'!$A$1:$O$88,15,0)),0,VLOOKUP($T$193,'TAR FIN'!$A$1:$O$88,15,0))</f>
        <v>213.82</v>
      </c>
      <c r="X193" s="6">
        <f>IF(ISERROR(VLOOKUP($U$193,'TAR FIN'!$A$1:$O$88,15,0)),0,VLOOKUP($U$193,'TAR FIN'!$A$1:$O$88,15,0))</f>
        <v>151.33000000000001</v>
      </c>
      <c r="Y193" s="6"/>
      <c r="Z193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3" s="6">
        <f>('TE BE'!$AB$12+'TE BF'!$AB$12+'TE CVA'!$AB$12)*(1-CUSTOS!$M$35)</f>
        <v>151.15469734012649</v>
      </c>
      <c r="AB193" s="6">
        <f t="shared" si="8"/>
        <v>0</v>
      </c>
      <c r="AC193" s="6">
        <f>(L193-M193)*(W193+X193)+($W$232+$X$232-$W$193-$X$193)*(L193)</f>
        <v>3662.5548000000003</v>
      </c>
      <c r="AD193" s="6">
        <f t="shared" si="10"/>
        <v>0</v>
      </c>
      <c r="AE193" s="6">
        <f ca="1">(L193-M193)*(Z193+AA193)+($Z$232+$AA$232-$Z$193-$AA$193)*(L193)</f>
        <v>3841.85444573307</v>
      </c>
      <c r="AF193" s="4" t="s">
        <v>564</v>
      </c>
    </row>
    <row r="194" spans="1:32" ht="11.25" customHeight="1" x14ac:dyDescent="0.25">
      <c r="A194" s="4" t="s">
        <v>28</v>
      </c>
      <c r="B194" s="4" t="s">
        <v>22</v>
      </c>
      <c r="C194" s="4" t="s">
        <v>23</v>
      </c>
      <c r="D194" s="4" t="s">
        <v>24</v>
      </c>
      <c r="E194" s="4" t="s">
        <v>30</v>
      </c>
      <c r="F194" s="4" t="s">
        <v>25</v>
      </c>
      <c r="G194" s="4" t="s">
        <v>25</v>
      </c>
      <c r="H194" s="4" t="s">
        <v>25</v>
      </c>
      <c r="I194" s="5">
        <v>44440</v>
      </c>
      <c r="J194" s="6">
        <v>0</v>
      </c>
      <c r="K194" s="6">
        <v>0</v>
      </c>
      <c r="L194" s="6">
        <v>1.0999999999999999E-2</v>
      </c>
      <c r="M194" s="6">
        <v>-6.6E-3</v>
      </c>
      <c r="N194" s="6">
        <v>1.0999999999999999E-2</v>
      </c>
      <c r="O194" s="6">
        <v>-6.6E-3</v>
      </c>
      <c r="P194" s="6">
        <v>0</v>
      </c>
      <c r="Q194" s="4" t="s">
        <v>26</v>
      </c>
      <c r="R194" s="4">
        <v>0</v>
      </c>
      <c r="S194" s="4">
        <v>0</v>
      </c>
      <c r="T194" s="4">
        <v>55</v>
      </c>
      <c r="U194" s="4">
        <v>50</v>
      </c>
      <c r="V194" s="6">
        <f>IF(ISERROR(VLOOKUP($S$194,'TAR FIN'!$A$1:$O$88,15,0)),0,VLOOKUP($S$194,'TAR FIN'!$A$1:$O$88,15,0))</f>
        <v>0</v>
      </c>
      <c r="W194" s="6">
        <f>IF(ISERROR(VLOOKUP($T$194,'TAR FIN'!$A$1:$O$88,15,0)),0,VLOOKUP($T$194,'TAR FIN'!$A$1:$O$88,15,0))</f>
        <v>213.82</v>
      </c>
      <c r="X194" s="6">
        <f>IF(ISERROR(VLOOKUP($U$194,'TAR FIN'!$A$1:$O$88,15,0)),0,VLOOKUP($U$194,'TAR FIN'!$A$1:$O$88,15,0))</f>
        <v>151.33000000000001</v>
      </c>
      <c r="Y194" s="6"/>
      <c r="Z194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4" s="6">
        <f>('TE BE'!$AB$12+'TE BF'!$AB$12+'TE CVA'!$AB$12)*(1-CUSTOS!$M$35)</f>
        <v>151.15469734012649</v>
      </c>
      <c r="AB194" s="6">
        <f t="shared" ref="AB194:AB257" si="12">(J194-K194)*V194</f>
        <v>0</v>
      </c>
      <c r="AC194" s="6">
        <f>(L194-M194)*(W194+X194)+($W$232+$X$232-$W$194-$X$194)*(L194)</f>
        <v>9.1044799999999988</v>
      </c>
      <c r="AD194" s="6">
        <f t="shared" ref="AD194:AD257" si="13">(J194-K194)*Y194</f>
        <v>0</v>
      </c>
      <c r="AE194" s="6">
        <f ca="1">(L194-M194)*(Z194+AA194)+($Z$232+$AA$232-$Z$194-$AA$194)*(L194)</f>
        <v>9.5503726334607393</v>
      </c>
      <c r="AF194" s="4" t="s">
        <v>564</v>
      </c>
    </row>
    <row r="195" spans="1:32" ht="11.25" customHeight="1" x14ac:dyDescent="0.25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30</v>
      </c>
      <c r="F195" s="4" t="s">
        <v>25</v>
      </c>
      <c r="G195" s="4" t="s">
        <v>25</v>
      </c>
      <c r="H195" s="4" t="s">
        <v>25</v>
      </c>
      <c r="I195" s="5">
        <v>44470</v>
      </c>
      <c r="J195" s="6">
        <v>0</v>
      </c>
      <c r="K195" s="6">
        <v>0</v>
      </c>
      <c r="L195" s="6">
        <v>15.439</v>
      </c>
      <c r="M195" s="6">
        <v>15.439</v>
      </c>
      <c r="N195" s="6">
        <v>15.439</v>
      </c>
      <c r="O195" s="6">
        <v>15.439</v>
      </c>
      <c r="P195" s="6">
        <v>108</v>
      </c>
      <c r="Q195" s="4" t="s">
        <v>26</v>
      </c>
      <c r="R195" s="4">
        <v>0</v>
      </c>
      <c r="S195" s="4">
        <v>0</v>
      </c>
      <c r="T195" s="4">
        <v>55</v>
      </c>
      <c r="U195" s="4">
        <v>50</v>
      </c>
      <c r="V195" s="6">
        <f>IF(ISERROR(VLOOKUP($S$195,'TAR FIN'!$A$1:$O$88,15,0)),0,VLOOKUP($S$195,'TAR FIN'!$A$1:$O$88,15,0))</f>
        <v>0</v>
      </c>
      <c r="W195" s="6">
        <f>IF(ISERROR(VLOOKUP($T$195,'TAR FIN'!$A$1:$O$88,15,0)),0,VLOOKUP($T$195,'TAR FIN'!$A$1:$O$88,15,0))</f>
        <v>213.82</v>
      </c>
      <c r="X195" s="6">
        <f>IF(ISERROR(VLOOKUP($U$195,'TAR FIN'!$A$1:$O$88,15,0)),0,VLOOKUP($U$195,'TAR FIN'!$A$1:$O$88,15,0))</f>
        <v>151.33000000000001</v>
      </c>
      <c r="Y195" s="6"/>
      <c r="Z195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5" s="6">
        <f>('TE BE'!$AB$12+'TE BF'!$AB$12+'TE CVA'!$AB$12)*(1-CUSTOS!$M$35)</f>
        <v>151.15469734012649</v>
      </c>
      <c r="AB195" s="6">
        <f t="shared" si="12"/>
        <v>0</v>
      </c>
      <c r="AC195" s="6">
        <f>(L195-M195)*(W195+X195)+($W$232+$X$232-$W$195-$X$195)*(L195)</f>
        <v>3758.4701600000003</v>
      </c>
      <c r="AD195" s="6">
        <f t="shared" si="13"/>
        <v>0</v>
      </c>
      <c r="AE195" s="6">
        <f ca="1">(L195-M195)*(Z195+AA195)+($Z$232+$AA$232-$Z$195-$AA$195)*(L195)</f>
        <v>3942.4653232085657</v>
      </c>
      <c r="AF195" s="4" t="s">
        <v>564</v>
      </c>
    </row>
    <row r="196" spans="1:32" ht="11.25" customHeight="1" x14ac:dyDescent="0.25">
      <c r="A196" s="4" t="s">
        <v>21</v>
      </c>
      <c r="B196" s="4" t="s">
        <v>22</v>
      </c>
      <c r="C196" s="4" t="s">
        <v>23</v>
      </c>
      <c r="D196" s="4" t="s">
        <v>24</v>
      </c>
      <c r="E196" s="4" t="s">
        <v>30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0</v>
      </c>
      <c r="K196" s="6">
        <v>0</v>
      </c>
      <c r="L196" s="6">
        <v>16.474</v>
      </c>
      <c r="M196" s="6">
        <v>16.474</v>
      </c>
      <c r="N196" s="6">
        <v>16.474</v>
      </c>
      <c r="O196" s="6">
        <v>16.474</v>
      </c>
      <c r="P196" s="6">
        <v>97</v>
      </c>
      <c r="Q196" s="4" t="s">
        <v>26</v>
      </c>
      <c r="R196" s="4">
        <v>0</v>
      </c>
      <c r="S196" s="4">
        <v>0</v>
      </c>
      <c r="T196" s="4">
        <v>55</v>
      </c>
      <c r="U196" s="4">
        <v>50</v>
      </c>
      <c r="V196" s="6">
        <f>IF(ISERROR(VLOOKUP($S$196,'TAR FIN'!$A$1:$O$88,15,0)),0,VLOOKUP($S$196,'TAR FIN'!$A$1:$O$88,15,0))</f>
        <v>0</v>
      </c>
      <c r="W196" s="6">
        <f>IF(ISERROR(VLOOKUP($T$196,'TAR FIN'!$A$1:$O$88,15,0)),0,VLOOKUP($T$196,'TAR FIN'!$A$1:$O$88,15,0))</f>
        <v>213.82</v>
      </c>
      <c r="X196" s="6">
        <f>IF(ISERROR(VLOOKUP($U$196,'TAR FIN'!$A$1:$O$88,15,0)),0,VLOOKUP($U$196,'TAR FIN'!$A$1:$O$88,15,0))</f>
        <v>151.33000000000001</v>
      </c>
      <c r="Y196" s="6"/>
      <c r="Z196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6" s="6">
        <f>('TE BE'!$AB$12+'TE BF'!$AB$12+'TE CVA'!$AB$12)*(1-CUSTOS!$M$35)</f>
        <v>151.15469734012649</v>
      </c>
      <c r="AB196" s="6">
        <f t="shared" si="12"/>
        <v>0</v>
      </c>
      <c r="AC196" s="6">
        <f>(L196-M196)*(W196+X196)+($W$232+$X$232-$W$196-$X$196)*(L196)</f>
        <v>4010.4305600000007</v>
      </c>
      <c r="AD196" s="6">
        <f t="shared" si="13"/>
        <v>0</v>
      </c>
      <c r="AE196" s="6">
        <f ca="1">(L196-M196)*(Z196+AA196)+($Z$232+$AA$232-$Z$196-$AA$196)*(L196)</f>
        <v>4206.7603947495245</v>
      </c>
      <c r="AF196" s="4" t="s">
        <v>564</v>
      </c>
    </row>
    <row r="197" spans="1:32" ht="11.25" customHeight="1" x14ac:dyDescent="0.25">
      <c r="A197" s="4" t="s">
        <v>28</v>
      </c>
      <c r="B197" s="4" t="s">
        <v>22</v>
      </c>
      <c r="C197" s="4" t="s">
        <v>23</v>
      </c>
      <c r="D197" s="4" t="s">
        <v>24</v>
      </c>
      <c r="E197" s="4" t="s">
        <v>30</v>
      </c>
      <c r="F197" s="4" t="s">
        <v>25</v>
      </c>
      <c r="G197" s="4" t="s">
        <v>25</v>
      </c>
      <c r="H197" s="4" t="s">
        <v>25</v>
      </c>
      <c r="I197" s="5">
        <v>44501</v>
      </c>
      <c r="J197" s="6">
        <v>0</v>
      </c>
      <c r="K197" s="6">
        <v>0</v>
      </c>
      <c r="L197" s="6">
        <v>1.2E-2</v>
      </c>
      <c r="M197" s="6">
        <v>-7.1999999999999998E-3</v>
      </c>
      <c r="N197" s="6">
        <v>1.2E-2</v>
      </c>
      <c r="O197" s="6">
        <v>-7.1999999999999998E-3</v>
      </c>
      <c r="P197" s="6">
        <v>0</v>
      </c>
      <c r="Q197" s="4" t="s">
        <v>26</v>
      </c>
      <c r="R197" s="4">
        <v>0</v>
      </c>
      <c r="S197" s="4">
        <v>0</v>
      </c>
      <c r="T197" s="4">
        <v>55</v>
      </c>
      <c r="U197" s="4">
        <v>50</v>
      </c>
      <c r="V197" s="6">
        <f>IF(ISERROR(VLOOKUP($S$197,'TAR FIN'!$A$1:$O$88,15,0)),0,VLOOKUP($S$197,'TAR FIN'!$A$1:$O$88,15,0))</f>
        <v>0</v>
      </c>
      <c r="W197" s="6">
        <f>IF(ISERROR(VLOOKUP($T$197,'TAR FIN'!$A$1:$O$88,15,0)),0,VLOOKUP($T$197,'TAR FIN'!$A$1:$O$88,15,0))</f>
        <v>213.82</v>
      </c>
      <c r="X197" s="6">
        <f>IF(ISERROR(VLOOKUP($U$197,'TAR FIN'!$A$1:$O$88,15,0)),0,VLOOKUP($U$197,'TAR FIN'!$A$1:$O$88,15,0))</f>
        <v>151.33000000000001</v>
      </c>
      <c r="Y197" s="6"/>
      <c r="Z197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7" s="6">
        <f>('TE BE'!$AB$12+'TE BF'!$AB$12+'TE CVA'!$AB$12)*(1-CUSTOS!$M$35)</f>
        <v>151.15469734012649</v>
      </c>
      <c r="AB197" s="6">
        <f t="shared" si="12"/>
        <v>0</v>
      </c>
      <c r="AC197" s="6">
        <f>(L197-M197)*(W197+X197)+($W$232+$X$232-$W$197-$X$197)*(L197)</f>
        <v>9.9321599999999997</v>
      </c>
      <c r="AD197" s="6">
        <f t="shared" si="13"/>
        <v>0</v>
      </c>
      <c r="AE197" s="6">
        <f ca="1">(L197-M197)*(Z197+AA197)+($Z$232+$AA$232-$Z$197-$AA$197)*(L197)</f>
        <v>10.418588327411719</v>
      </c>
      <c r="AF197" s="4" t="s">
        <v>564</v>
      </c>
    </row>
    <row r="198" spans="1:32" ht="11.25" customHeight="1" x14ac:dyDescent="0.25">
      <c r="A198" s="4" t="s">
        <v>21</v>
      </c>
      <c r="B198" s="4" t="s">
        <v>22</v>
      </c>
      <c r="C198" s="4" t="s">
        <v>23</v>
      </c>
      <c r="D198" s="4" t="s">
        <v>24</v>
      </c>
      <c r="E198" s="4" t="s">
        <v>30</v>
      </c>
      <c r="F198" s="4" t="s">
        <v>25</v>
      </c>
      <c r="G198" s="4" t="s">
        <v>25</v>
      </c>
      <c r="H198" s="4" t="s">
        <v>25</v>
      </c>
      <c r="I198" s="5">
        <v>44531</v>
      </c>
      <c r="J198" s="6">
        <v>0</v>
      </c>
      <c r="K198" s="6">
        <v>0</v>
      </c>
      <c r="L198" s="6">
        <v>17.369</v>
      </c>
      <c r="M198" s="6">
        <v>17.369</v>
      </c>
      <c r="N198" s="6">
        <v>17.369</v>
      </c>
      <c r="O198" s="6">
        <v>17.369</v>
      </c>
      <c r="P198" s="6">
        <v>100</v>
      </c>
      <c r="Q198" s="4" t="s">
        <v>26</v>
      </c>
      <c r="R198" s="4">
        <v>0</v>
      </c>
      <c r="S198" s="4">
        <v>0</v>
      </c>
      <c r="T198" s="4">
        <v>55</v>
      </c>
      <c r="U198" s="4">
        <v>50</v>
      </c>
      <c r="V198" s="6">
        <f>IF(ISERROR(VLOOKUP($S$198,'TAR FIN'!$A$1:$O$88,15,0)),0,VLOOKUP($S$198,'TAR FIN'!$A$1:$O$88,15,0))</f>
        <v>0</v>
      </c>
      <c r="W198" s="6">
        <f>IF(ISERROR(VLOOKUP($T$198,'TAR FIN'!$A$1:$O$88,15,0)),0,VLOOKUP($T$198,'TAR FIN'!$A$1:$O$88,15,0))</f>
        <v>213.82</v>
      </c>
      <c r="X198" s="6">
        <f>IF(ISERROR(VLOOKUP($U$198,'TAR FIN'!$A$1:$O$88,15,0)),0,VLOOKUP($U$198,'TAR FIN'!$A$1:$O$88,15,0))</f>
        <v>151.33000000000001</v>
      </c>
      <c r="Y198" s="6"/>
      <c r="Z198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8" s="6">
        <f>('TE BE'!$AB$12+'TE BF'!$AB$12+'TE CVA'!$AB$12)*(1-CUSTOS!$M$35)</f>
        <v>151.15469734012649</v>
      </c>
      <c r="AB198" s="6">
        <f t="shared" si="12"/>
        <v>0</v>
      </c>
      <c r="AC198" s="6">
        <f>(L198-M198)*(W198+X198)+($W$232+$X$232-$W$198-$X$198)*(L198)</f>
        <v>4228.3093600000002</v>
      </c>
      <c r="AD198" s="6">
        <f t="shared" si="13"/>
        <v>0</v>
      </c>
      <c r="AE198" s="6">
        <f ca="1">(L198-M198)*(Z198+AA198)+($Z$232+$AA$232-$Z$198-$AA$198)*(L198)</f>
        <v>4435.3054083042671</v>
      </c>
      <c r="AF198" s="4" t="s">
        <v>564</v>
      </c>
    </row>
    <row r="199" spans="1:32" ht="11.25" customHeight="1" x14ac:dyDescent="0.25">
      <c r="A199" s="4" t="s">
        <v>28</v>
      </c>
      <c r="B199" s="4" t="s">
        <v>22</v>
      </c>
      <c r="C199" s="4" t="s">
        <v>23</v>
      </c>
      <c r="D199" s="4" t="s">
        <v>24</v>
      </c>
      <c r="E199" s="4" t="s">
        <v>30</v>
      </c>
      <c r="F199" s="4" t="s">
        <v>25</v>
      </c>
      <c r="G199" s="4" t="s">
        <v>25</v>
      </c>
      <c r="H199" s="4" t="s">
        <v>25</v>
      </c>
      <c r="I199" s="5">
        <v>44531</v>
      </c>
      <c r="J199" s="6">
        <v>0</v>
      </c>
      <c r="K199" s="6">
        <v>0</v>
      </c>
      <c r="L199" s="6">
        <v>0.14000000000000001</v>
      </c>
      <c r="M199" s="6">
        <v>-2.8000000000000001E-2</v>
      </c>
      <c r="N199" s="6">
        <v>0.14000000000000001</v>
      </c>
      <c r="O199" s="6">
        <v>-2.8000000000000001E-2</v>
      </c>
      <c r="P199" s="6">
        <v>0</v>
      </c>
      <c r="Q199" s="4" t="s">
        <v>26</v>
      </c>
      <c r="R199" s="4">
        <v>0</v>
      </c>
      <c r="S199" s="4">
        <v>0</v>
      </c>
      <c r="T199" s="4">
        <v>55</v>
      </c>
      <c r="U199" s="4">
        <v>50</v>
      </c>
      <c r="V199" s="6">
        <f>IF(ISERROR(VLOOKUP($S$199,'TAR FIN'!$A$1:$O$88,15,0)),0,VLOOKUP($S$199,'TAR FIN'!$A$1:$O$88,15,0))</f>
        <v>0</v>
      </c>
      <c r="W199" s="6">
        <f>IF(ISERROR(VLOOKUP($T$199,'TAR FIN'!$A$1:$O$88,15,0)),0,VLOOKUP($T$199,'TAR FIN'!$A$1:$O$88,15,0))</f>
        <v>213.82</v>
      </c>
      <c r="X199" s="6">
        <f>IF(ISERROR(VLOOKUP($U$199,'TAR FIN'!$A$1:$O$88,15,0)),0,VLOOKUP($U$199,'TAR FIN'!$A$1:$O$88,15,0))</f>
        <v>151.33000000000001</v>
      </c>
      <c r="Y199" s="6"/>
      <c r="Z199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199" s="6">
        <f>('TE BE'!$AB$12+'TE BF'!$AB$12+'TE CVA'!$AB$12)*(1-CUSTOS!$M$35)</f>
        <v>151.15469734012649</v>
      </c>
      <c r="AB199" s="6">
        <f t="shared" si="12"/>
        <v>0</v>
      </c>
      <c r="AC199" s="6">
        <f>(L199-M199)*(W199+X199)+($W$232+$X$232-$W$199-$X$199)*(L199)</f>
        <v>95.426800000000014</v>
      </c>
      <c r="AD199" s="6">
        <f t="shared" si="13"/>
        <v>0</v>
      </c>
      <c r="AE199" s="6">
        <f ca="1">(L199-M199)*(Z199+AA199)+($Z$232+$AA$232-$Z$199-$AA$199)*(L199)</f>
        <v>100.1001623614067</v>
      </c>
      <c r="AF199" s="4" t="s">
        <v>564</v>
      </c>
    </row>
    <row r="200" spans="1:32" ht="11.25" customHeight="1" x14ac:dyDescent="0.25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30</v>
      </c>
      <c r="F200" s="4" t="s">
        <v>25</v>
      </c>
      <c r="G200" s="4" t="s">
        <v>25</v>
      </c>
      <c r="H200" s="4" t="s">
        <v>25</v>
      </c>
      <c r="I200" s="5">
        <v>44562</v>
      </c>
      <c r="J200" s="6">
        <v>0</v>
      </c>
      <c r="K200" s="6">
        <v>0</v>
      </c>
      <c r="L200" s="6">
        <v>18.405999999999999</v>
      </c>
      <c r="M200" s="6">
        <v>18.405999999999999</v>
      </c>
      <c r="N200" s="6">
        <v>18.405999999999999</v>
      </c>
      <c r="O200" s="6">
        <v>18.405999999999999</v>
      </c>
      <c r="P200" s="6">
        <v>75</v>
      </c>
      <c r="Q200" s="4" t="s">
        <v>26</v>
      </c>
      <c r="R200" s="4">
        <v>0</v>
      </c>
      <c r="S200" s="4">
        <v>0</v>
      </c>
      <c r="T200" s="4">
        <v>55</v>
      </c>
      <c r="U200" s="4">
        <v>50</v>
      </c>
      <c r="V200" s="6">
        <f>IF(ISERROR(VLOOKUP($S$200,'TAR FIN'!$A$1:$O$88,15,0)),0,VLOOKUP($S$200,'TAR FIN'!$A$1:$O$88,15,0))</f>
        <v>0</v>
      </c>
      <c r="W200" s="6">
        <f>IF(ISERROR(VLOOKUP($T$200,'TAR FIN'!$A$1:$O$88,15,0)),0,VLOOKUP($T$200,'TAR FIN'!$A$1:$O$88,15,0))</f>
        <v>213.82</v>
      </c>
      <c r="X200" s="6">
        <f>IF(ISERROR(VLOOKUP($U$200,'TAR FIN'!$A$1:$O$88,15,0)),0,VLOOKUP($U$200,'TAR FIN'!$A$1:$O$88,15,0))</f>
        <v>151.33000000000001</v>
      </c>
      <c r="Y200" s="6"/>
      <c r="Z200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0" s="6">
        <f>('TE BE'!$AB$12+'TE BF'!$AB$12+'TE CVA'!$AB$12)*(1-CUSTOS!$M$35)</f>
        <v>151.15469734012649</v>
      </c>
      <c r="AB200" s="6">
        <f t="shared" si="12"/>
        <v>0</v>
      </c>
      <c r="AC200" s="6">
        <f>(L200-M200)*(W200+X200)+($W$232+$X$232-$W$200-$X$200)*(L200)</f>
        <v>4480.7566400000005</v>
      </c>
      <c r="AD200" s="6">
        <f t="shared" si="13"/>
        <v>0</v>
      </c>
      <c r="AE200" s="6">
        <f ca="1">(L200-M200)*(Z200+AA200)+($Z$232+$AA$232-$Z$200-$AA$200)*(L200)</f>
        <v>4700.1111949593142</v>
      </c>
      <c r="AF200" s="4" t="s">
        <v>564</v>
      </c>
    </row>
    <row r="201" spans="1:32" ht="11.25" customHeight="1" x14ac:dyDescent="0.25">
      <c r="A201" s="4" t="s">
        <v>28</v>
      </c>
      <c r="B201" s="4" t="s">
        <v>22</v>
      </c>
      <c r="C201" s="4" t="s">
        <v>23</v>
      </c>
      <c r="D201" s="4" t="s">
        <v>24</v>
      </c>
      <c r="E201" s="4" t="s">
        <v>30</v>
      </c>
      <c r="F201" s="4" t="s">
        <v>25</v>
      </c>
      <c r="G201" s="4" t="s">
        <v>25</v>
      </c>
      <c r="H201" s="4" t="s">
        <v>25</v>
      </c>
      <c r="I201" s="5">
        <v>44562</v>
      </c>
      <c r="J201" s="6">
        <v>0</v>
      </c>
      <c r="K201" s="6">
        <v>0</v>
      </c>
      <c r="L201" s="6">
        <v>0.14000000000000001</v>
      </c>
      <c r="M201" s="6">
        <v>-2.8000000000000001E-2</v>
      </c>
      <c r="N201" s="6">
        <v>0.14000000000000001</v>
      </c>
      <c r="O201" s="6">
        <v>-2.8000000000000001E-2</v>
      </c>
      <c r="P201" s="6">
        <v>0</v>
      </c>
      <c r="Q201" s="4" t="s">
        <v>26</v>
      </c>
      <c r="R201" s="4">
        <v>0</v>
      </c>
      <c r="S201" s="4">
        <v>0</v>
      </c>
      <c r="T201" s="4">
        <v>55</v>
      </c>
      <c r="U201" s="4">
        <v>50</v>
      </c>
      <c r="V201" s="6">
        <f>IF(ISERROR(VLOOKUP($S$201,'TAR FIN'!$A$1:$O$88,15,0)),0,VLOOKUP($S$201,'TAR FIN'!$A$1:$O$88,15,0))</f>
        <v>0</v>
      </c>
      <c r="W201" s="6">
        <f>IF(ISERROR(VLOOKUP($T$201,'TAR FIN'!$A$1:$O$88,15,0)),0,VLOOKUP($T$201,'TAR FIN'!$A$1:$O$88,15,0))</f>
        <v>213.82</v>
      </c>
      <c r="X201" s="6">
        <f>IF(ISERROR(VLOOKUP($U$201,'TAR FIN'!$A$1:$O$88,15,0)),0,VLOOKUP($U$201,'TAR FIN'!$A$1:$O$88,15,0))</f>
        <v>151.33000000000001</v>
      </c>
      <c r="Y201" s="6"/>
      <c r="Z201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1" s="6">
        <f>('TE BE'!$AB$12+'TE BF'!$AB$12+'TE CVA'!$AB$12)*(1-CUSTOS!$M$35)</f>
        <v>151.15469734012649</v>
      </c>
      <c r="AB201" s="6">
        <f t="shared" si="12"/>
        <v>0</v>
      </c>
      <c r="AC201" s="6">
        <f>(L201-M201)*(W201+X201)+($W$232+$X$232-$W$201-$X$201)*(L201)</f>
        <v>95.426800000000014</v>
      </c>
      <c r="AD201" s="6">
        <f t="shared" si="13"/>
        <v>0</v>
      </c>
      <c r="AE201" s="6">
        <f ca="1">(L201-M201)*(Z201+AA201)+($Z$232+$AA$232-$Z$201-$AA$201)*(L201)</f>
        <v>100.1001623614067</v>
      </c>
      <c r="AF201" s="4" t="s">
        <v>564</v>
      </c>
    </row>
    <row r="202" spans="1:32" ht="11.25" customHeight="1" x14ac:dyDescent="0.25">
      <c r="A202" s="4" t="s">
        <v>21</v>
      </c>
      <c r="B202" s="4" t="s">
        <v>22</v>
      </c>
      <c r="C202" s="4" t="s">
        <v>23</v>
      </c>
      <c r="D202" s="4" t="s">
        <v>24</v>
      </c>
      <c r="E202" s="4" t="s">
        <v>30</v>
      </c>
      <c r="F202" s="4" t="s">
        <v>25</v>
      </c>
      <c r="G202" s="4" t="s">
        <v>25</v>
      </c>
      <c r="H202" s="4" t="s">
        <v>25</v>
      </c>
      <c r="I202" s="5">
        <v>44593</v>
      </c>
      <c r="J202" s="6">
        <v>0</v>
      </c>
      <c r="K202" s="6">
        <v>0</v>
      </c>
      <c r="L202" s="6">
        <v>18.997</v>
      </c>
      <c r="M202" s="6">
        <v>18.997</v>
      </c>
      <c r="N202" s="6">
        <v>18.997</v>
      </c>
      <c r="O202" s="6">
        <v>18.997</v>
      </c>
      <c r="P202" s="6">
        <v>70</v>
      </c>
      <c r="Q202" s="4" t="s">
        <v>26</v>
      </c>
      <c r="R202" s="4">
        <v>0</v>
      </c>
      <c r="S202" s="4">
        <v>0</v>
      </c>
      <c r="T202" s="4">
        <v>55</v>
      </c>
      <c r="U202" s="4">
        <v>50</v>
      </c>
      <c r="V202" s="6">
        <f>IF(ISERROR(VLOOKUP($S$202,'TAR FIN'!$A$1:$O$88,15,0)),0,VLOOKUP($S$202,'TAR FIN'!$A$1:$O$88,15,0))</f>
        <v>0</v>
      </c>
      <c r="W202" s="6">
        <f>IF(ISERROR(VLOOKUP($T$202,'TAR FIN'!$A$1:$O$88,15,0)),0,VLOOKUP($T$202,'TAR FIN'!$A$1:$O$88,15,0))</f>
        <v>213.82</v>
      </c>
      <c r="X202" s="6">
        <f>IF(ISERROR(VLOOKUP($U$202,'TAR FIN'!$A$1:$O$88,15,0)),0,VLOOKUP($U$202,'TAR FIN'!$A$1:$O$88,15,0))</f>
        <v>151.33000000000001</v>
      </c>
      <c r="Y202" s="6"/>
      <c r="Z202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2" s="6">
        <f>('TE BE'!$AB$12+'TE BF'!$AB$12+'TE CVA'!$AB$12)*(1-CUSTOS!$M$35)</f>
        <v>151.15469734012649</v>
      </c>
      <c r="AB202" s="6">
        <f t="shared" si="12"/>
        <v>0</v>
      </c>
      <c r="AC202" s="6">
        <f>(L202-M202)*(W202+X202)+($W$232+$X$232-$W$202-$X$202)*(L202)</f>
        <v>4624.6296800000009</v>
      </c>
      <c r="AD202" s="6">
        <f t="shared" si="13"/>
        <v>0</v>
      </c>
      <c r="AE202" s="6">
        <f ca="1">(L202-M202)*(Z202+AA202)+($Z$232+$AA$232-$Z$202-$AA$202)*(L202)</f>
        <v>4851.0275111725578</v>
      </c>
      <c r="AF202" s="4" t="s">
        <v>564</v>
      </c>
    </row>
    <row r="203" spans="1:32" ht="11.25" customHeight="1" x14ac:dyDescent="0.25">
      <c r="A203" s="4" t="s">
        <v>28</v>
      </c>
      <c r="B203" s="4" t="s">
        <v>22</v>
      </c>
      <c r="C203" s="4" t="s">
        <v>23</v>
      </c>
      <c r="D203" s="4" t="s">
        <v>24</v>
      </c>
      <c r="E203" s="4" t="s">
        <v>30</v>
      </c>
      <c r="F203" s="4" t="s">
        <v>25</v>
      </c>
      <c r="G203" s="4" t="s">
        <v>25</v>
      </c>
      <c r="H203" s="4" t="s">
        <v>25</v>
      </c>
      <c r="I203" s="5">
        <v>44593</v>
      </c>
      <c r="J203" s="6">
        <v>0</v>
      </c>
      <c r="K203" s="6">
        <v>0</v>
      </c>
      <c r="L203" s="6">
        <v>0.14000000000000001</v>
      </c>
      <c r="M203" s="6">
        <v>-2.8000000000000001E-2</v>
      </c>
      <c r="N203" s="6">
        <v>0.14000000000000001</v>
      </c>
      <c r="O203" s="6">
        <v>-2.8000000000000001E-2</v>
      </c>
      <c r="P203" s="6">
        <v>0</v>
      </c>
      <c r="Q203" s="4" t="s">
        <v>26</v>
      </c>
      <c r="R203" s="4">
        <v>0</v>
      </c>
      <c r="S203" s="4">
        <v>0</v>
      </c>
      <c r="T203" s="4">
        <v>55</v>
      </c>
      <c r="U203" s="4">
        <v>50</v>
      </c>
      <c r="V203" s="6">
        <f>IF(ISERROR(VLOOKUP($S$203,'TAR FIN'!$A$1:$O$88,15,0)),0,VLOOKUP($S$203,'TAR FIN'!$A$1:$O$88,15,0))</f>
        <v>0</v>
      </c>
      <c r="W203" s="6">
        <f>IF(ISERROR(VLOOKUP($T$203,'TAR FIN'!$A$1:$O$88,15,0)),0,VLOOKUP($T$203,'TAR FIN'!$A$1:$O$88,15,0))</f>
        <v>213.82</v>
      </c>
      <c r="X203" s="6">
        <f>IF(ISERROR(VLOOKUP($U$203,'TAR FIN'!$A$1:$O$88,15,0)),0,VLOOKUP($U$203,'TAR FIN'!$A$1:$O$88,15,0))</f>
        <v>151.33000000000001</v>
      </c>
      <c r="Y203" s="6"/>
      <c r="Z203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3" s="6">
        <f>('TE BE'!$AB$12+'TE BF'!$AB$12+'TE CVA'!$AB$12)*(1-CUSTOS!$M$35)</f>
        <v>151.15469734012649</v>
      </c>
      <c r="AB203" s="6">
        <f t="shared" si="12"/>
        <v>0</v>
      </c>
      <c r="AC203" s="6">
        <f>(L203-M203)*(W203+X203)+($W$232+$X$232-$W$203-$X$203)*(L203)</f>
        <v>95.426800000000014</v>
      </c>
      <c r="AD203" s="6">
        <f t="shared" si="13"/>
        <v>0</v>
      </c>
      <c r="AE203" s="6">
        <f ca="1">(L203-M203)*(Z203+AA203)+($Z$232+$AA$232-$Z$203-$AA$203)*(L203)</f>
        <v>100.1001623614067</v>
      </c>
      <c r="AF203" s="4" t="s">
        <v>564</v>
      </c>
    </row>
    <row r="204" spans="1:32" ht="11.25" customHeight="1" x14ac:dyDescent="0.25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30</v>
      </c>
      <c r="F204" s="4" t="s">
        <v>25</v>
      </c>
      <c r="G204" s="4" t="s">
        <v>25</v>
      </c>
      <c r="H204" s="4" t="s">
        <v>25</v>
      </c>
      <c r="I204" s="5">
        <v>44621</v>
      </c>
      <c r="J204" s="6">
        <v>0</v>
      </c>
      <c r="K204" s="6">
        <v>0</v>
      </c>
      <c r="L204" s="6">
        <v>19.401</v>
      </c>
      <c r="M204" s="6">
        <v>19.401</v>
      </c>
      <c r="N204" s="6">
        <v>19.401</v>
      </c>
      <c r="O204" s="6">
        <v>19.401</v>
      </c>
      <c r="P204" s="6">
        <v>73</v>
      </c>
      <c r="Q204" s="4" t="s">
        <v>26</v>
      </c>
      <c r="R204" s="4">
        <v>0</v>
      </c>
      <c r="S204" s="4">
        <v>0</v>
      </c>
      <c r="T204" s="4">
        <v>55</v>
      </c>
      <c r="U204" s="4">
        <v>50</v>
      </c>
      <c r="V204" s="6">
        <f>IF(ISERROR(VLOOKUP($S$204,'TAR FIN'!$A$1:$O$88,15,0)),0,VLOOKUP($S$204,'TAR FIN'!$A$1:$O$88,15,0))</f>
        <v>0</v>
      </c>
      <c r="W204" s="6">
        <f>IF(ISERROR(VLOOKUP($T$204,'TAR FIN'!$A$1:$O$88,15,0)),0,VLOOKUP($T$204,'TAR FIN'!$A$1:$O$88,15,0))</f>
        <v>213.82</v>
      </c>
      <c r="X204" s="6">
        <f>IF(ISERROR(VLOOKUP($U$204,'TAR FIN'!$A$1:$O$88,15,0)),0,VLOOKUP($U$204,'TAR FIN'!$A$1:$O$88,15,0))</f>
        <v>151.33000000000001</v>
      </c>
      <c r="Y204" s="6"/>
      <c r="Z204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4" s="6">
        <f>('TE BE'!$AB$12+'TE BF'!$AB$12+'TE CVA'!$AB$12)*(1-CUSTOS!$M$35)</f>
        <v>151.15469734012649</v>
      </c>
      <c r="AB204" s="6">
        <f t="shared" si="12"/>
        <v>0</v>
      </c>
      <c r="AC204" s="6">
        <f>(L204-M204)*(W204+X204)+($W$232+$X$232-$W$204-$X$204)*(L204)</f>
        <v>4722.9794400000001</v>
      </c>
      <c r="AD204" s="6">
        <f t="shared" si="13"/>
        <v>0</v>
      </c>
      <c r="AE204" s="6">
        <f ca="1">(L204-M204)*(Z204+AA204)+($Z$232+$AA$232-$Z$204-$AA$204)*(L204)</f>
        <v>4954.1919642184976</v>
      </c>
      <c r="AF204" s="4" t="s">
        <v>564</v>
      </c>
    </row>
    <row r="205" spans="1:32" ht="11.25" customHeight="1" x14ac:dyDescent="0.25">
      <c r="A205" s="4" t="s">
        <v>28</v>
      </c>
      <c r="B205" s="4" t="s">
        <v>22</v>
      </c>
      <c r="C205" s="4" t="s">
        <v>23</v>
      </c>
      <c r="D205" s="4" t="s">
        <v>24</v>
      </c>
      <c r="E205" s="4" t="s">
        <v>30</v>
      </c>
      <c r="F205" s="4" t="s">
        <v>25</v>
      </c>
      <c r="G205" s="4" t="s">
        <v>25</v>
      </c>
      <c r="H205" s="4" t="s">
        <v>25</v>
      </c>
      <c r="I205" s="5">
        <v>44621</v>
      </c>
      <c r="J205" s="6">
        <v>0</v>
      </c>
      <c r="K205" s="6">
        <v>0</v>
      </c>
      <c r="L205" s="6">
        <v>0.14000000000000001</v>
      </c>
      <c r="M205" s="6">
        <v>-8.4000000000000005E-2</v>
      </c>
      <c r="N205" s="6">
        <v>0.14000000000000001</v>
      </c>
      <c r="O205" s="6">
        <v>-8.4000000000000005E-2</v>
      </c>
      <c r="P205" s="6">
        <v>0</v>
      </c>
      <c r="Q205" s="4" t="s">
        <v>26</v>
      </c>
      <c r="R205" s="4">
        <v>0</v>
      </c>
      <c r="S205" s="4">
        <v>0</v>
      </c>
      <c r="T205" s="4">
        <v>55</v>
      </c>
      <c r="U205" s="4">
        <v>50</v>
      </c>
      <c r="V205" s="6">
        <f>IF(ISERROR(VLOOKUP($S$205,'TAR FIN'!$A$1:$O$88,15,0)),0,VLOOKUP($S$205,'TAR FIN'!$A$1:$O$88,15,0))</f>
        <v>0</v>
      </c>
      <c r="W205" s="6">
        <f>IF(ISERROR(VLOOKUP($T$205,'TAR FIN'!$A$1:$O$88,15,0)),0,VLOOKUP($T$205,'TAR FIN'!$A$1:$O$88,15,0))</f>
        <v>213.82</v>
      </c>
      <c r="X205" s="6">
        <f>IF(ISERROR(VLOOKUP($U$205,'TAR FIN'!$A$1:$O$88,15,0)),0,VLOOKUP($U$205,'TAR FIN'!$A$1:$O$88,15,0))</f>
        <v>151.33000000000001</v>
      </c>
      <c r="Y205" s="6"/>
      <c r="Z205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5" s="6">
        <f>('TE BE'!$AB$12+'TE BF'!$AB$12+'TE CVA'!$AB$12)*(1-CUSTOS!$M$35)</f>
        <v>151.15469734012649</v>
      </c>
      <c r="AB205" s="6">
        <f t="shared" si="12"/>
        <v>0</v>
      </c>
      <c r="AC205" s="6">
        <f>(L205-M205)*(W205+X205)+($W$232+$X$232-$W$205-$X$205)*(L205)</f>
        <v>115.87520000000002</v>
      </c>
      <c r="AD205" s="6">
        <f t="shared" si="13"/>
        <v>0</v>
      </c>
      <c r="AE205" s="6">
        <f ca="1">(L205-M205)*(Z205+AA205)+($Z$232+$AA$232-$Z$205-$AA$205)*(L205)</f>
        <v>121.55019715313671</v>
      </c>
      <c r="AF205" s="4" t="s">
        <v>564</v>
      </c>
    </row>
    <row r="206" spans="1:32" ht="11.25" customHeight="1" x14ac:dyDescent="0.25">
      <c r="A206" s="4" t="s">
        <v>21</v>
      </c>
      <c r="B206" s="4" t="s">
        <v>22</v>
      </c>
      <c r="C206" s="4" t="s">
        <v>23</v>
      </c>
      <c r="D206" s="4" t="s">
        <v>24</v>
      </c>
      <c r="E206" s="4" t="s">
        <v>30</v>
      </c>
      <c r="F206" s="4" t="s">
        <v>25</v>
      </c>
      <c r="G206" s="4" t="s">
        <v>25</v>
      </c>
      <c r="H206" s="4" t="s">
        <v>25</v>
      </c>
      <c r="I206" s="5">
        <v>44652</v>
      </c>
      <c r="J206" s="6">
        <v>0</v>
      </c>
      <c r="K206" s="6">
        <v>0</v>
      </c>
      <c r="L206" s="6">
        <v>40.292999999999999</v>
      </c>
      <c r="M206" s="6">
        <v>40.292999999999999</v>
      </c>
      <c r="N206" s="6">
        <v>40.292999999999999</v>
      </c>
      <c r="O206" s="6">
        <v>40.292999999999999</v>
      </c>
      <c r="P206" s="6">
        <v>258</v>
      </c>
      <c r="Q206" s="4" t="s">
        <v>26</v>
      </c>
      <c r="R206" s="4">
        <v>0</v>
      </c>
      <c r="S206" s="4">
        <v>0</v>
      </c>
      <c r="T206" s="4">
        <v>55</v>
      </c>
      <c r="U206" s="4">
        <v>50</v>
      </c>
      <c r="V206" s="6">
        <f>IF(ISERROR(VLOOKUP($S$206,'TAR FIN'!$A$1:$O$88,15,0)),0,VLOOKUP($S$206,'TAR FIN'!$A$1:$O$88,15,0))</f>
        <v>0</v>
      </c>
      <c r="W206" s="6">
        <f>IF(ISERROR(VLOOKUP($T$206,'TAR FIN'!$A$1:$O$88,15,0)),0,VLOOKUP($T$206,'TAR FIN'!$A$1:$O$88,15,0))</f>
        <v>213.82</v>
      </c>
      <c r="X206" s="6">
        <f>IF(ISERROR(VLOOKUP($U$206,'TAR FIN'!$A$1:$O$88,15,0)),0,VLOOKUP($U$206,'TAR FIN'!$A$1:$O$88,15,0))</f>
        <v>151.33000000000001</v>
      </c>
      <c r="Y206" s="6"/>
      <c r="Z206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6" s="6">
        <f>('TE BE'!$AB$12+'TE BF'!$AB$12+'TE CVA'!$AB$12)*(1-CUSTOS!$M$35)</f>
        <v>151.15469734012649</v>
      </c>
      <c r="AB206" s="6">
        <f t="shared" si="12"/>
        <v>0</v>
      </c>
      <c r="AC206" s="6">
        <f>(L206-M206)*(W206+X206)+($W$232+$X$232-$W$206-$X$206)*(L206)</f>
        <v>9808.9279200000001</v>
      </c>
      <c r="AD206" s="6">
        <f t="shared" si="13"/>
        <v>0</v>
      </c>
      <c r="AE206" s="6">
        <f ca="1">(L206-M206)*(Z206+AA206)+($Z$232+$AA$232-$Z$206-$AA$206)*(L206)</f>
        <v>10289.122045990202</v>
      </c>
      <c r="AF206" s="4" t="s">
        <v>564</v>
      </c>
    </row>
    <row r="207" spans="1:32" ht="11.25" customHeight="1" x14ac:dyDescent="0.25">
      <c r="A207" s="4" t="s">
        <v>28</v>
      </c>
      <c r="B207" s="4" t="s">
        <v>22</v>
      </c>
      <c r="C207" s="4" t="s">
        <v>23</v>
      </c>
      <c r="D207" s="4" t="s">
        <v>24</v>
      </c>
      <c r="E207" s="4" t="s">
        <v>30</v>
      </c>
      <c r="F207" s="4" t="s">
        <v>25</v>
      </c>
      <c r="G207" s="4" t="s">
        <v>25</v>
      </c>
      <c r="H207" s="4" t="s">
        <v>25</v>
      </c>
      <c r="I207" s="5">
        <v>44652</v>
      </c>
      <c r="J207" s="6">
        <v>0</v>
      </c>
      <c r="K207" s="6">
        <v>0</v>
      </c>
      <c r="L207" s="6">
        <v>4.2999999999999997E-2</v>
      </c>
      <c r="M207" s="6">
        <v>-0.1462</v>
      </c>
      <c r="N207" s="6">
        <v>4.2999999999999997E-2</v>
      </c>
      <c r="O207" s="6">
        <v>-0.1462</v>
      </c>
      <c r="P207" s="6">
        <v>2</v>
      </c>
      <c r="Q207" s="4" t="s">
        <v>26</v>
      </c>
      <c r="R207" s="4">
        <v>0</v>
      </c>
      <c r="S207" s="4">
        <v>0</v>
      </c>
      <c r="T207" s="4">
        <v>55</v>
      </c>
      <c r="U207" s="4">
        <v>50</v>
      </c>
      <c r="V207" s="6">
        <f>IF(ISERROR(VLOOKUP($S$207,'TAR FIN'!$A$1:$O$88,15,0)),0,VLOOKUP($S$207,'TAR FIN'!$A$1:$O$88,15,0))</f>
        <v>0</v>
      </c>
      <c r="W207" s="6">
        <f>IF(ISERROR(VLOOKUP($T$207,'TAR FIN'!$A$1:$O$88,15,0)),0,VLOOKUP($T$207,'TAR FIN'!$A$1:$O$88,15,0))</f>
        <v>213.82</v>
      </c>
      <c r="X207" s="6">
        <f>IF(ISERROR(VLOOKUP($U$207,'TAR FIN'!$A$1:$O$88,15,0)),0,VLOOKUP($U$207,'TAR FIN'!$A$1:$O$88,15,0))</f>
        <v>151.33000000000001</v>
      </c>
      <c r="Y207" s="6"/>
      <c r="Z207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7" s="6">
        <f>('TE BE'!$AB$12+'TE BF'!$AB$12+'TE CVA'!$AB$12)*(1-CUSTOS!$M$35)</f>
        <v>151.15469734012649</v>
      </c>
      <c r="AB207" s="6">
        <f t="shared" si="12"/>
        <v>0</v>
      </c>
      <c r="AC207" s="6">
        <f>(L207-M207)*(W207+X207)+($W$232+$X$232-$W$207-$X$207)*(L207)</f>
        <v>79.554299999999984</v>
      </c>
      <c r="AD207" s="6">
        <f t="shared" si="13"/>
        <v>0</v>
      </c>
      <c r="AE207" s="6">
        <f ca="1">(L207-M207)*(Z207+AA207)+($Z$232+$AA$232-$Z$207-$AA$207)*(L207)</f>
        <v>83.450849642111478</v>
      </c>
      <c r="AF207" s="4" t="s">
        <v>564</v>
      </c>
    </row>
    <row r="208" spans="1:32" ht="11.25" customHeight="1" x14ac:dyDescent="0.25">
      <c r="A208" s="4" t="s">
        <v>21</v>
      </c>
      <c r="B208" s="4" t="s">
        <v>22</v>
      </c>
      <c r="C208" s="4" t="s">
        <v>23</v>
      </c>
      <c r="D208" s="4" t="s">
        <v>24</v>
      </c>
      <c r="E208" s="4" t="s">
        <v>30</v>
      </c>
      <c r="F208" s="4" t="s">
        <v>25</v>
      </c>
      <c r="G208" s="4" t="s">
        <v>25</v>
      </c>
      <c r="H208" s="4" t="s">
        <v>25</v>
      </c>
      <c r="I208" s="5">
        <v>44682</v>
      </c>
      <c r="J208" s="6">
        <v>0</v>
      </c>
      <c r="K208" s="6">
        <v>0</v>
      </c>
      <c r="L208" s="6">
        <v>40.398000000000003</v>
      </c>
      <c r="M208" s="6">
        <v>40.398000000000003</v>
      </c>
      <c r="N208" s="6">
        <v>40.398000000000003</v>
      </c>
      <c r="O208" s="6">
        <v>40.398000000000003</v>
      </c>
      <c r="P208" s="6">
        <v>278</v>
      </c>
      <c r="Q208" s="4" t="s">
        <v>26</v>
      </c>
      <c r="R208" s="4">
        <v>0</v>
      </c>
      <c r="S208" s="4">
        <v>0</v>
      </c>
      <c r="T208" s="4">
        <v>55</v>
      </c>
      <c r="U208" s="4">
        <v>50</v>
      </c>
      <c r="V208" s="6">
        <f>IF(ISERROR(VLOOKUP($S$208,'TAR FIN'!$A$1:$O$88,15,0)),0,VLOOKUP($S$208,'TAR FIN'!$A$1:$O$88,15,0))</f>
        <v>0</v>
      </c>
      <c r="W208" s="6">
        <f>IF(ISERROR(VLOOKUP($T$208,'TAR FIN'!$A$1:$O$88,15,0)),0,VLOOKUP($T$208,'TAR FIN'!$A$1:$O$88,15,0))</f>
        <v>213.82</v>
      </c>
      <c r="X208" s="6">
        <f>IF(ISERROR(VLOOKUP($U$208,'TAR FIN'!$A$1:$O$88,15,0)),0,VLOOKUP($U$208,'TAR FIN'!$A$1:$O$88,15,0))</f>
        <v>151.33000000000001</v>
      </c>
      <c r="Y208" s="6"/>
      <c r="Z208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8" s="6">
        <f>('TE BE'!$AB$12+'TE BF'!$AB$12+'TE CVA'!$AB$12)*(1-CUSTOS!$M$35)</f>
        <v>151.15469734012649</v>
      </c>
      <c r="AB208" s="6">
        <f t="shared" si="12"/>
        <v>0</v>
      </c>
      <c r="AC208" s="6">
        <f>(L208-M208)*(W208+X208)+($W$232+$X$232-$W$208-$X$208)*(L208)</f>
        <v>9834.489120000002</v>
      </c>
      <c r="AD208" s="6">
        <f t="shared" si="13"/>
        <v>0</v>
      </c>
      <c r="AE208" s="6">
        <f ca="1">(L208-M208)*(Z208+AA208)+($Z$232+$AA$232-$Z$208-$AA$208)*(L208)</f>
        <v>10315.934589479866</v>
      </c>
      <c r="AF208" s="4" t="s">
        <v>564</v>
      </c>
    </row>
    <row r="209" spans="1:32" ht="11.25" customHeight="1" x14ac:dyDescent="0.25">
      <c r="A209" s="4" t="s">
        <v>27</v>
      </c>
      <c r="B209" s="4" t="s">
        <v>22</v>
      </c>
      <c r="C209" s="4" t="s">
        <v>23</v>
      </c>
      <c r="D209" s="4" t="s">
        <v>24</v>
      </c>
      <c r="E209" s="4" t="s">
        <v>30</v>
      </c>
      <c r="F209" s="4" t="s">
        <v>25</v>
      </c>
      <c r="G209" s="4" t="s">
        <v>25</v>
      </c>
      <c r="H209" s="4" t="s">
        <v>25</v>
      </c>
      <c r="I209" s="5">
        <v>44682</v>
      </c>
      <c r="J209" s="6">
        <v>0</v>
      </c>
      <c r="K209" s="6">
        <v>0</v>
      </c>
      <c r="L209" s="6">
        <v>-1.4E-2</v>
      </c>
      <c r="M209" s="6">
        <v>-1.4E-2</v>
      </c>
      <c r="N209" s="6">
        <v>-1.4E-2</v>
      </c>
      <c r="O209" s="6">
        <v>-1.4E-2</v>
      </c>
      <c r="P209" s="6">
        <v>0</v>
      </c>
      <c r="Q209" s="4" t="s">
        <v>26</v>
      </c>
      <c r="R209" s="4">
        <v>0</v>
      </c>
      <c r="S209" s="4">
        <v>0</v>
      </c>
      <c r="T209" s="4">
        <v>55</v>
      </c>
      <c r="U209" s="4">
        <v>50</v>
      </c>
      <c r="V209" s="6">
        <f>IF(ISERROR(VLOOKUP($S$209,'TAR FIN'!$A$1:$O$88,15,0)),0,VLOOKUP($S$209,'TAR FIN'!$A$1:$O$88,15,0))</f>
        <v>0</v>
      </c>
      <c r="W209" s="6">
        <f>IF(ISERROR(VLOOKUP($T$209,'TAR FIN'!$A$1:$O$88,15,0)),0,VLOOKUP($T$209,'TAR FIN'!$A$1:$O$88,15,0))</f>
        <v>213.82</v>
      </c>
      <c r="X209" s="6">
        <f>IF(ISERROR(VLOOKUP($U$209,'TAR FIN'!$A$1:$O$88,15,0)),0,VLOOKUP($U$209,'TAR FIN'!$A$1:$O$88,15,0))</f>
        <v>151.33000000000001</v>
      </c>
      <c r="Y209" s="6"/>
      <c r="Z209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09" s="6">
        <f>('TE BE'!$AB$12+'TE BF'!$AB$12+'TE CVA'!$AB$12)*(1-CUSTOS!$M$35)</f>
        <v>151.15469734012649</v>
      </c>
      <c r="AB209" s="6">
        <f t="shared" si="12"/>
        <v>0</v>
      </c>
      <c r="AC209" s="6">
        <f>(L209-M209)*(W209+X209)+($W$232+$X$232-$W$209-$X$209)*(L209)</f>
        <v>-3.4081600000000005</v>
      </c>
      <c r="AD209" s="6">
        <f t="shared" si="13"/>
        <v>0</v>
      </c>
      <c r="AE209" s="6">
        <f ca="1">(L209-M209)*(Z209+AA209)+($Z$232+$AA$232-$Z$209-$AA$209)*(L209)</f>
        <v>-3.575005798621667</v>
      </c>
      <c r="AF209" s="4" t="s">
        <v>564</v>
      </c>
    </row>
    <row r="210" spans="1:32" ht="11.25" customHeight="1" x14ac:dyDescent="0.25">
      <c r="A210" s="4" t="s">
        <v>28</v>
      </c>
      <c r="B210" s="4" t="s">
        <v>22</v>
      </c>
      <c r="C210" s="4" t="s">
        <v>23</v>
      </c>
      <c r="D210" s="4" t="s">
        <v>24</v>
      </c>
      <c r="E210" s="4" t="s">
        <v>30</v>
      </c>
      <c r="F210" s="4" t="s">
        <v>25</v>
      </c>
      <c r="G210" s="4" t="s">
        <v>25</v>
      </c>
      <c r="H210" s="4" t="s">
        <v>25</v>
      </c>
      <c r="I210" s="5">
        <v>44682</v>
      </c>
      <c r="J210" s="6">
        <v>0</v>
      </c>
      <c r="K210" s="6">
        <v>0</v>
      </c>
      <c r="L210" s="6">
        <v>0.158</v>
      </c>
      <c r="M210" s="6">
        <v>-0.53720000000000001</v>
      </c>
      <c r="N210" s="6">
        <v>0.158</v>
      </c>
      <c r="O210" s="6">
        <v>-0.53720000000000001</v>
      </c>
      <c r="P210" s="6">
        <v>2</v>
      </c>
      <c r="Q210" s="4" t="s">
        <v>26</v>
      </c>
      <c r="R210" s="4">
        <v>0</v>
      </c>
      <c r="S210" s="4">
        <v>0</v>
      </c>
      <c r="T210" s="4">
        <v>55</v>
      </c>
      <c r="U210" s="4">
        <v>50</v>
      </c>
      <c r="V210" s="6">
        <f>IF(ISERROR(VLOOKUP($S$210,'TAR FIN'!$A$1:$O$88,15,0)),0,VLOOKUP($S$210,'TAR FIN'!$A$1:$O$88,15,0))</f>
        <v>0</v>
      </c>
      <c r="W210" s="6">
        <f>IF(ISERROR(VLOOKUP($T$210,'TAR FIN'!$A$1:$O$88,15,0)),0,VLOOKUP($T$210,'TAR FIN'!$A$1:$O$88,15,0))</f>
        <v>213.82</v>
      </c>
      <c r="X210" s="6">
        <f>IF(ISERROR(VLOOKUP($U$210,'TAR FIN'!$A$1:$O$88,15,0)),0,VLOOKUP($U$210,'TAR FIN'!$A$1:$O$88,15,0))</f>
        <v>151.33000000000001</v>
      </c>
      <c r="Y210" s="6"/>
      <c r="Z210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10" s="6">
        <f>('TE BE'!$AB$12+'TE BF'!$AB$12+'TE CVA'!$AB$12)*(1-CUSTOS!$M$35)</f>
        <v>151.15469734012649</v>
      </c>
      <c r="AB210" s="6">
        <f t="shared" si="12"/>
        <v>0</v>
      </c>
      <c r="AC210" s="6">
        <f>(L210-M210)*(W210+X210)+($W$232+$X$232-$W$210-$X$210)*(L210)</f>
        <v>292.31580000000002</v>
      </c>
      <c r="AD210" s="6">
        <f t="shared" si="13"/>
        <v>0</v>
      </c>
      <c r="AE210" s="6">
        <f ca="1">(L210-M210)*(Z210+AA210)+($Z$232+$AA$232-$Z$210-$AA$210)*(L210)</f>
        <v>306.63335449892134</v>
      </c>
      <c r="AF210" s="4" t="s">
        <v>564</v>
      </c>
    </row>
    <row r="211" spans="1:32" ht="11.25" customHeight="1" x14ac:dyDescent="0.25">
      <c r="A211" s="4" t="s">
        <v>21</v>
      </c>
      <c r="B211" s="4" t="s">
        <v>22</v>
      </c>
      <c r="C211" s="4" t="s">
        <v>23</v>
      </c>
      <c r="D211" s="4" t="s">
        <v>24</v>
      </c>
      <c r="E211" s="4" t="s">
        <v>30</v>
      </c>
      <c r="F211" s="4" t="s">
        <v>25</v>
      </c>
      <c r="G211" s="4" t="s">
        <v>25</v>
      </c>
      <c r="H211" s="4" t="s">
        <v>25</v>
      </c>
      <c r="I211" s="5">
        <v>44713</v>
      </c>
      <c r="J211" s="6">
        <v>0</v>
      </c>
      <c r="K211" s="6">
        <v>0</v>
      </c>
      <c r="L211" s="6">
        <v>40.932000000000002</v>
      </c>
      <c r="M211" s="6">
        <v>40.932000000000002</v>
      </c>
      <c r="N211" s="6">
        <v>40.932000000000002</v>
      </c>
      <c r="O211" s="6">
        <v>40.932000000000002</v>
      </c>
      <c r="P211" s="6">
        <v>320</v>
      </c>
      <c r="Q211" s="4" t="s">
        <v>26</v>
      </c>
      <c r="R211" s="4">
        <v>0</v>
      </c>
      <c r="S211" s="4">
        <v>0</v>
      </c>
      <c r="T211" s="4">
        <v>55</v>
      </c>
      <c r="U211" s="4">
        <v>50</v>
      </c>
      <c r="V211" s="6">
        <f>IF(ISERROR(VLOOKUP($S$211,'TAR FIN'!$A$1:$O$88,15,0)),0,VLOOKUP($S$211,'TAR FIN'!$A$1:$O$88,15,0))</f>
        <v>0</v>
      </c>
      <c r="W211" s="6">
        <f>IF(ISERROR(VLOOKUP($T$211,'TAR FIN'!$A$1:$O$88,15,0)),0,VLOOKUP($T$211,'TAR FIN'!$A$1:$O$88,15,0))</f>
        <v>213.82</v>
      </c>
      <c r="X211" s="6">
        <f>IF(ISERROR(VLOOKUP($U$211,'TAR FIN'!$A$1:$O$88,15,0)),0,VLOOKUP($U$211,'TAR FIN'!$A$1:$O$88,15,0))</f>
        <v>151.33000000000001</v>
      </c>
      <c r="Y211" s="6"/>
      <c r="Z211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11" s="6">
        <f>('TE BE'!$AB$12+'TE BF'!$AB$12+'TE CVA'!$AB$12)*(1-CUSTOS!$M$35)</f>
        <v>151.15469734012649</v>
      </c>
      <c r="AB211" s="6">
        <f t="shared" si="12"/>
        <v>0</v>
      </c>
      <c r="AC211" s="6">
        <f>(L211-M211)*(W211+X211)+($W$232+$X$232-$W$211-$X$211)*(L211)</f>
        <v>9964.4860800000024</v>
      </c>
      <c r="AD211" s="6">
        <f t="shared" si="13"/>
        <v>0</v>
      </c>
      <c r="AE211" s="6">
        <f ca="1">(L211-M211)*(Z211+AA211)+($Z$232+$AA$232-$Z$211-$AA$211)*(L211)</f>
        <v>10452.295524941577</v>
      </c>
      <c r="AF211" s="4" t="s">
        <v>564</v>
      </c>
    </row>
    <row r="212" spans="1:32" ht="11.25" customHeight="1" x14ac:dyDescent="0.25">
      <c r="A212" s="4" t="s">
        <v>28</v>
      </c>
      <c r="B212" s="4" t="s">
        <v>22</v>
      </c>
      <c r="C212" s="4" t="s">
        <v>23</v>
      </c>
      <c r="D212" s="4" t="s">
        <v>24</v>
      </c>
      <c r="E212" s="4" t="s">
        <v>30</v>
      </c>
      <c r="F212" s="4" t="s">
        <v>25</v>
      </c>
      <c r="G212" s="4" t="s">
        <v>25</v>
      </c>
      <c r="H212" s="4" t="s">
        <v>25</v>
      </c>
      <c r="I212" s="5">
        <v>44713</v>
      </c>
      <c r="J212" s="6">
        <v>0</v>
      </c>
      <c r="K212" s="6">
        <v>0</v>
      </c>
      <c r="L212" s="6">
        <v>0.20200000000000001</v>
      </c>
      <c r="M212" s="6">
        <v>-0.68679999999999997</v>
      </c>
      <c r="N212" s="6">
        <v>0.20200000000000001</v>
      </c>
      <c r="O212" s="6">
        <v>-0.68679999999999997</v>
      </c>
      <c r="P212" s="6">
        <v>1</v>
      </c>
      <c r="Q212" s="4" t="s">
        <v>26</v>
      </c>
      <c r="R212" s="4">
        <v>0</v>
      </c>
      <c r="S212" s="4">
        <v>0</v>
      </c>
      <c r="T212" s="4">
        <v>55</v>
      </c>
      <c r="U212" s="4">
        <v>50</v>
      </c>
      <c r="V212" s="6">
        <f>IF(ISERROR(VLOOKUP($S$212,'TAR FIN'!$A$1:$O$88,15,0)),0,VLOOKUP($S$212,'TAR FIN'!$A$1:$O$88,15,0))</f>
        <v>0</v>
      </c>
      <c r="W212" s="6">
        <f>IF(ISERROR(VLOOKUP($T$212,'TAR FIN'!$A$1:$O$88,15,0)),0,VLOOKUP($T$212,'TAR FIN'!$A$1:$O$88,15,0))</f>
        <v>213.82</v>
      </c>
      <c r="X212" s="6">
        <f>IF(ISERROR(VLOOKUP($U$212,'TAR FIN'!$A$1:$O$88,15,0)),0,VLOOKUP($U$212,'TAR FIN'!$A$1:$O$88,15,0))</f>
        <v>151.33000000000001</v>
      </c>
      <c r="Y212" s="6"/>
      <c r="Z212" s="6">
        <f ca="1">('TUSD BE'!$AM$22+'TUSD BF'!$AM$22+'TUSD CVA'!$AM$22-('TUSD BE'!$P$22+'TUSD BF'!$P$22+'TUSD CVA'!$P$22)-('TUSD BE'!$Q$22+'TUSD BF'!$Q$22+'TUSD CVA'!$Q$22)-('TUSD BE'!$R$22+'TUSD BF'!$R$22+'TUSD CVA'!$R$22))*(1-CUSTOS!$M$35)</f>
        <v>231.88163822648073</v>
      </c>
      <c r="AA212" s="6">
        <f>('TE BE'!$AB$12+'TE BF'!$AB$12+'TE CVA'!$AB$12)*(1-CUSTOS!$M$35)</f>
        <v>151.15469734012649</v>
      </c>
      <c r="AB212" s="6">
        <f t="shared" si="12"/>
        <v>0</v>
      </c>
      <c r="AC212" s="6">
        <f>(L212-M212)*(W212+X212)+($W$232+$X$232-$W$212-$X$212)*(L212)</f>
        <v>373.72020000000003</v>
      </c>
      <c r="AD212" s="6">
        <f t="shared" si="13"/>
        <v>0</v>
      </c>
      <c r="AE212" s="6">
        <f ca="1">(L212-M212)*(Z212+AA212)+($Z$232+$AA$232-$Z$212-$AA$212)*(L212)</f>
        <v>392.02492157457033</v>
      </c>
      <c r="AF212" s="4" t="s">
        <v>564</v>
      </c>
    </row>
    <row r="213" spans="1:32" ht="11.25" customHeight="1" x14ac:dyDescent="0.25">
      <c r="A213" s="4" t="s">
        <v>21</v>
      </c>
      <c r="B213" s="4" t="s">
        <v>22</v>
      </c>
      <c r="C213" s="4" t="s">
        <v>23</v>
      </c>
      <c r="D213" s="4" t="s">
        <v>24</v>
      </c>
      <c r="E213" s="4" t="s">
        <v>31</v>
      </c>
      <c r="F213" s="4" t="s">
        <v>25</v>
      </c>
      <c r="G213" s="4" t="s">
        <v>25</v>
      </c>
      <c r="H213" s="4" t="s">
        <v>25</v>
      </c>
      <c r="I213" s="5">
        <v>44378</v>
      </c>
      <c r="J213" s="6">
        <v>0</v>
      </c>
      <c r="K213" s="6">
        <v>0</v>
      </c>
      <c r="L213" s="6">
        <v>8.3789999999999996</v>
      </c>
      <c r="M213" s="6">
        <v>8.3789999999999996</v>
      </c>
      <c r="N213" s="6">
        <v>8.3789999999999996</v>
      </c>
      <c r="O213" s="6">
        <v>8.3789999999999996</v>
      </c>
      <c r="P213" s="6">
        <v>106</v>
      </c>
      <c r="Q213" s="4" t="s">
        <v>26</v>
      </c>
      <c r="R213" s="4">
        <v>0</v>
      </c>
      <c r="S213" s="4">
        <v>0</v>
      </c>
      <c r="T213" s="4">
        <v>8</v>
      </c>
      <c r="U213" s="4">
        <v>46</v>
      </c>
      <c r="V213" s="6">
        <f>IF(ISERROR(VLOOKUP($S$213,'TAR FIN'!$A$1:$O$88,15,0)),0,VLOOKUP($S$213,'TAR FIN'!$A$1:$O$88,15,0))</f>
        <v>0</v>
      </c>
      <c r="W213" s="6">
        <f>IF(ISERROR(VLOOKUP($T$213,'TAR FIN'!$A$1:$O$88,15,0)),0,VLOOKUP($T$213,'TAR FIN'!$A$1:$O$88,15,0))</f>
        <v>320.74</v>
      </c>
      <c r="X213" s="6">
        <f>IF(ISERROR(VLOOKUP($U$213,'TAR FIN'!$A$1:$O$88,15,0)),0,VLOOKUP($U$213,'TAR FIN'!$A$1:$O$88,15,0))</f>
        <v>227</v>
      </c>
      <c r="Y213" s="6"/>
      <c r="Z213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13" s="6">
        <f>('TE BE'!$AB$13+'TE BF'!$AB$13+'TE CVA'!$AB$13)*(1-CUSTOS!$M$36)</f>
        <v>226.73204601018975</v>
      </c>
      <c r="AB213" s="6">
        <f t="shared" si="12"/>
        <v>0</v>
      </c>
      <c r="AC213" s="6">
        <f>(L213-M213)*(W213+X213)+($W$232+$X$232-$W$213-$X$213)*(L213)</f>
        <v>509.86215000000016</v>
      </c>
      <c r="AD213" s="6">
        <f t="shared" si="13"/>
        <v>0</v>
      </c>
      <c r="AE213" s="6">
        <f ca="1">(L213-M213)*(Z213+AA213)+($Z$232+$AA$232-$Z$213-$AA$213)*(L213)</f>
        <v>534.91024261876657</v>
      </c>
      <c r="AF213" s="4" t="s">
        <v>564</v>
      </c>
    </row>
    <row r="214" spans="1:32" ht="11.25" customHeight="1" x14ac:dyDescent="0.25">
      <c r="A214" s="4" t="s">
        <v>21</v>
      </c>
      <c r="B214" s="4" t="s">
        <v>22</v>
      </c>
      <c r="C214" s="4" t="s">
        <v>23</v>
      </c>
      <c r="D214" s="4" t="s">
        <v>24</v>
      </c>
      <c r="E214" s="4" t="s">
        <v>31</v>
      </c>
      <c r="F214" s="4" t="s">
        <v>25</v>
      </c>
      <c r="G214" s="4" t="s">
        <v>25</v>
      </c>
      <c r="H214" s="4" t="s">
        <v>25</v>
      </c>
      <c r="I214" s="5">
        <v>44409</v>
      </c>
      <c r="J214" s="6">
        <v>0</v>
      </c>
      <c r="K214" s="6">
        <v>0</v>
      </c>
      <c r="L214" s="6">
        <v>9.2449999999999992</v>
      </c>
      <c r="M214" s="6">
        <v>9.2449999999999992</v>
      </c>
      <c r="N214" s="6">
        <v>9.2449999999999992</v>
      </c>
      <c r="O214" s="6">
        <v>9.2449999999999992</v>
      </c>
      <c r="P214" s="6">
        <v>117</v>
      </c>
      <c r="Q214" s="4" t="s">
        <v>26</v>
      </c>
      <c r="R214" s="4">
        <v>0</v>
      </c>
      <c r="S214" s="4">
        <v>0</v>
      </c>
      <c r="T214" s="4">
        <v>8</v>
      </c>
      <c r="U214" s="4">
        <v>46</v>
      </c>
      <c r="V214" s="6">
        <f>IF(ISERROR(VLOOKUP($S$214,'TAR FIN'!$A$1:$O$88,15,0)),0,VLOOKUP($S$214,'TAR FIN'!$A$1:$O$88,15,0))</f>
        <v>0</v>
      </c>
      <c r="W214" s="6">
        <f>IF(ISERROR(VLOOKUP($T$214,'TAR FIN'!$A$1:$O$88,15,0)),0,VLOOKUP($T$214,'TAR FIN'!$A$1:$O$88,15,0))</f>
        <v>320.74</v>
      </c>
      <c r="X214" s="6">
        <f>IF(ISERROR(VLOOKUP($U$214,'TAR FIN'!$A$1:$O$88,15,0)),0,VLOOKUP($U$214,'TAR FIN'!$A$1:$O$88,15,0))</f>
        <v>227</v>
      </c>
      <c r="Y214" s="6"/>
      <c r="Z214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14" s="6">
        <f>('TE BE'!$AB$13+'TE BF'!$AB$13+'TE CVA'!$AB$13)*(1-CUSTOS!$M$36)</f>
        <v>226.73204601018975</v>
      </c>
      <c r="AB214" s="6">
        <f t="shared" si="12"/>
        <v>0</v>
      </c>
      <c r="AC214" s="6">
        <f>(L214-M214)*(W214+X214)+($W$232+$X$232-$W$214-$X$214)*(L214)</f>
        <v>562.55825000000016</v>
      </c>
      <c r="AD214" s="6">
        <f t="shared" si="13"/>
        <v>0</v>
      </c>
      <c r="AE214" s="6">
        <f ca="1">(L214-M214)*(Z214+AA214)+($Z$232+$AA$232-$Z$214-$AA$214)*(L214)</f>
        <v>590.19515371888019</v>
      </c>
      <c r="AF214" s="4" t="s">
        <v>564</v>
      </c>
    </row>
    <row r="215" spans="1:32" ht="11.25" customHeight="1" x14ac:dyDescent="0.25">
      <c r="A215" s="4" t="s">
        <v>21</v>
      </c>
      <c r="B215" s="4" t="s">
        <v>22</v>
      </c>
      <c r="C215" s="4" t="s">
        <v>23</v>
      </c>
      <c r="D215" s="4" t="s">
        <v>24</v>
      </c>
      <c r="E215" s="4" t="s">
        <v>31</v>
      </c>
      <c r="F215" s="4" t="s">
        <v>25</v>
      </c>
      <c r="G215" s="4" t="s">
        <v>25</v>
      </c>
      <c r="H215" s="4" t="s">
        <v>25</v>
      </c>
      <c r="I215" s="5">
        <v>44440</v>
      </c>
      <c r="J215" s="6">
        <v>0</v>
      </c>
      <c r="K215" s="6">
        <v>0</v>
      </c>
      <c r="L215" s="6">
        <v>10.483000000000001</v>
      </c>
      <c r="M215" s="6">
        <v>10.483000000000001</v>
      </c>
      <c r="N215" s="6">
        <v>10.483000000000001</v>
      </c>
      <c r="O215" s="6">
        <v>10.483000000000001</v>
      </c>
      <c r="P215" s="6">
        <v>131</v>
      </c>
      <c r="Q215" s="4" t="s">
        <v>26</v>
      </c>
      <c r="R215" s="4">
        <v>0</v>
      </c>
      <c r="S215" s="4">
        <v>0</v>
      </c>
      <c r="T215" s="4">
        <v>8</v>
      </c>
      <c r="U215" s="4">
        <v>46</v>
      </c>
      <c r="V215" s="6">
        <f>IF(ISERROR(VLOOKUP($S$215,'TAR FIN'!$A$1:$O$88,15,0)),0,VLOOKUP($S$215,'TAR FIN'!$A$1:$O$88,15,0))</f>
        <v>0</v>
      </c>
      <c r="W215" s="6">
        <f>IF(ISERROR(VLOOKUP($T$215,'TAR FIN'!$A$1:$O$88,15,0)),0,VLOOKUP($T$215,'TAR FIN'!$A$1:$O$88,15,0))</f>
        <v>320.74</v>
      </c>
      <c r="X215" s="6">
        <f>IF(ISERROR(VLOOKUP($U$215,'TAR FIN'!$A$1:$O$88,15,0)),0,VLOOKUP($U$215,'TAR FIN'!$A$1:$O$88,15,0))</f>
        <v>227</v>
      </c>
      <c r="Y215" s="6"/>
      <c r="Z215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15" s="6">
        <f>('TE BE'!$AB$13+'TE BF'!$AB$13+'TE CVA'!$AB$13)*(1-CUSTOS!$M$36)</f>
        <v>226.73204601018975</v>
      </c>
      <c r="AB215" s="6">
        <f t="shared" si="12"/>
        <v>0</v>
      </c>
      <c r="AC215" s="6">
        <f>(L215-M215)*(W215+X215)+($W$232+$X$232-$W$215-$X$215)*(L215)</f>
        <v>637.8905500000003</v>
      </c>
      <c r="AD215" s="6">
        <f t="shared" si="13"/>
        <v>0</v>
      </c>
      <c r="AE215" s="6">
        <f ca="1">(L215-M215)*(Z215+AA215)+($Z$232+$AA$232-$Z$215-$AA$215)*(L215)</f>
        <v>669.22831762412352</v>
      </c>
      <c r="AF215" s="4" t="s">
        <v>564</v>
      </c>
    </row>
    <row r="216" spans="1:32" ht="11.25" customHeight="1" x14ac:dyDescent="0.25">
      <c r="A216" s="4" t="s">
        <v>21</v>
      </c>
      <c r="B216" s="4" t="s">
        <v>22</v>
      </c>
      <c r="C216" s="4" t="s">
        <v>23</v>
      </c>
      <c r="D216" s="4" t="s">
        <v>24</v>
      </c>
      <c r="E216" s="4" t="s">
        <v>31</v>
      </c>
      <c r="F216" s="4" t="s">
        <v>25</v>
      </c>
      <c r="G216" s="4" t="s">
        <v>25</v>
      </c>
      <c r="H216" s="4" t="s">
        <v>25</v>
      </c>
      <c r="I216" s="5">
        <v>44470</v>
      </c>
      <c r="J216" s="6">
        <v>0</v>
      </c>
      <c r="K216" s="6">
        <v>0</v>
      </c>
      <c r="L216" s="6">
        <v>10.374000000000001</v>
      </c>
      <c r="M216" s="6">
        <v>10.374000000000001</v>
      </c>
      <c r="N216" s="6">
        <v>10.374000000000001</v>
      </c>
      <c r="O216" s="6">
        <v>10.374000000000001</v>
      </c>
      <c r="P216" s="6">
        <v>130</v>
      </c>
      <c r="Q216" s="4" t="s">
        <v>26</v>
      </c>
      <c r="R216" s="4">
        <v>0</v>
      </c>
      <c r="S216" s="4">
        <v>0</v>
      </c>
      <c r="T216" s="4">
        <v>8</v>
      </c>
      <c r="U216" s="4">
        <v>46</v>
      </c>
      <c r="V216" s="6">
        <f>IF(ISERROR(VLOOKUP($S$216,'TAR FIN'!$A$1:$O$88,15,0)),0,VLOOKUP($S$216,'TAR FIN'!$A$1:$O$88,15,0))</f>
        <v>0</v>
      </c>
      <c r="W216" s="6">
        <f>IF(ISERROR(VLOOKUP($T$216,'TAR FIN'!$A$1:$O$88,15,0)),0,VLOOKUP($T$216,'TAR FIN'!$A$1:$O$88,15,0))</f>
        <v>320.74</v>
      </c>
      <c r="X216" s="6">
        <f>IF(ISERROR(VLOOKUP($U$216,'TAR FIN'!$A$1:$O$88,15,0)),0,VLOOKUP($U$216,'TAR FIN'!$A$1:$O$88,15,0))</f>
        <v>227</v>
      </c>
      <c r="Y216" s="6"/>
      <c r="Z216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16" s="6">
        <f>('TE BE'!$AB$13+'TE BF'!$AB$13+'TE CVA'!$AB$13)*(1-CUSTOS!$M$36)</f>
        <v>226.73204601018975</v>
      </c>
      <c r="AB216" s="6">
        <f t="shared" si="12"/>
        <v>0</v>
      </c>
      <c r="AC216" s="6">
        <f>(L216-M216)*(W216+X216)+($W$232+$X$232-$W$216-$X$216)*(L216)</f>
        <v>631.25790000000029</v>
      </c>
      <c r="AD216" s="6">
        <f t="shared" si="13"/>
        <v>0</v>
      </c>
      <c r="AE216" s="6">
        <f ca="1">(L216-M216)*(Z216+AA216)+($Z$232+$AA$232-$Z$216-$AA$216)*(L216)</f>
        <v>662.26982419466344</v>
      </c>
      <c r="AF216" s="4" t="s">
        <v>564</v>
      </c>
    </row>
    <row r="217" spans="1:32" ht="11.25" customHeight="1" x14ac:dyDescent="0.25">
      <c r="A217" s="4" t="s">
        <v>21</v>
      </c>
      <c r="B217" s="4" t="s">
        <v>22</v>
      </c>
      <c r="C217" s="4" t="s">
        <v>23</v>
      </c>
      <c r="D217" s="4" t="s">
        <v>24</v>
      </c>
      <c r="E217" s="4" t="s">
        <v>31</v>
      </c>
      <c r="F217" s="4" t="s">
        <v>25</v>
      </c>
      <c r="G217" s="4" t="s">
        <v>25</v>
      </c>
      <c r="H217" s="4" t="s">
        <v>25</v>
      </c>
      <c r="I217" s="5">
        <v>44501</v>
      </c>
      <c r="J217" s="6">
        <v>0</v>
      </c>
      <c r="K217" s="6">
        <v>0</v>
      </c>
      <c r="L217" s="6">
        <v>12.676</v>
      </c>
      <c r="M217" s="6">
        <v>12.676</v>
      </c>
      <c r="N217" s="6">
        <v>12.676</v>
      </c>
      <c r="O217" s="6">
        <v>12.676</v>
      </c>
      <c r="P217" s="6">
        <v>130</v>
      </c>
      <c r="Q217" s="4" t="s">
        <v>26</v>
      </c>
      <c r="R217" s="4">
        <v>0</v>
      </c>
      <c r="S217" s="4">
        <v>0</v>
      </c>
      <c r="T217" s="4">
        <v>8</v>
      </c>
      <c r="U217" s="4">
        <v>46</v>
      </c>
      <c r="V217" s="6">
        <f>IF(ISERROR(VLOOKUP($S$217,'TAR FIN'!$A$1:$O$88,15,0)),0,VLOOKUP($S$217,'TAR FIN'!$A$1:$O$88,15,0))</f>
        <v>0</v>
      </c>
      <c r="W217" s="6">
        <f>IF(ISERROR(VLOOKUP($T$217,'TAR FIN'!$A$1:$O$88,15,0)),0,VLOOKUP($T$217,'TAR FIN'!$A$1:$O$88,15,0))</f>
        <v>320.74</v>
      </c>
      <c r="X217" s="6">
        <f>IF(ISERROR(VLOOKUP($U$217,'TAR FIN'!$A$1:$O$88,15,0)),0,VLOOKUP($U$217,'TAR FIN'!$A$1:$O$88,15,0))</f>
        <v>227</v>
      </c>
      <c r="Y217" s="6"/>
      <c r="Z217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17" s="6">
        <f>('TE BE'!$AB$13+'TE BF'!$AB$13+'TE CVA'!$AB$13)*(1-CUSTOS!$M$36)</f>
        <v>226.73204601018975</v>
      </c>
      <c r="AB217" s="6">
        <f t="shared" si="12"/>
        <v>0</v>
      </c>
      <c r="AC217" s="6">
        <f>(L217-M217)*(W217+X217)+($W$232+$X$232-$W$217-$X$217)*(L217)</f>
        <v>771.33460000000025</v>
      </c>
      <c r="AD217" s="6">
        <f t="shared" si="13"/>
        <v>0</v>
      </c>
      <c r="AE217" s="6">
        <f ca="1">(L217-M217)*(Z217+AA217)+($Z$232+$AA$232-$Z$217-$AA$217)*(L217)</f>
        <v>809.22809827371827</v>
      </c>
      <c r="AF217" s="4" t="s">
        <v>564</v>
      </c>
    </row>
    <row r="218" spans="1:32" ht="11.25" customHeight="1" x14ac:dyDescent="0.25">
      <c r="A218" s="4" t="s">
        <v>21</v>
      </c>
      <c r="B218" s="4" t="s">
        <v>22</v>
      </c>
      <c r="C218" s="4" t="s">
        <v>23</v>
      </c>
      <c r="D218" s="4" t="s">
        <v>24</v>
      </c>
      <c r="E218" s="4" t="s">
        <v>31</v>
      </c>
      <c r="F218" s="4" t="s">
        <v>25</v>
      </c>
      <c r="G218" s="4" t="s">
        <v>25</v>
      </c>
      <c r="H218" s="4" t="s">
        <v>25</v>
      </c>
      <c r="I218" s="5">
        <v>44531</v>
      </c>
      <c r="J218" s="6">
        <v>0</v>
      </c>
      <c r="K218" s="6">
        <v>0</v>
      </c>
      <c r="L218" s="6">
        <v>13.093</v>
      </c>
      <c r="M218" s="6">
        <v>13.093</v>
      </c>
      <c r="N218" s="6">
        <v>13.093</v>
      </c>
      <c r="O218" s="6">
        <v>13.093</v>
      </c>
      <c r="P218" s="6">
        <v>143</v>
      </c>
      <c r="Q218" s="4" t="s">
        <v>26</v>
      </c>
      <c r="R218" s="4">
        <v>0</v>
      </c>
      <c r="S218" s="4">
        <v>0</v>
      </c>
      <c r="T218" s="4">
        <v>8</v>
      </c>
      <c r="U218" s="4">
        <v>46</v>
      </c>
      <c r="V218" s="6">
        <f>IF(ISERROR(VLOOKUP($S$218,'TAR FIN'!$A$1:$O$88,15,0)),0,VLOOKUP($S$218,'TAR FIN'!$A$1:$O$88,15,0))</f>
        <v>0</v>
      </c>
      <c r="W218" s="6">
        <f>IF(ISERROR(VLOOKUP($T$218,'TAR FIN'!$A$1:$O$88,15,0)),0,VLOOKUP($T$218,'TAR FIN'!$A$1:$O$88,15,0))</f>
        <v>320.74</v>
      </c>
      <c r="X218" s="6">
        <f>IF(ISERROR(VLOOKUP($U$218,'TAR FIN'!$A$1:$O$88,15,0)),0,VLOOKUP($U$218,'TAR FIN'!$A$1:$O$88,15,0))</f>
        <v>227</v>
      </c>
      <c r="Y218" s="6"/>
      <c r="Z218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18" s="6">
        <f>('TE BE'!$AB$13+'TE BF'!$AB$13+'TE CVA'!$AB$13)*(1-CUSTOS!$M$36)</f>
        <v>226.73204601018975</v>
      </c>
      <c r="AB218" s="6">
        <f t="shared" si="12"/>
        <v>0</v>
      </c>
      <c r="AC218" s="6">
        <f>(L218-M218)*(W218+X218)+($W$232+$X$232-$W$218-$X$218)*(L218)</f>
        <v>796.70905000000027</v>
      </c>
      <c r="AD218" s="6">
        <f t="shared" si="13"/>
        <v>0</v>
      </c>
      <c r="AE218" s="6">
        <f ca="1">(L218-M218)*(Z218+AA218)+($Z$232+$AA$232-$Z$218-$AA$218)*(L218)</f>
        <v>835.84912359559746</v>
      </c>
      <c r="AF218" s="4" t="s">
        <v>564</v>
      </c>
    </row>
    <row r="219" spans="1:32" ht="11.25" customHeight="1" x14ac:dyDescent="0.25">
      <c r="A219" s="4" t="s">
        <v>28</v>
      </c>
      <c r="B219" s="4" t="s">
        <v>22</v>
      </c>
      <c r="C219" s="4" t="s">
        <v>23</v>
      </c>
      <c r="D219" s="4" t="s">
        <v>24</v>
      </c>
      <c r="E219" s="4" t="s">
        <v>31</v>
      </c>
      <c r="F219" s="4" t="s">
        <v>25</v>
      </c>
      <c r="G219" s="4" t="s">
        <v>25</v>
      </c>
      <c r="H219" s="4" t="s">
        <v>25</v>
      </c>
      <c r="I219" s="5">
        <v>44531</v>
      </c>
      <c r="J219" s="6">
        <v>0</v>
      </c>
      <c r="K219" s="6">
        <v>0</v>
      </c>
      <c r="L219" s="6">
        <v>0.13</v>
      </c>
      <c r="M219" s="6">
        <v>9.0999999999999998E-2</v>
      </c>
      <c r="N219" s="6">
        <v>0.13</v>
      </c>
      <c r="O219" s="6">
        <v>9.0999999999999998E-2</v>
      </c>
      <c r="P219" s="6">
        <v>1</v>
      </c>
      <c r="Q219" s="4" t="s">
        <v>26</v>
      </c>
      <c r="R219" s="4">
        <v>0</v>
      </c>
      <c r="S219" s="4">
        <v>0</v>
      </c>
      <c r="T219" s="4">
        <v>8</v>
      </c>
      <c r="U219" s="4">
        <v>46</v>
      </c>
      <c r="V219" s="6">
        <f>IF(ISERROR(VLOOKUP($S$219,'TAR FIN'!$A$1:$O$88,15,0)),0,VLOOKUP($S$219,'TAR FIN'!$A$1:$O$88,15,0))</f>
        <v>0</v>
      </c>
      <c r="W219" s="6">
        <f>IF(ISERROR(VLOOKUP($T$219,'TAR FIN'!$A$1:$O$88,15,0)),0,VLOOKUP($T$219,'TAR FIN'!$A$1:$O$88,15,0))</f>
        <v>320.74</v>
      </c>
      <c r="X219" s="6">
        <f>IF(ISERROR(VLOOKUP($U$219,'TAR FIN'!$A$1:$O$88,15,0)),0,VLOOKUP($U$219,'TAR FIN'!$A$1:$O$88,15,0))</f>
        <v>227</v>
      </c>
      <c r="Y219" s="6"/>
      <c r="Z219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19" s="6">
        <f>('TE BE'!$AB$13+'TE BF'!$AB$13+'TE CVA'!$AB$13)*(1-CUSTOS!$M$36)</f>
        <v>226.73204601018975</v>
      </c>
      <c r="AB219" s="6">
        <f t="shared" si="12"/>
        <v>0</v>
      </c>
      <c r="AC219" s="6">
        <f>(L219-M219)*(W219+X219)+($W$232+$X$232-$W$219-$X$219)*(L219)</f>
        <v>29.272360000000006</v>
      </c>
      <c r="AD219" s="6">
        <f t="shared" si="13"/>
        <v>0</v>
      </c>
      <c r="AE219" s="6">
        <f ca="1">(L219-M219)*(Z219+AA219)+($Z$232+$AA$232-$Z$219-$AA$219)*(L219)</f>
        <v>30.70674623458968</v>
      </c>
      <c r="AF219" s="4" t="s">
        <v>564</v>
      </c>
    </row>
    <row r="220" spans="1:32" ht="11.25" customHeight="1" x14ac:dyDescent="0.25">
      <c r="A220" s="4" t="s">
        <v>21</v>
      </c>
      <c r="B220" s="4" t="s">
        <v>22</v>
      </c>
      <c r="C220" s="4" t="s">
        <v>23</v>
      </c>
      <c r="D220" s="4" t="s">
        <v>24</v>
      </c>
      <c r="E220" s="4" t="s">
        <v>31</v>
      </c>
      <c r="F220" s="4" t="s">
        <v>25</v>
      </c>
      <c r="G220" s="4" t="s">
        <v>25</v>
      </c>
      <c r="H220" s="4" t="s">
        <v>25</v>
      </c>
      <c r="I220" s="5">
        <v>44562</v>
      </c>
      <c r="J220" s="6">
        <v>0</v>
      </c>
      <c r="K220" s="6">
        <v>0</v>
      </c>
      <c r="L220" s="6">
        <v>16.968</v>
      </c>
      <c r="M220" s="6">
        <v>16.968</v>
      </c>
      <c r="N220" s="6">
        <v>16.968</v>
      </c>
      <c r="O220" s="6">
        <v>16.968</v>
      </c>
      <c r="P220" s="6">
        <v>144</v>
      </c>
      <c r="Q220" s="4" t="s">
        <v>26</v>
      </c>
      <c r="R220" s="4">
        <v>0</v>
      </c>
      <c r="S220" s="4">
        <v>0</v>
      </c>
      <c r="T220" s="4">
        <v>8</v>
      </c>
      <c r="U220" s="4">
        <v>46</v>
      </c>
      <c r="V220" s="6">
        <f>IF(ISERROR(VLOOKUP($S$220,'TAR FIN'!$A$1:$O$88,15,0)),0,VLOOKUP($S$220,'TAR FIN'!$A$1:$O$88,15,0))</f>
        <v>0</v>
      </c>
      <c r="W220" s="6">
        <f>IF(ISERROR(VLOOKUP($T$220,'TAR FIN'!$A$1:$O$88,15,0)),0,VLOOKUP($T$220,'TAR FIN'!$A$1:$O$88,15,0))</f>
        <v>320.74</v>
      </c>
      <c r="X220" s="6">
        <f>IF(ISERROR(VLOOKUP($U$220,'TAR FIN'!$A$1:$O$88,15,0)),0,VLOOKUP($U$220,'TAR FIN'!$A$1:$O$88,15,0))</f>
        <v>227</v>
      </c>
      <c r="Y220" s="6"/>
      <c r="Z220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0" s="6">
        <f>('TE BE'!$AB$13+'TE BF'!$AB$13+'TE CVA'!$AB$13)*(1-CUSTOS!$M$36)</f>
        <v>226.73204601018975</v>
      </c>
      <c r="AB220" s="6">
        <f t="shared" si="12"/>
        <v>0</v>
      </c>
      <c r="AC220" s="6">
        <f>(L220-M220)*(W220+X220)+($W$232+$X$232-$W$220-$X$220)*(L220)</f>
        <v>1032.5028000000004</v>
      </c>
      <c r="AD220" s="6">
        <f t="shared" si="13"/>
        <v>0</v>
      </c>
      <c r="AE220" s="6">
        <f ca="1">(L220-M220)*(Z220+AA220)+($Z$232+$AA$232-$Z$220-$AA$220)*(L220)</f>
        <v>1083.2267569823646</v>
      </c>
      <c r="AF220" s="4" t="s">
        <v>564</v>
      </c>
    </row>
    <row r="221" spans="1:32" ht="11.25" customHeight="1" x14ac:dyDescent="0.25">
      <c r="A221" s="4" t="s">
        <v>28</v>
      </c>
      <c r="B221" s="4" t="s">
        <v>22</v>
      </c>
      <c r="C221" s="4" t="s">
        <v>23</v>
      </c>
      <c r="D221" s="4" t="s">
        <v>24</v>
      </c>
      <c r="E221" s="4" t="s">
        <v>31</v>
      </c>
      <c r="F221" s="4" t="s">
        <v>25</v>
      </c>
      <c r="G221" s="4" t="s">
        <v>25</v>
      </c>
      <c r="H221" s="4" t="s">
        <v>25</v>
      </c>
      <c r="I221" s="5">
        <v>44562</v>
      </c>
      <c r="J221" s="6">
        <v>0</v>
      </c>
      <c r="K221" s="6">
        <v>0</v>
      </c>
      <c r="L221" s="6">
        <v>0.18</v>
      </c>
      <c r="M221" s="6">
        <v>0.126</v>
      </c>
      <c r="N221" s="6">
        <v>0.18</v>
      </c>
      <c r="O221" s="6">
        <v>0.126</v>
      </c>
      <c r="P221" s="6">
        <v>0</v>
      </c>
      <c r="Q221" s="4" t="s">
        <v>26</v>
      </c>
      <c r="R221" s="4">
        <v>0</v>
      </c>
      <c r="S221" s="4">
        <v>0</v>
      </c>
      <c r="T221" s="4">
        <v>8</v>
      </c>
      <c r="U221" s="4">
        <v>46</v>
      </c>
      <c r="V221" s="6">
        <f>IF(ISERROR(VLOOKUP($S$221,'TAR FIN'!$A$1:$O$88,15,0)),0,VLOOKUP($S$221,'TAR FIN'!$A$1:$O$88,15,0))</f>
        <v>0</v>
      </c>
      <c r="W221" s="6">
        <f>IF(ISERROR(VLOOKUP($T$221,'TAR FIN'!$A$1:$O$88,15,0)),0,VLOOKUP($T$221,'TAR FIN'!$A$1:$O$88,15,0))</f>
        <v>320.74</v>
      </c>
      <c r="X221" s="6">
        <f>IF(ISERROR(VLOOKUP($U$221,'TAR FIN'!$A$1:$O$88,15,0)),0,VLOOKUP($U$221,'TAR FIN'!$A$1:$O$88,15,0))</f>
        <v>227</v>
      </c>
      <c r="Y221" s="6"/>
      <c r="Z221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1" s="6">
        <f>('TE BE'!$AB$13+'TE BF'!$AB$13+'TE CVA'!$AB$13)*(1-CUSTOS!$M$36)</f>
        <v>226.73204601018975</v>
      </c>
      <c r="AB221" s="6">
        <f t="shared" si="12"/>
        <v>0</v>
      </c>
      <c r="AC221" s="6">
        <f>(L221-M221)*(W221+X221)+($W$232+$X$232-$W$221-$X$221)*(L221)</f>
        <v>40.53096</v>
      </c>
      <c r="AD221" s="6">
        <f t="shared" si="13"/>
        <v>0</v>
      </c>
      <c r="AE221" s="6">
        <f ca="1">(L221-M221)*(Z221+AA221)+($Z$232+$AA$232-$Z$221-$AA$221)*(L221)</f>
        <v>42.517033247893394</v>
      </c>
      <c r="AF221" s="4" t="s">
        <v>564</v>
      </c>
    </row>
    <row r="222" spans="1:32" ht="11.25" customHeight="1" x14ac:dyDescent="0.25">
      <c r="A222" s="4" t="s">
        <v>21</v>
      </c>
      <c r="B222" s="4" t="s">
        <v>22</v>
      </c>
      <c r="C222" s="4" t="s">
        <v>23</v>
      </c>
      <c r="D222" s="4" t="s">
        <v>24</v>
      </c>
      <c r="E222" s="4" t="s">
        <v>31</v>
      </c>
      <c r="F222" s="4" t="s">
        <v>25</v>
      </c>
      <c r="G222" s="4" t="s">
        <v>25</v>
      </c>
      <c r="H222" s="4" t="s">
        <v>25</v>
      </c>
      <c r="I222" s="5">
        <v>44593</v>
      </c>
      <c r="J222" s="6">
        <v>0</v>
      </c>
      <c r="K222" s="6">
        <v>0</v>
      </c>
      <c r="L222" s="6">
        <v>18.715</v>
      </c>
      <c r="M222" s="6">
        <v>18.715</v>
      </c>
      <c r="N222" s="6">
        <v>18.715</v>
      </c>
      <c r="O222" s="6">
        <v>18.715</v>
      </c>
      <c r="P222" s="6">
        <v>138</v>
      </c>
      <c r="Q222" s="4" t="s">
        <v>26</v>
      </c>
      <c r="R222" s="4">
        <v>0</v>
      </c>
      <c r="S222" s="4">
        <v>0</v>
      </c>
      <c r="T222" s="4">
        <v>8</v>
      </c>
      <c r="U222" s="4">
        <v>46</v>
      </c>
      <c r="V222" s="6">
        <f>IF(ISERROR(VLOOKUP($S$222,'TAR FIN'!$A$1:$O$88,15,0)),0,VLOOKUP($S$222,'TAR FIN'!$A$1:$O$88,15,0))</f>
        <v>0</v>
      </c>
      <c r="W222" s="6">
        <f>IF(ISERROR(VLOOKUP($T$222,'TAR FIN'!$A$1:$O$88,15,0)),0,VLOOKUP($T$222,'TAR FIN'!$A$1:$O$88,15,0))</f>
        <v>320.74</v>
      </c>
      <c r="X222" s="6">
        <f>IF(ISERROR(VLOOKUP($U$222,'TAR FIN'!$A$1:$O$88,15,0)),0,VLOOKUP($U$222,'TAR FIN'!$A$1:$O$88,15,0))</f>
        <v>227</v>
      </c>
      <c r="Y222" s="6"/>
      <c r="Z222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2" s="6">
        <f>('TE BE'!$AB$13+'TE BF'!$AB$13+'TE CVA'!$AB$13)*(1-CUSTOS!$M$36)</f>
        <v>226.73204601018975</v>
      </c>
      <c r="AB222" s="6">
        <f t="shared" si="12"/>
        <v>0</v>
      </c>
      <c r="AC222" s="6">
        <f>(L222-M222)*(W222+X222)+($W$232+$X$232-$W$222-$X$222)*(L222)</f>
        <v>1138.8077500000004</v>
      </c>
      <c r="AD222" s="6">
        <f t="shared" si="13"/>
        <v>0</v>
      </c>
      <c r="AE222" s="6">
        <f ca="1">(L222-M222)*(Z222+AA222)+($Z$232+$AA$232-$Z$222-$AA$222)*(L222)</f>
        <v>1194.7541700215081</v>
      </c>
      <c r="AF222" s="4" t="s">
        <v>564</v>
      </c>
    </row>
    <row r="223" spans="1:32" ht="11.25" customHeight="1" x14ac:dyDescent="0.25">
      <c r="A223" s="4" t="s">
        <v>28</v>
      </c>
      <c r="B223" s="4" t="s">
        <v>22</v>
      </c>
      <c r="C223" s="4" t="s">
        <v>23</v>
      </c>
      <c r="D223" s="4" t="s">
        <v>24</v>
      </c>
      <c r="E223" s="4" t="s">
        <v>31</v>
      </c>
      <c r="F223" s="4" t="s">
        <v>25</v>
      </c>
      <c r="G223" s="4" t="s">
        <v>25</v>
      </c>
      <c r="H223" s="4" t="s">
        <v>25</v>
      </c>
      <c r="I223" s="5">
        <v>44593</v>
      </c>
      <c r="J223" s="6">
        <v>0</v>
      </c>
      <c r="K223" s="6">
        <v>0</v>
      </c>
      <c r="L223" s="6">
        <v>0.24</v>
      </c>
      <c r="M223" s="6">
        <v>0.16800000000000001</v>
      </c>
      <c r="N223" s="6">
        <v>0.24</v>
      </c>
      <c r="O223" s="6">
        <v>0.16800000000000001</v>
      </c>
      <c r="P223" s="6">
        <v>0</v>
      </c>
      <c r="Q223" s="4" t="s">
        <v>26</v>
      </c>
      <c r="R223" s="4">
        <v>0</v>
      </c>
      <c r="S223" s="4">
        <v>0</v>
      </c>
      <c r="T223" s="4">
        <v>8</v>
      </c>
      <c r="U223" s="4">
        <v>46</v>
      </c>
      <c r="V223" s="6">
        <f>IF(ISERROR(VLOOKUP($S$223,'TAR FIN'!$A$1:$O$88,15,0)),0,VLOOKUP($S$223,'TAR FIN'!$A$1:$O$88,15,0))</f>
        <v>0</v>
      </c>
      <c r="W223" s="6">
        <f>IF(ISERROR(VLOOKUP($T$223,'TAR FIN'!$A$1:$O$88,15,0)),0,VLOOKUP($T$223,'TAR FIN'!$A$1:$O$88,15,0))</f>
        <v>320.74</v>
      </c>
      <c r="X223" s="6">
        <f>IF(ISERROR(VLOOKUP($U$223,'TAR FIN'!$A$1:$O$88,15,0)),0,VLOOKUP($U$223,'TAR FIN'!$A$1:$O$88,15,0))</f>
        <v>227</v>
      </c>
      <c r="Y223" s="6"/>
      <c r="Z223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3" s="6">
        <f>('TE BE'!$AB$13+'TE BF'!$AB$13+'TE CVA'!$AB$13)*(1-CUSTOS!$M$36)</f>
        <v>226.73204601018975</v>
      </c>
      <c r="AB223" s="6">
        <f t="shared" si="12"/>
        <v>0</v>
      </c>
      <c r="AC223" s="6">
        <f>(L223-M223)*(W223+X223)+($W$232+$X$232-$W$223-$X$223)*(L223)</f>
        <v>54.041279999999993</v>
      </c>
      <c r="AD223" s="6">
        <f t="shared" si="13"/>
        <v>0</v>
      </c>
      <c r="AE223" s="6">
        <f ca="1">(L223-M223)*(Z223+AA223)+($Z$232+$AA$232-$Z$223-$AA$223)*(L223)</f>
        <v>56.689377663857847</v>
      </c>
      <c r="AF223" s="4" t="s">
        <v>564</v>
      </c>
    </row>
    <row r="224" spans="1:32" ht="11.25" customHeight="1" x14ac:dyDescent="0.25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31</v>
      </c>
      <c r="F224" s="4" t="s">
        <v>25</v>
      </c>
      <c r="G224" s="4" t="s">
        <v>25</v>
      </c>
      <c r="H224" s="4" t="s">
        <v>25</v>
      </c>
      <c r="I224" s="5">
        <v>44621</v>
      </c>
      <c r="J224" s="6">
        <v>0</v>
      </c>
      <c r="K224" s="6">
        <v>0</v>
      </c>
      <c r="L224" s="6">
        <v>18.001999999999999</v>
      </c>
      <c r="M224" s="6">
        <v>18.001999999999999</v>
      </c>
      <c r="N224" s="6">
        <v>18.001999999999999</v>
      </c>
      <c r="O224" s="6">
        <v>18.001999999999999</v>
      </c>
      <c r="P224" s="6">
        <v>157</v>
      </c>
      <c r="Q224" s="4" t="s">
        <v>26</v>
      </c>
      <c r="R224" s="4">
        <v>0</v>
      </c>
      <c r="S224" s="4">
        <v>0</v>
      </c>
      <c r="T224" s="4">
        <v>8</v>
      </c>
      <c r="U224" s="4">
        <v>46</v>
      </c>
      <c r="V224" s="6">
        <f>IF(ISERROR(VLOOKUP($S$224,'TAR FIN'!$A$1:$O$88,15,0)),0,VLOOKUP($S$224,'TAR FIN'!$A$1:$O$88,15,0))</f>
        <v>0</v>
      </c>
      <c r="W224" s="6">
        <f>IF(ISERROR(VLOOKUP($T$224,'TAR FIN'!$A$1:$O$88,15,0)),0,VLOOKUP($T$224,'TAR FIN'!$A$1:$O$88,15,0))</f>
        <v>320.74</v>
      </c>
      <c r="X224" s="6">
        <f>IF(ISERROR(VLOOKUP($U$224,'TAR FIN'!$A$1:$O$88,15,0)),0,VLOOKUP($U$224,'TAR FIN'!$A$1:$O$88,15,0))</f>
        <v>227</v>
      </c>
      <c r="Y224" s="6"/>
      <c r="Z224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4" s="6">
        <f>('TE BE'!$AB$13+'TE BF'!$AB$13+'TE CVA'!$AB$13)*(1-CUSTOS!$M$36)</f>
        <v>226.73204601018975</v>
      </c>
      <c r="AB224" s="6">
        <f t="shared" si="12"/>
        <v>0</v>
      </c>
      <c r="AC224" s="6">
        <f>(L224-M224)*(W224+X224)+($W$232+$X$232-$W$224-$X$224)*(L224)</f>
        <v>1095.4217000000003</v>
      </c>
      <c r="AD224" s="6">
        <f t="shared" si="13"/>
        <v>0</v>
      </c>
      <c r="AE224" s="6">
        <f ca="1">(L224-M224)*(Z224+AA224)+($Z$232+$AA$232-$Z$224-$AA$224)*(L224)</f>
        <v>1149.2366854783431</v>
      </c>
      <c r="AF224" s="4" t="s">
        <v>564</v>
      </c>
    </row>
    <row r="225" spans="1:32" ht="11.25" customHeight="1" x14ac:dyDescent="0.25">
      <c r="A225" s="4" t="s">
        <v>28</v>
      </c>
      <c r="B225" s="4" t="s">
        <v>22</v>
      </c>
      <c r="C225" s="4" t="s">
        <v>23</v>
      </c>
      <c r="D225" s="4" t="s">
        <v>24</v>
      </c>
      <c r="E225" s="4" t="s">
        <v>31</v>
      </c>
      <c r="F225" s="4" t="s">
        <v>25</v>
      </c>
      <c r="G225" s="4" t="s">
        <v>25</v>
      </c>
      <c r="H225" s="4" t="s">
        <v>25</v>
      </c>
      <c r="I225" s="5">
        <v>44621</v>
      </c>
      <c r="J225" s="6">
        <v>0</v>
      </c>
      <c r="K225" s="6">
        <v>0</v>
      </c>
      <c r="L225" s="6">
        <v>0.22800000000000001</v>
      </c>
      <c r="M225" s="6">
        <v>0.1368</v>
      </c>
      <c r="N225" s="6">
        <v>0.22800000000000001</v>
      </c>
      <c r="O225" s="6">
        <v>0.1368</v>
      </c>
      <c r="P225" s="6">
        <v>0</v>
      </c>
      <c r="Q225" s="4" t="s">
        <v>26</v>
      </c>
      <c r="R225" s="4">
        <v>0</v>
      </c>
      <c r="S225" s="4">
        <v>0</v>
      </c>
      <c r="T225" s="4">
        <v>8</v>
      </c>
      <c r="U225" s="4">
        <v>46</v>
      </c>
      <c r="V225" s="6">
        <f>IF(ISERROR(VLOOKUP($S$225,'TAR FIN'!$A$1:$O$88,15,0)),0,VLOOKUP($S$225,'TAR FIN'!$A$1:$O$88,15,0))</f>
        <v>0</v>
      </c>
      <c r="W225" s="6">
        <f>IF(ISERROR(VLOOKUP($T$225,'TAR FIN'!$A$1:$O$88,15,0)),0,VLOOKUP($T$225,'TAR FIN'!$A$1:$O$88,15,0))</f>
        <v>320.74</v>
      </c>
      <c r="X225" s="6">
        <f>IF(ISERROR(VLOOKUP($U$225,'TAR FIN'!$A$1:$O$88,15,0)),0,VLOOKUP($U$225,'TAR FIN'!$A$1:$O$88,15,0))</f>
        <v>227</v>
      </c>
      <c r="Y225" s="6"/>
      <c r="Z225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5" s="6">
        <f>('TE BE'!$AB$13+'TE BF'!$AB$13+'TE CVA'!$AB$13)*(1-CUSTOS!$M$36)</f>
        <v>226.73204601018975</v>
      </c>
      <c r="AB225" s="6">
        <f t="shared" si="12"/>
        <v>0</v>
      </c>
      <c r="AC225" s="6">
        <f>(L225-M225)*(W225+X225)+($W$232+$X$232-$W$225-$X$225)*(L225)</f>
        <v>63.827688000000009</v>
      </c>
      <c r="AD225" s="6">
        <f t="shared" si="13"/>
        <v>0</v>
      </c>
      <c r="AE225" s="6">
        <f ca="1">(L225-M225)*(Z225+AA225)+($Z$232+$AA$232-$Z$225-$AA$225)*(L225)</f>
        <v>66.954751457042931</v>
      </c>
      <c r="AF225" s="4" t="s">
        <v>564</v>
      </c>
    </row>
    <row r="226" spans="1:32" ht="11.25" customHeight="1" x14ac:dyDescent="0.25">
      <c r="A226" s="4" t="s">
        <v>21</v>
      </c>
      <c r="B226" s="4" t="s">
        <v>22</v>
      </c>
      <c r="C226" s="4" t="s">
        <v>23</v>
      </c>
      <c r="D226" s="4" t="s">
        <v>24</v>
      </c>
      <c r="E226" s="4" t="s">
        <v>31</v>
      </c>
      <c r="F226" s="4" t="s">
        <v>25</v>
      </c>
      <c r="G226" s="4" t="s">
        <v>25</v>
      </c>
      <c r="H226" s="4" t="s">
        <v>25</v>
      </c>
      <c r="I226" s="5">
        <v>44652</v>
      </c>
      <c r="J226" s="6">
        <v>0</v>
      </c>
      <c r="K226" s="6">
        <v>0</v>
      </c>
      <c r="L226" s="6">
        <v>28.111999999999998</v>
      </c>
      <c r="M226" s="6">
        <v>28.111999999999998</v>
      </c>
      <c r="N226" s="6">
        <v>28.111999999999998</v>
      </c>
      <c r="O226" s="6">
        <v>28.111999999999998</v>
      </c>
      <c r="P226" s="6">
        <v>353</v>
      </c>
      <c r="Q226" s="4" t="s">
        <v>26</v>
      </c>
      <c r="R226" s="4">
        <v>0</v>
      </c>
      <c r="S226" s="4">
        <v>0</v>
      </c>
      <c r="T226" s="4">
        <v>8</v>
      </c>
      <c r="U226" s="4">
        <v>46</v>
      </c>
      <c r="V226" s="6">
        <f>IF(ISERROR(VLOOKUP($S$226,'TAR FIN'!$A$1:$O$88,15,0)),0,VLOOKUP($S$226,'TAR FIN'!$A$1:$O$88,15,0))</f>
        <v>0</v>
      </c>
      <c r="W226" s="6">
        <f>IF(ISERROR(VLOOKUP($T$226,'TAR FIN'!$A$1:$O$88,15,0)),0,VLOOKUP($T$226,'TAR FIN'!$A$1:$O$88,15,0))</f>
        <v>320.74</v>
      </c>
      <c r="X226" s="6">
        <f>IF(ISERROR(VLOOKUP($U$226,'TAR FIN'!$A$1:$O$88,15,0)),0,VLOOKUP($U$226,'TAR FIN'!$A$1:$O$88,15,0))</f>
        <v>227</v>
      </c>
      <c r="Y226" s="6"/>
      <c r="Z226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6" s="6">
        <f>('TE BE'!$AB$13+'TE BF'!$AB$13+'TE CVA'!$AB$13)*(1-CUSTOS!$M$36)</f>
        <v>226.73204601018975</v>
      </c>
      <c r="AB226" s="6">
        <f t="shared" si="12"/>
        <v>0</v>
      </c>
      <c r="AC226" s="6">
        <f>(L226-M226)*(W226+X226)+($W$232+$X$232-$W$226-$X$226)*(L226)</f>
        <v>1710.6152000000006</v>
      </c>
      <c r="AD226" s="6">
        <f t="shared" si="13"/>
        <v>0</v>
      </c>
      <c r="AE226" s="6">
        <f ca="1">(L226-M226)*(Z226+AA226)+($Z$232+$AA$232-$Z$226-$AA$226)*(L226)</f>
        <v>1794.6529109080757</v>
      </c>
      <c r="AF226" s="4" t="s">
        <v>564</v>
      </c>
    </row>
    <row r="227" spans="1:32" ht="11.25" customHeight="1" x14ac:dyDescent="0.25">
      <c r="A227" s="4" t="s">
        <v>21</v>
      </c>
      <c r="B227" s="4" t="s">
        <v>22</v>
      </c>
      <c r="C227" s="4" t="s">
        <v>23</v>
      </c>
      <c r="D227" s="4" t="s">
        <v>24</v>
      </c>
      <c r="E227" s="4" t="s">
        <v>31</v>
      </c>
      <c r="F227" s="4" t="s">
        <v>25</v>
      </c>
      <c r="G227" s="4" t="s">
        <v>25</v>
      </c>
      <c r="H227" s="4" t="s">
        <v>25</v>
      </c>
      <c r="I227" s="5">
        <v>44682</v>
      </c>
      <c r="J227" s="6">
        <v>0</v>
      </c>
      <c r="K227" s="6">
        <v>0</v>
      </c>
      <c r="L227" s="6">
        <v>25.114999999999998</v>
      </c>
      <c r="M227" s="6">
        <v>25.114999999999998</v>
      </c>
      <c r="N227" s="6">
        <v>25.114999999999998</v>
      </c>
      <c r="O227" s="6">
        <v>25.114999999999998</v>
      </c>
      <c r="P227" s="6">
        <v>363</v>
      </c>
      <c r="Q227" s="4" t="s">
        <v>26</v>
      </c>
      <c r="R227" s="4">
        <v>0</v>
      </c>
      <c r="S227" s="4">
        <v>0</v>
      </c>
      <c r="T227" s="4">
        <v>8</v>
      </c>
      <c r="U227" s="4">
        <v>46</v>
      </c>
      <c r="V227" s="6">
        <f>IF(ISERROR(VLOOKUP($S$227,'TAR FIN'!$A$1:$O$88,15,0)),0,VLOOKUP($S$227,'TAR FIN'!$A$1:$O$88,15,0))</f>
        <v>0</v>
      </c>
      <c r="W227" s="6">
        <f>IF(ISERROR(VLOOKUP($T$227,'TAR FIN'!$A$1:$O$88,15,0)),0,VLOOKUP($T$227,'TAR FIN'!$A$1:$O$88,15,0))</f>
        <v>320.74</v>
      </c>
      <c r="X227" s="6">
        <f>IF(ISERROR(VLOOKUP($U$227,'TAR FIN'!$A$1:$O$88,15,0)),0,VLOOKUP($U$227,'TAR FIN'!$A$1:$O$88,15,0))</f>
        <v>227</v>
      </c>
      <c r="Y227" s="6"/>
      <c r="Z227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7" s="6">
        <f>('TE BE'!$AB$13+'TE BF'!$AB$13+'TE CVA'!$AB$13)*(1-CUSTOS!$M$36)</f>
        <v>226.73204601018975</v>
      </c>
      <c r="AB227" s="6">
        <f t="shared" si="12"/>
        <v>0</v>
      </c>
      <c r="AC227" s="6">
        <f>(L227-M227)*(W227+X227)+($W$232+$X$232-$W$227-$X$227)*(L227)</f>
        <v>1528.2477500000005</v>
      </c>
      <c r="AD227" s="6">
        <f t="shared" si="13"/>
        <v>0</v>
      </c>
      <c r="AE227" s="6">
        <f ca="1">(L227-M227)*(Z227+AA227)+($Z$232+$AA$232-$Z$227-$AA$227)*(L227)</f>
        <v>1603.3262612925555</v>
      </c>
      <c r="AF227" s="4" t="s">
        <v>564</v>
      </c>
    </row>
    <row r="228" spans="1:32" ht="11.25" customHeight="1" x14ac:dyDescent="0.25">
      <c r="A228" s="4" t="s">
        <v>27</v>
      </c>
      <c r="B228" s="4" t="s">
        <v>22</v>
      </c>
      <c r="C228" s="4" t="s">
        <v>23</v>
      </c>
      <c r="D228" s="4" t="s">
        <v>24</v>
      </c>
      <c r="E228" s="4" t="s">
        <v>31</v>
      </c>
      <c r="F228" s="4" t="s">
        <v>25</v>
      </c>
      <c r="G228" s="4" t="s">
        <v>25</v>
      </c>
      <c r="H228" s="4" t="s">
        <v>25</v>
      </c>
      <c r="I228" s="5">
        <v>44682</v>
      </c>
      <c r="J228" s="6">
        <v>0</v>
      </c>
      <c r="K228" s="6">
        <v>0</v>
      </c>
      <c r="L228" s="6">
        <v>-0.12</v>
      </c>
      <c r="M228" s="6">
        <v>-0.12</v>
      </c>
      <c r="N228" s="6">
        <v>-0.12</v>
      </c>
      <c r="O228" s="6">
        <v>-0.12</v>
      </c>
      <c r="P228" s="6">
        <v>0</v>
      </c>
      <c r="Q228" s="4" t="s">
        <v>26</v>
      </c>
      <c r="R228" s="4">
        <v>0</v>
      </c>
      <c r="S228" s="4">
        <v>0</v>
      </c>
      <c r="T228" s="4">
        <v>8</v>
      </c>
      <c r="U228" s="4">
        <v>46</v>
      </c>
      <c r="V228" s="6">
        <f>IF(ISERROR(VLOOKUP($S$228,'TAR FIN'!$A$1:$O$88,15,0)),0,VLOOKUP($S$228,'TAR FIN'!$A$1:$O$88,15,0))</f>
        <v>0</v>
      </c>
      <c r="W228" s="6">
        <f>IF(ISERROR(VLOOKUP($T$228,'TAR FIN'!$A$1:$O$88,15,0)),0,VLOOKUP($T$228,'TAR FIN'!$A$1:$O$88,15,0))</f>
        <v>320.74</v>
      </c>
      <c r="X228" s="6">
        <f>IF(ISERROR(VLOOKUP($U$228,'TAR FIN'!$A$1:$O$88,15,0)),0,VLOOKUP($U$228,'TAR FIN'!$A$1:$O$88,15,0))</f>
        <v>227</v>
      </c>
      <c r="Y228" s="6"/>
      <c r="Z228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8" s="6">
        <f>('TE BE'!$AB$13+'TE BF'!$AB$13+'TE CVA'!$AB$13)*(1-CUSTOS!$M$36)</f>
        <v>226.73204601018975</v>
      </c>
      <c r="AB228" s="6">
        <f t="shared" si="12"/>
        <v>0</v>
      </c>
      <c r="AC228" s="6">
        <f>(L228-M228)*(W228+X228)+($W$232+$X$232-$W$228-$X$228)*(L228)</f>
        <v>-7.3020000000000023</v>
      </c>
      <c r="AD228" s="6">
        <f t="shared" si="13"/>
        <v>0</v>
      </c>
      <c r="AE228" s="6">
        <f ca="1">(L228-M228)*(Z228+AA228)+($Z$232+$AA$232-$Z$228-$AA$228)*(L228)</f>
        <v>-7.6607267113321393</v>
      </c>
      <c r="AF228" s="4" t="s">
        <v>564</v>
      </c>
    </row>
    <row r="229" spans="1:32" ht="11.25" customHeight="1" x14ac:dyDescent="0.25">
      <c r="A229" s="4" t="s">
        <v>28</v>
      </c>
      <c r="B229" s="4" t="s">
        <v>22</v>
      </c>
      <c r="C229" s="4" t="s">
        <v>23</v>
      </c>
      <c r="D229" s="4" t="s">
        <v>24</v>
      </c>
      <c r="E229" s="4" t="s">
        <v>31</v>
      </c>
      <c r="F229" s="4" t="s">
        <v>25</v>
      </c>
      <c r="G229" s="4" t="s">
        <v>25</v>
      </c>
      <c r="H229" s="4" t="s">
        <v>25</v>
      </c>
      <c r="I229" s="5">
        <v>44682</v>
      </c>
      <c r="J229" s="6">
        <v>0</v>
      </c>
      <c r="K229" s="6">
        <v>0</v>
      </c>
      <c r="L229" s="6">
        <v>8.9999999999999993E-3</v>
      </c>
      <c r="M229" s="6">
        <v>8.9999999999999998E-4</v>
      </c>
      <c r="N229" s="6">
        <v>8.9999999999999993E-3</v>
      </c>
      <c r="O229" s="6">
        <v>8.9999999999999998E-4</v>
      </c>
      <c r="P229" s="6">
        <v>6</v>
      </c>
      <c r="Q229" s="4" t="s">
        <v>26</v>
      </c>
      <c r="R229" s="4">
        <v>0</v>
      </c>
      <c r="S229" s="4">
        <v>0</v>
      </c>
      <c r="T229" s="4">
        <v>8</v>
      </c>
      <c r="U229" s="4">
        <v>46</v>
      </c>
      <c r="V229" s="6">
        <f>IF(ISERROR(VLOOKUP($S$229,'TAR FIN'!$A$1:$O$88,15,0)),0,VLOOKUP($S$229,'TAR FIN'!$A$1:$O$88,15,0))</f>
        <v>0</v>
      </c>
      <c r="W229" s="6">
        <f>IF(ISERROR(VLOOKUP($T$229,'TAR FIN'!$A$1:$O$88,15,0)),0,VLOOKUP($T$229,'TAR FIN'!$A$1:$O$88,15,0))</f>
        <v>320.74</v>
      </c>
      <c r="X229" s="6">
        <f>IF(ISERROR(VLOOKUP($U$229,'TAR FIN'!$A$1:$O$88,15,0)),0,VLOOKUP($U$229,'TAR FIN'!$A$1:$O$88,15,0))</f>
        <v>227</v>
      </c>
      <c r="Y229" s="6"/>
      <c r="Z229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29" s="6">
        <f>('TE BE'!$AB$13+'TE BF'!$AB$13+'TE CVA'!$AB$13)*(1-CUSTOS!$M$36)</f>
        <v>226.73204601018975</v>
      </c>
      <c r="AB229" s="6">
        <f t="shared" si="12"/>
        <v>0</v>
      </c>
      <c r="AC229" s="6">
        <f>(L229-M229)*(W229+X229)+($W$232+$X$232-$W$229-$X$229)*(L229)</f>
        <v>4.9843440000000001</v>
      </c>
      <c r="AD229" s="6">
        <f t="shared" si="13"/>
        <v>0</v>
      </c>
      <c r="AE229" s="6">
        <f ca="1">(L229-M229)*(Z229+AA229)+($Z$232+$AA$232-$Z$229-$AA$229)*(L229)</f>
        <v>5.2284459804841878</v>
      </c>
      <c r="AF229" s="4" t="s">
        <v>564</v>
      </c>
    </row>
    <row r="230" spans="1:32" ht="11.25" customHeight="1" x14ac:dyDescent="0.25">
      <c r="A230" s="4" t="s">
        <v>21</v>
      </c>
      <c r="B230" s="4" t="s">
        <v>22</v>
      </c>
      <c r="C230" s="4" t="s">
        <v>23</v>
      </c>
      <c r="D230" s="4" t="s">
        <v>24</v>
      </c>
      <c r="E230" s="4" t="s">
        <v>31</v>
      </c>
      <c r="F230" s="4" t="s">
        <v>25</v>
      </c>
      <c r="G230" s="4" t="s">
        <v>25</v>
      </c>
      <c r="H230" s="4" t="s">
        <v>25</v>
      </c>
      <c r="I230" s="5">
        <v>44713</v>
      </c>
      <c r="J230" s="6">
        <v>0</v>
      </c>
      <c r="K230" s="6">
        <v>0</v>
      </c>
      <c r="L230" s="6">
        <v>23.856999999999999</v>
      </c>
      <c r="M230" s="6">
        <v>23.856999999999999</v>
      </c>
      <c r="N230" s="6">
        <v>23.856999999999999</v>
      </c>
      <c r="O230" s="6">
        <v>23.856999999999999</v>
      </c>
      <c r="P230" s="6">
        <v>344</v>
      </c>
      <c r="Q230" s="4" t="s">
        <v>26</v>
      </c>
      <c r="R230" s="4">
        <v>0</v>
      </c>
      <c r="S230" s="4">
        <v>0</v>
      </c>
      <c r="T230" s="4">
        <v>8</v>
      </c>
      <c r="U230" s="4">
        <v>46</v>
      </c>
      <c r="V230" s="6">
        <f>IF(ISERROR(VLOOKUP($S$230,'TAR FIN'!$A$1:$O$88,15,0)),0,VLOOKUP($S$230,'TAR FIN'!$A$1:$O$88,15,0))</f>
        <v>0</v>
      </c>
      <c r="W230" s="6">
        <f>IF(ISERROR(VLOOKUP($T$230,'TAR FIN'!$A$1:$O$88,15,0)),0,VLOOKUP($T$230,'TAR FIN'!$A$1:$O$88,15,0))</f>
        <v>320.74</v>
      </c>
      <c r="X230" s="6">
        <f>IF(ISERROR(VLOOKUP($U$230,'TAR FIN'!$A$1:$O$88,15,0)),0,VLOOKUP($U$230,'TAR FIN'!$A$1:$O$88,15,0))</f>
        <v>227</v>
      </c>
      <c r="Y230" s="6"/>
      <c r="Z230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30" s="6">
        <f>('TE BE'!$AB$13+'TE BF'!$AB$13+'TE CVA'!$AB$13)*(1-CUSTOS!$M$36)</f>
        <v>226.73204601018975</v>
      </c>
      <c r="AB230" s="6">
        <f t="shared" si="12"/>
        <v>0</v>
      </c>
      <c r="AC230" s="6">
        <f>(L230-M230)*(W230+X230)+($W$232+$X$232-$W$230-$X$230)*(L230)</f>
        <v>1451.6984500000005</v>
      </c>
      <c r="AD230" s="6">
        <f t="shared" si="13"/>
        <v>0</v>
      </c>
      <c r="AE230" s="6">
        <f ca="1">(L230-M230)*(Z230+AA230)+($Z$232+$AA$232-$Z$230-$AA$230)*(L230)</f>
        <v>1523.0163096020904</v>
      </c>
      <c r="AF230" s="4" t="s">
        <v>564</v>
      </c>
    </row>
    <row r="231" spans="1:32" ht="11.25" customHeight="1" x14ac:dyDescent="0.25">
      <c r="A231" s="4" t="s">
        <v>28</v>
      </c>
      <c r="B231" s="4" t="s">
        <v>22</v>
      </c>
      <c r="C231" s="4" t="s">
        <v>23</v>
      </c>
      <c r="D231" s="4" t="s">
        <v>24</v>
      </c>
      <c r="E231" s="4" t="s">
        <v>31</v>
      </c>
      <c r="F231" s="4" t="s">
        <v>25</v>
      </c>
      <c r="G231" s="4" t="s">
        <v>25</v>
      </c>
      <c r="H231" s="4" t="s">
        <v>25</v>
      </c>
      <c r="I231" s="5">
        <v>44713</v>
      </c>
      <c r="J231" s="6">
        <v>0</v>
      </c>
      <c r="K231" s="6">
        <v>0</v>
      </c>
      <c r="L231" s="6">
        <v>3.5999999999999997E-2</v>
      </c>
      <c r="M231" s="6">
        <v>0</v>
      </c>
      <c r="N231" s="6">
        <v>3.5999999999999997E-2</v>
      </c>
      <c r="O231" s="6">
        <v>0</v>
      </c>
      <c r="P231" s="6">
        <v>6</v>
      </c>
      <c r="Q231" s="4" t="s">
        <v>26</v>
      </c>
      <c r="R231" s="4">
        <v>0</v>
      </c>
      <c r="S231" s="4">
        <v>0</v>
      </c>
      <c r="T231" s="4">
        <v>8</v>
      </c>
      <c r="U231" s="4">
        <v>46</v>
      </c>
      <c r="V231" s="6">
        <f>IF(ISERROR(VLOOKUP($S$231,'TAR FIN'!$A$1:$O$88,15,0)),0,VLOOKUP($S$231,'TAR FIN'!$A$1:$O$88,15,0))</f>
        <v>0</v>
      </c>
      <c r="W231" s="6">
        <f>IF(ISERROR(VLOOKUP($T$231,'TAR FIN'!$A$1:$O$88,15,0)),0,VLOOKUP($T$231,'TAR FIN'!$A$1:$O$88,15,0))</f>
        <v>320.74</v>
      </c>
      <c r="X231" s="6">
        <f>IF(ISERROR(VLOOKUP($U$231,'TAR FIN'!$A$1:$O$88,15,0)),0,VLOOKUP($U$231,'TAR FIN'!$A$1:$O$88,15,0))</f>
        <v>227</v>
      </c>
      <c r="Y231" s="6"/>
      <c r="Z231" s="6">
        <f ca="1">('TUSD BE'!$AM$23+'TUSD BF'!$AM$23+'TUSD CVA'!$AM$23-('TUSD BE'!$P$23+'TUSD BF'!$P$23+'TUSD CVA'!$P$23)-('TUSD BE'!$Q$23+'TUSD BF'!$Q$23+'TUSD CVA'!$Q$23)-('TUSD BE'!$R$23+'TUSD BF'!$R$23+'TUSD CVA'!$R$23))*(1-CUSTOS!$M$36)</f>
        <v>347.8224573397211</v>
      </c>
      <c r="AA231" s="6">
        <f>('TE BE'!$AB$13+'TE BF'!$AB$13+'TE CVA'!$AB$13)*(1-CUSTOS!$M$36)</f>
        <v>226.73204601018975</v>
      </c>
      <c r="AB231" s="6">
        <f t="shared" si="12"/>
        <v>0</v>
      </c>
      <c r="AC231" s="6">
        <f>(L231-M231)*(W231+X231)+($W$232+$X$232-$W$231-$X$231)*(L231)</f>
        <v>21.90924</v>
      </c>
      <c r="AD231" s="6">
        <f t="shared" si="13"/>
        <v>0</v>
      </c>
      <c r="AE231" s="6">
        <f ca="1">(L231-M231)*(Z231+AA231)+($Z$232+$AA$232-$Z$231-$AA$231)*(L231)</f>
        <v>22.98218013399643</v>
      </c>
      <c r="AF231" s="4" t="s">
        <v>564</v>
      </c>
    </row>
    <row r="232" spans="1:32" ht="11.25" customHeight="1" x14ac:dyDescent="0.25">
      <c r="A232" s="4" t="s">
        <v>21</v>
      </c>
      <c r="B232" s="4" t="s">
        <v>22</v>
      </c>
      <c r="C232" s="4" t="s">
        <v>23</v>
      </c>
      <c r="D232" s="4" t="s">
        <v>24</v>
      </c>
      <c r="E232" s="4" t="s">
        <v>32</v>
      </c>
      <c r="F232" s="4" t="s">
        <v>25</v>
      </c>
      <c r="G232" s="4" t="s">
        <v>25</v>
      </c>
      <c r="H232" s="4" t="s">
        <v>25</v>
      </c>
      <c r="I232" s="5">
        <v>44378</v>
      </c>
      <c r="J232" s="6">
        <v>0</v>
      </c>
      <c r="K232" s="6">
        <v>0</v>
      </c>
      <c r="L232" s="6">
        <v>1.22</v>
      </c>
      <c r="M232" s="6">
        <v>1.22</v>
      </c>
      <c r="N232" s="6">
        <v>1.22</v>
      </c>
      <c r="O232" s="6">
        <v>1.22</v>
      </c>
      <c r="P232" s="6">
        <v>24</v>
      </c>
      <c r="Q232" s="4" t="s">
        <v>26</v>
      </c>
      <c r="R232" s="4">
        <v>0</v>
      </c>
      <c r="S232" s="4">
        <v>0</v>
      </c>
      <c r="T232" s="4">
        <v>14</v>
      </c>
      <c r="U232" s="4">
        <v>86</v>
      </c>
      <c r="V232" s="6">
        <f>IF(ISERROR(VLOOKUP($S$232,'TAR FIN'!$A$1:$O$88,15,0)),0,VLOOKUP($S$232,'TAR FIN'!$A$1:$O$88,15,0))</f>
        <v>0</v>
      </c>
      <c r="W232" s="6">
        <f>IF(ISERROR(VLOOKUP($T$232,'TAR FIN'!$A$1:$O$88,15,0)),0,VLOOKUP($T$232,'TAR FIN'!$A$1:$O$88,15,0))</f>
        <v>356.37</v>
      </c>
      <c r="X232" s="6">
        <f>IF(ISERROR(VLOOKUP($U$232,'TAR FIN'!$A$1:$O$88,15,0)),0,VLOOKUP($U$232,'TAR FIN'!$A$1:$O$88,15,0))</f>
        <v>252.22</v>
      </c>
      <c r="Y232" s="6"/>
      <c r="Z232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32" s="6">
        <f>('TE BE'!$AB$14+'TE BF'!$AB$14+'TE CVA'!$AB$14)*(1-CUSTOS!$M$37)</f>
        <v>251.92449556687748</v>
      </c>
      <c r="AB232" s="6">
        <f t="shared" si="12"/>
        <v>0</v>
      </c>
      <c r="AC232" s="6">
        <f>(L232-M232)*(W232+X232)+($W$232+$X$232-$W$232-$X$232)*(L232)</f>
        <v>3.4674485505092888E-14</v>
      </c>
      <c r="AD232" s="6">
        <f t="shared" si="13"/>
        <v>0</v>
      </c>
      <c r="AE232" s="6">
        <f ca="1">(L232-M232)*(Z232+AA232)+($Z$232+$AA$232-$Z$232-$AA$232)*(L232)</f>
        <v>-3.4674485505092888E-14</v>
      </c>
      <c r="AF232" s="4" t="s">
        <v>564</v>
      </c>
    </row>
    <row r="233" spans="1:32" ht="11.25" customHeight="1" x14ac:dyDescent="0.25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32</v>
      </c>
      <c r="F233" s="4" t="s">
        <v>25</v>
      </c>
      <c r="G233" s="4" t="s">
        <v>25</v>
      </c>
      <c r="H233" s="4" t="s">
        <v>25</v>
      </c>
      <c r="I233" s="5">
        <v>44409</v>
      </c>
      <c r="J233" s="6">
        <v>0</v>
      </c>
      <c r="K233" s="6">
        <v>0</v>
      </c>
      <c r="L233" s="6">
        <v>1.6419999999999999</v>
      </c>
      <c r="M233" s="6">
        <v>1.6419999999999999</v>
      </c>
      <c r="N233" s="6">
        <v>1.6419999999999999</v>
      </c>
      <c r="O233" s="6">
        <v>1.6419999999999999</v>
      </c>
      <c r="P233" s="6">
        <v>29</v>
      </c>
      <c r="Q233" s="4" t="s">
        <v>26</v>
      </c>
      <c r="R233" s="4">
        <v>0</v>
      </c>
      <c r="S233" s="4">
        <v>0</v>
      </c>
      <c r="T233" s="4">
        <v>14</v>
      </c>
      <c r="U233" s="4">
        <v>86</v>
      </c>
      <c r="V233" s="6">
        <f>IF(ISERROR(VLOOKUP($S$233,'TAR FIN'!$A$1:$O$88,15,0)),0,VLOOKUP($S$233,'TAR FIN'!$A$1:$O$88,15,0))</f>
        <v>0</v>
      </c>
      <c r="W233" s="6">
        <f>IF(ISERROR(VLOOKUP($T$233,'TAR FIN'!$A$1:$O$88,15,0)),0,VLOOKUP($T$233,'TAR FIN'!$A$1:$O$88,15,0))</f>
        <v>356.37</v>
      </c>
      <c r="X233" s="6">
        <f>IF(ISERROR(VLOOKUP($U$233,'TAR FIN'!$A$1:$O$88,15,0)),0,VLOOKUP($U$233,'TAR FIN'!$A$1:$O$88,15,0))</f>
        <v>252.22</v>
      </c>
      <c r="Y233" s="6"/>
      <c r="Z233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33" s="6">
        <f>('TE BE'!$AB$14+'TE BF'!$AB$14+'TE CVA'!$AB$14)*(1-CUSTOS!$M$37)</f>
        <v>251.92449556687748</v>
      </c>
      <c r="AB233" s="6">
        <f t="shared" si="12"/>
        <v>0</v>
      </c>
      <c r="AC233" s="6">
        <f>(L233-M233)*(W233+X233)+($W$232+$X$232-$W$233-$X$233)*(L233)</f>
        <v>4.6668446884723377E-14</v>
      </c>
      <c r="AD233" s="6">
        <f t="shared" si="13"/>
        <v>0</v>
      </c>
      <c r="AE233" s="6">
        <f ca="1">(L233-M233)*(Z233+AA233)+($Z$232+$AA$232-$Z$233-$AA$233)*(L233)</f>
        <v>-4.6668446884723377E-14</v>
      </c>
      <c r="AF233" s="4" t="s">
        <v>564</v>
      </c>
    </row>
    <row r="234" spans="1:32" ht="11.25" customHeight="1" x14ac:dyDescent="0.25">
      <c r="A234" s="4" t="s">
        <v>21</v>
      </c>
      <c r="B234" s="4" t="s">
        <v>22</v>
      </c>
      <c r="C234" s="4" t="s">
        <v>23</v>
      </c>
      <c r="D234" s="4" t="s">
        <v>24</v>
      </c>
      <c r="E234" s="4" t="s">
        <v>32</v>
      </c>
      <c r="F234" s="4" t="s">
        <v>25</v>
      </c>
      <c r="G234" s="4" t="s">
        <v>25</v>
      </c>
      <c r="H234" s="4" t="s">
        <v>25</v>
      </c>
      <c r="I234" s="5">
        <v>44440</v>
      </c>
      <c r="J234" s="6">
        <v>0</v>
      </c>
      <c r="K234" s="6">
        <v>0</v>
      </c>
      <c r="L234" s="6">
        <v>2.2559999999999998</v>
      </c>
      <c r="M234" s="6">
        <v>2.2559999999999998</v>
      </c>
      <c r="N234" s="6">
        <v>2.2559999999999998</v>
      </c>
      <c r="O234" s="6">
        <v>2.2559999999999998</v>
      </c>
      <c r="P234" s="6">
        <v>27</v>
      </c>
      <c r="Q234" s="4" t="s">
        <v>26</v>
      </c>
      <c r="R234" s="4">
        <v>0</v>
      </c>
      <c r="S234" s="4">
        <v>0</v>
      </c>
      <c r="T234" s="4">
        <v>14</v>
      </c>
      <c r="U234" s="4">
        <v>86</v>
      </c>
      <c r="V234" s="6">
        <f>IF(ISERROR(VLOOKUP($S$234,'TAR FIN'!$A$1:$O$88,15,0)),0,VLOOKUP($S$234,'TAR FIN'!$A$1:$O$88,15,0))</f>
        <v>0</v>
      </c>
      <c r="W234" s="6">
        <f>IF(ISERROR(VLOOKUP($T$234,'TAR FIN'!$A$1:$O$88,15,0)),0,VLOOKUP($T$234,'TAR FIN'!$A$1:$O$88,15,0))</f>
        <v>356.37</v>
      </c>
      <c r="X234" s="6">
        <f>IF(ISERROR(VLOOKUP($U$234,'TAR FIN'!$A$1:$O$88,15,0)),0,VLOOKUP($U$234,'TAR FIN'!$A$1:$O$88,15,0))</f>
        <v>252.22</v>
      </c>
      <c r="Y234" s="6"/>
      <c r="Z234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34" s="6">
        <f>('TE BE'!$AB$14+'TE BF'!$AB$14+'TE CVA'!$AB$14)*(1-CUSTOS!$M$37)</f>
        <v>251.92449556687748</v>
      </c>
      <c r="AB234" s="6">
        <f t="shared" si="12"/>
        <v>0</v>
      </c>
      <c r="AC234" s="6">
        <f>(L234-M234)*(W234+X234)+($W$232+$X$232-$W$234-$X$234)*(L234)</f>
        <v>6.4119376474991435E-14</v>
      </c>
      <c r="AD234" s="6">
        <f t="shared" si="13"/>
        <v>0</v>
      </c>
      <c r="AE234" s="6">
        <f ca="1">(L234-M234)*(Z234+AA234)+($Z$232+$AA$232-$Z$234-$AA$234)*(L234)</f>
        <v>-6.4119376474991435E-14</v>
      </c>
      <c r="AF234" s="4" t="s">
        <v>564</v>
      </c>
    </row>
    <row r="235" spans="1:32" ht="11.25" customHeight="1" x14ac:dyDescent="0.25">
      <c r="A235" s="4" t="s">
        <v>21</v>
      </c>
      <c r="B235" s="4" t="s">
        <v>22</v>
      </c>
      <c r="C235" s="4" t="s">
        <v>23</v>
      </c>
      <c r="D235" s="4" t="s">
        <v>24</v>
      </c>
      <c r="E235" s="4" t="s">
        <v>32</v>
      </c>
      <c r="F235" s="4" t="s">
        <v>25</v>
      </c>
      <c r="G235" s="4" t="s">
        <v>25</v>
      </c>
      <c r="H235" s="4" t="s">
        <v>25</v>
      </c>
      <c r="I235" s="5">
        <v>44470</v>
      </c>
      <c r="J235" s="6">
        <v>0</v>
      </c>
      <c r="K235" s="6">
        <v>0</v>
      </c>
      <c r="L235" s="6">
        <v>1.8440000000000001</v>
      </c>
      <c r="M235" s="6">
        <v>1.8440000000000001</v>
      </c>
      <c r="N235" s="6">
        <v>1.8440000000000001</v>
      </c>
      <c r="O235" s="6">
        <v>1.8440000000000001</v>
      </c>
      <c r="P235" s="6">
        <v>30</v>
      </c>
      <c r="Q235" s="4" t="s">
        <v>26</v>
      </c>
      <c r="R235" s="4">
        <v>0</v>
      </c>
      <c r="S235" s="4">
        <v>0</v>
      </c>
      <c r="T235" s="4">
        <v>14</v>
      </c>
      <c r="U235" s="4">
        <v>86</v>
      </c>
      <c r="V235" s="6">
        <f>IF(ISERROR(VLOOKUP($S$235,'TAR FIN'!$A$1:$O$88,15,0)),0,VLOOKUP($S$235,'TAR FIN'!$A$1:$O$88,15,0))</f>
        <v>0</v>
      </c>
      <c r="W235" s="6">
        <f>IF(ISERROR(VLOOKUP($T$235,'TAR FIN'!$A$1:$O$88,15,0)),0,VLOOKUP($T$235,'TAR FIN'!$A$1:$O$88,15,0))</f>
        <v>356.37</v>
      </c>
      <c r="X235" s="6">
        <f>IF(ISERROR(VLOOKUP($U$235,'TAR FIN'!$A$1:$O$88,15,0)),0,VLOOKUP($U$235,'TAR FIN'!$A$1:$O$88,15,0))</f>
        <v>252.22</v>
      </c>
      <c r="Y235" s="6"/>
      <c r="Z235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35" s="6">
        <f>('TE BE'!$AB$14+'TE BF'!$AB$14+'TE CVA'!$AB$14)*(1-CUSTOS!$M$37)</f>
        <v>251.92449556687748</v>
      </c>
      <c r="AB235" s="6">
        <f t="shared" si="12"/>
        <v>0</v>
      </c>
      <c r="AC235" s="6">
        <f>(L235-M235)*(W235+X235)+($W$232+$X$232-$W$235-$X$235)*(L235)</f>
        <v>5.2409632189664992E-14</v>
      </c>
      <c r="AD235" s="6">
        <f t="shared" si="13"/>
        <v>0</v>
      </c>
      <c r="AE235" s="6">
        <f ca="1">(L235-M235)*(Z235+AA235)+($Z$232+$AA$232-$Z$235-$AA$235)*(L235)</f>
        <v>-5.2409632189664992E-14</v>
      </c>
      <c r="AF235" s="4" t="s">
        <v>564</v>
      </c>
    </row>
    <row r="236" spans="1:32" ht="11.25" customHeight="1" x14ac:dyDescent="0.25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32</v>
      </c>
      <c r="F236" s="4" t="s">
        <v>25</v>
      </c>
      <c r="G236" s="4" t="s">
        <v>25</v>
      </c>
      <c r="H236" s="4" t="s">
        <v>25</v>
      </c>
      <c r="I236" s="5">
        <v>44501</v>
      </c>
      <c r="J236" s="6">
        <v>0</v>
      </c>
      <c r="K236" s="6">
        <v>0</v>
      </c>
      <c r="L236" s="6">
        <v>3.5609999999999999</v>
      </c>
      <c r="M236" s="6">
        <v>3.5609999999999999</v>
      </c>
      <c r="N236" s="6">
        <v>3.5609999999999999</v>
      </c>
      <c r="O236" s="6">
        <v>3.5609999999999999</v>
      </c>
      <c r="P236" s="6">
        <v>50</v>
      </c>
      <c r="Q236" s="4" t="s">
        <v>26</v>
      </c>
      <c r="R236" s="4">
        <v>0</v>
      </c>
      <c r="S236" s="4">
        <v>0</v>
      </c>
      <c r="T236" s="4">
        <v>14</v>
      </c>
      <c r="U236" s="4">
        <v>86</v>
      </c>
      <c r="V236" s="6">
        <f>IF(ISERROR(VLOOKUP($S$236,'TAR FIN'!$A$1:$O$88,15,0)),0,VLOOKUP($S$236,'TAR FIN'!$A$1:$O$88,15,0))</f>
        <v>0</v>
      </c>
      <c r="W236" s="6">
        <f>IF(ISERROR(VLOOKUP($T$236,'TAR FIN'!$A$1:$O$88,15,0)),0,VLOOKUP($T$236,'TAR FIN'!$A$1:$O$88,15,0))</f>
        <v>356.37</v>
      </c>
      <c r="X236" s="6">
        <f>IF(ISERROR(VLOOKUP($U$236,'TAR FIN'!$A$1:$O$88,15,0)),0,VLOOKUP($U$236,'TAR FIN'!$A$1:$O$88,15,0))</f>
        <v>252.22</v>
      </c>
      <c r="Y236" s="6"/>
      <c r="Z236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36" s="6">
        <f>('TE BE'!$AB$14+'TE BF'!$AB$14+'TE CVA'!$AB$14)*(1-CUSTOS!$M$37)</f>
        <v>251.92449556687748</v>
      </c>
      <c r="AB236" s="6">
        <f t="shared" si="12"/>
        <v>0</v>
      </c>
      <c r="AC236" s="6">
        <f>(L236-M236)*(W236+X236)+($W$232+$X$232-$W$236-$X$236)*(L236)</f>
        <v>1.0120970728166867E-13</v>
      </c>
      <c r="AD236" s="6">
        <f t="shared" si="13"/>
        <v>0</v>
      </c>
      <c r="AE236" s="6">
        <f ca="1">(L236-M236)*(Z236+AA236)+($Z$232+$AA$232-$Z$236-$AA$236)*(L236)</f>
        <v>-1.0120970728166867E-13</v>
      </c>
      <c r="AF236" s="4" t="s">
        <v>564</v>
      </c>
    </row>
    <row r="237" spans="1:32" ht="11.25" customHeight="1" x14ac:dyDescent="0.25">
      <c r="A237" s="4" t="s">
        <v>21</v>
      </c>
      <c r="B237" s="4" t="s">
        <v>22</v>
      </c>
      <c r="C237" s="4" t="s">
        <v>23</v>
      </c>
      <c r="D237" s="4" t="s">
        <v>24</v>
      </c>
      <c r="E237" s="4" t="s">
        <v>32</v>
      </c>
      <c r="F237" s="4" t="s">
        <v>25</v>
      </c>
      <c r="G237" s="4" t="s">
        <v>25</v>
      </c>
      <c r="H237" s="4" t="s">
        <v>25</v>
      </c>
      <c r="I237" s="5">
        <v>44531</v>
      </c>
      <c r="J237" s="6">
        <v>0</v>
      </c>
      <c r="K237" s="6">
        <v>0</v>
      </c>
      <c r="L237" s="6">
        <v>4.069</v>
      </c>
      <c r="M237" s="6">
        <v>4.069</v>
      </c>
      <c r="N237" s="6">
        <v>4.069</v>
      </c>
      <c r="O237" s="6">
        <v>4.069</v>
      </c>
      <c r="P237" s="6">
        <v>46</v>
      </c>
      <c r="Q237" s="4" t="s">
        <v>26</v>
      </c>
      <c r="R237" s="4">
        <v>0</v>
      </c>
      <c r="S237" s="4">
        <v>0</v>
      </c>
      <c r="T237" s="4">
        <v>14</v>
      </c>
      <c r="U237" s="4">
        <v>86</v>
      </c>
      <c r="V237" s="6">
        <f>IF(ISERROR(VLOOKUP($S$237,'TAR FIN'!$A$1:$O$88,15,0)),0,VLOOKUP($S$237,'TAR FIN'!$A$1:$O$88,15,0))</f>
        <v>0</v>
      </c>
      <c r="W237" s="6">
        <f>IF(ISERROR(VLOOKUP($T$237,'TAR FIN'!$A$1:$O$88,15,0)),0,VLOOKUP($T$237,'TAR FIN'!$A$1:$O$88,15,0))</f>
        <v>356.37</v>
      </c>
      <c r="X237" s="6">
        <f>IF(ISERROR(VLOOKUP($U$237,'TAR FIN'!$A$1:$O$88,15,0)),0,VLOOKUP($U$237,'TAR FIN'!$A$1:$O$88,15,0))</f>
        <v>252.22</v>
      </c>
      <c r="Y237" s="6"/>
      <c r="Z237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37" s="6">
        <f>('TE BE'!$AB$14+'TE BF'!$AB$14+'TE CVA'!$AB$14)*(1-CUSTOS!$M$37)</f>
        <v>251.92449556687748</v>
      </c>
      <c r="AB237" s="6">
        <f t="shared" si="12"/>
        <v>0</v>
      </c>
      <c r="AC237" s="6">
        <f>(L237-M237)*(W237+X237)+($W$232+$X$232-$W$237-$X$237)*(L237)</f>
        <v>1.156479356723139E-13</v>
      </c>
      <c r="AD237" s="6">
        <f t="shared" si="13"/>
        <v>0</v>
      </c>
      <c r="AE237" s="6">
        <f ca="1">(L237-M237)*(Z237+AA237)+($Z$232+$AA$232-$Z$237-$AA$237)*(L237)</f>
        <v>-1.156479356723139E-13</v>
      </c>
      <c r="AF237" s="4" t="s">
        <v>564</v>
      </c>
    </row>
    <row r="238" spans="1:32" ht="11.25" customHeight="1" x14ac:dyDescent="0.25">
      <c r="A238" s="4" t="s">
        <v>21</v>
      </c>
      <c r="B238" s="4" t="s">
        <v>22</v>
      </c>
      <c r="C238" s="4" t="s">
        <v>23</v>
      </c>
      <c r="D238" s="4" t="s">
        <v>24</v>
      </c>
      <c r="E238" s="4" t="s">
        <v>32</v>
      </c>
      <c r="F238" s="4" t="s">
        <v>25</v>
      </c>
      <c r="G238" s="4" t="s">
        <v>25</v>
      </c>
      <c r="H238" s="4" t="s">
        <v>25</v>
      </c>
      <c r="I238" s="5">
        <v>44562</v>
      </c>
      <c r="J238" s="6">
        <v>0</v>
      </c>
      <c r="K238" s="6">
        <v>0</v>
      </c>
      <c r="L238" s="6">
        <v>8.1270000000000007</v>
      </c>
      <c r="M238" s="6">
        <v>8.1270000000000007</v>
      </c>
      <c r="N238" s="6">
        <v>8.1270000000000007</v>
      </c>
      <c r="O238" s="6">
        <v>8.1270000000000007</v>
      </c>
      <c r="P238" s="6">
        <v>74</v>
      </c>
      <c r="Q238" s="4" t="s">
        <v>26</v>
      </c>
      <c r="R238" s="4">
        <v>0</v>
      </c>
      <c r="S238" s="4">
        <v>0</v>
      </c>
      <c r="T238" s="4">
        <v>14</v>
      </c>
      <c r="U238" s="4">
        <v>86</v>
      </c>
      <c r="V238" s="6">
        <f>IF(ISERROR(VLOOKUP($S$238,'TAR FIN'!$A$1:$O$88,15,0)),0,VLOOKUP($S$238,'TAR FIN'!$A$1:$O$88,15,0))</f>
        <v>0</v>
      </c>
      <c r="W238" s="6">
        <f>IF(ISERROR(VLOOKUP($T$238,'TAR FIN'!$A$1:$O$88,15,0)),0,VLOOKUP($T$238,'TAR FIN'!$A$1:$O$88,15,0))</f>
        <v>356.37</v>
      </c>
      <c r="X238" s="6">
        <f>IF(ISERROR(VLOOKUP($U$238,'TAR FIN'!$A$1:$O$88,15,0)),0,VLOOKUP($U$238,'TAR FIN'!$A$1:$O$88,15,0))</f>
        <v>252.22</v>
      </c>
      <c r="Y238" s="6"/>
      <c r="Z238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38" s="6">
        <f>('TE BE'!$AB$14+'TE BF'!$AB$14+'TE CVA'!$AB$14)*(1-CUSTOS!$M$37)</f>
        <v>251.92449556687748</v>
      </c>
      <c r="AB238" s="6">
        <f t="shared" si="12"/>
        <v>0</v>
      </c>
      <c r="AC238" s="6">
        <f>(L238-M238)*(W238+X238)+($W$232+$X$232-$W$238-$X$238)*(L238)</f>
        <v>2.3098323254089339E-13</v>
      </c>
      <c r="AD238" s="6">
        <f t="shared" si="13"/>
        <v>0</v>
      </c>
      <c r="AE238" s="6">
        <f ca="1">(L238-M238)*(Z238+AA238)+($Z$232+$AA$232-$Z$238-$AA$238)*(L238)</f>
        <v>-2.3098323254089339E-13</v>
      </c>
      <c r="AF238" s="4" t="s">
        <v>564</v>
      </c>
    </row>
    <row r="239" spans="1:32" ht="11.25" customHeight="1" x14ac:dyDescent="0.25">
      <c r="A239" s="4" t="s">
        <v>28</v>
      </c>
      <c r="B239" s="4" t="s">
        <v>22</v>
      </c>
      <c r="C239" s="4" t="s">
        <v>23</v>
      </c>
      <c r="D239" s="4" t="s">
        <v>24</v>
      </c>
      <c r="E239" s="4" t="s">
        <v>32</v>
      </c>
      <c r="F239" s="4" t="s">
        <v>25</v>
      </c>
      <c r="G239" s="4" t="s">
        <v>25</v>
      </c>
      <c r="H239" s="4" t="s">
        <v>25</v>
      </c>
      <c r="I239" s="5">
        <v>44562</v>
      </c>
      <c r="J239" s="6">
        <v>0</v>
      </c>
      <c r="K239" s="6">
        <v>0</v>
      </c>
      <c r="L239" s="6">
        <v>0.27900000000000003</v>
      </c>
      <c r="M239" s="6">
        <v>0.27900000000000003</v>
      </c>
      <c r="N239" s="6">
        <v>0.27900000000000003</v>
      </c>
      <c r="O239" s="6">
        <v>0.27900000000000003</v>
      </c>
      <c r="P239" s="6">
        <v>3</v>
      </c>
      <c r="Q239" s="4" t="s">
        <v>26</v>
      </c>
      <c r="R239" s="4">
        <v>0</v>
      </c>
      <c r="S239" s="4">
        <v>0</v>
      </c>
      <c r="T239" s="4">
        <v>14</v>
      </c>
      <c r="U239" s="4">
        <v>86</v>
      </c>
      <c r="V239" s="6">
        <f>IF(ISERROR(VLOOKUP($S$239,'TAR FIN'!$A$1:$O$88,15,0)),0,VLOOKUP($S$239,'TAR FIN'!$A$1:$O$88,15,0))</f>
        <v>0</v>
      </c>
      <c r="W239" s="6">
        <f>IF(ISERROR(VLOOKUP($T$239,'TAR FIN'!$A$1:$O$88,15,0)),0,VLOOKUP($T$239,'TAR FIN'!$A$1:$O$88,15,0))</f>
        <v>356.37</v>
      </c>
      <c r="X239" s="6">
        <f>IF(ISERROR(VLOOKUP($U$239,'TAR FIN'!$A$1:$O$88,15,0)),0,VLOOKUP($U$239,'TAR FIN'!$A$1:$O$88,15,0))</f>
        <v>252.22</v>
      </c>
      <c r="Y239" s="6"/>
      <c r="Z239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39" s="6">
        <f>('TE BE'!$AB$14+'TE BF'!$AB$14+'TE CVA'!$AB$14)*(1-CUSTOS!$M$37)</f>
        <v>251.92449556687748</v>
      </c>
      <c r="AB239" s="6">
        <f t="shared" si="12"/>
        <v>0</v>
      </c>
      <c r="AC239" s="6">
        <f>(L239-M239)*(W239+X239)+($W$232+$X$232-$W$239-$X$239)*(L239)</f>
        <v>7.9296569310827188E-15</v>
      </c>
      <c r="AD239" s="6">
        <f t="shared" si="13"/>
        <v>0</v>
      </c>
      <c r="AE239" s="6">
        <f ca="1">(L239-M239)*(Z239+AA239)+($Z$232+$AA$232-$Z$239-$AA$239)*(L239)</f>
        <v>-7.9296569310827188E-15</v>
      </c>
      <c r="AF239" s="4" t="s">
        <v>564</v>
      </c>
    </row>
    <row r="240" spans="1:32" ht="11.25" customHeight="1" x14ac:dyDescent="0.25">
      <c r="A240" s="4" t="s">
        <v>21</v>
      </c>
      <c r="B240" s="4" t="s">
        <v>22</v>
      </c>
      <c r="C240" s="4" t="s">
        <v>23</v>
      </c>
      <c r="D240" s="4" t="s">
        <v>24</v>
      </c>
      <c r="E240" s="4" t="s">
        <v>32</v>
      </c>
      <c r="F240" s="4" t="s">
        <v>25</v>
      </c>
      <c r="G240" s="4" t="s">
        <v>25</v>
      </c>
      <c r="H240" s="4" t="s">
        <v>25</v>
      </c>
      <c r="I240" s="5">
        <v>44593</v>
      </c>
      <c r="J240" s="6">
        <v>0</v>
      </c>
      <c r="K240" s="6">
        <v>0</v>
      </c>
      <c r="L240" s="6">
        <v>8.9809999999999999</v>
      </c>
      <c r="M240" s="6">
        <v>8.9809999999999999</v>
      </c>
      <c r="N240" s="6">
        <v>8.9809999999999999</v>
      </c>
      <c r="O240" s="6">
        <v>8.9809999999999999</v>
      </c>
      <c r="P240" s="6">
        <v>95</v>
      </c>
      <c r="Q240" s="4" t="s">
        <v>26</v>
      </c>
      <c r="R240" s="4">
        <v>0</v>
      </c>
      <c r="S240" s="4">
        <v>0</v>
      </c>
      <c r="T240" s="4">
        <v>14</v>
      </c>
      <c r="U240" s="4">
        <v>86</v>
      </c>
      <c r="V240" s="6">
        <f>IF(ISERROR(VLOOKUP($S$240,'TAR FIN'!$A$1:$O$88,15,0)),0,VLOOKUP($S$240,'TAR FIN'!$A$1:$O$88,15,0))</f>
        <v>0</v>
      </c>
      <c r="W240" s="6">
        <f>IF(ISERROR(VLOOKUP($T$240,'TAR FIN'!$A$1:$O$88,15,0)),0,VLOOKUP($T$240,'TAR FIN'!$A$1:$O$88,15,0))</f>
        <v>356.37</v>
      </c>
      <c r="X240" s="6">
        <f>IF(ISERROR(VLOOKUP($U$240,'TAR FIN'!$A$1:$O$88,15,0)),0,VLOOKUP($U$240,'TAR FIN'!$A$1:$O$88,15,0))</f>
        <v>252.22</v>
      </c>
      <c r="Y240" s="6"/>
      <c r="Z240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40" s="6">
        <f>('TE BE'!$AB$14+'TE BF'!$AB$14+'TE CVA'!$AB$14)*(1-CUSTOS!$M$37)</f>
        <v>251.92449556687748</v>
      </c>
      <c r="AB240" s="6">
        <f t="shared" si="12"/>
        <v>0</v>
      </c>
      <c r="AC240" s="6">
        <f>(L240-M240)*(W240+X240)+($W$232+$X$232-$W$240-$X$240)*(L240)</f>
        <v>2.5525537239445839E-13</v>
      </c>
      <c r="AD240" s="6">
        <f t="shared" si="13"/>
        <v>0</v>
      </c>
      <c r="AE240" s="6">
        <f ca="1">(L240-M240)*(Z240+AA240)+($Z$232+$AA$232-$Z$240-$AA$240)*(L240)</f>
        <v>-2.5525537239445839E-13</v>
      </c>
      <c r="AF240" s="4" t="s">
        <v>564</v>
      </c>
    </row>
    <row r="241" spans="1:32" ht="11.25" customHeight="1" x14ac:dyDescent="0.25">
      <c r="A241" s="4" t="s">
        <v>28</v>
      </c>
      <c r="B241" s="4" t="s">
        <v>22</v>
      </c>
      <c r="C241" s="4" t="s">
        <v>23</v>
      </c>
      <c r="D241" s="4" t="s">
        <v>24</v>
      </c>
      <c r="E241" s="4" t="s">
        <v>32</v>
      </c>
      <c r="F241" s="4" t="s">
        <v>25</v>
      </c>
      <c r="G241" s="4" t="s">
        <v>25</v>
      </c>
      <c r="H241" s="4" t="s">
        <v>25</v>
      </c>
      <c r="I241" s="5">
        <v>44593</v>
      </c>
      <c r="J241" s="6">
        <v>0</v>
      </c>
      <c r="K241" s="6">
        <v>0</v>
      </c>
      <c r="L241" s="6">
        <v>7.6999999999999999E-2</v>
      </c>
      <c r="M241" s="6">
        <v>7.6999999999999999E-2</v>
      </c>
      <c r="N241" s="6">
        <v>7.6999999999999999E-2</v>
      </c>
      <c r="O241" s="6">
        <v>7.6999999999999999E-2</v>
      </c>
      <c r="P241" s="6">
        <v>3</v>
      </c>
      <c r="Q241" s="4" t="s">
        <v>26</v>
      </c>
      <c r="R241" s="4">
        <v>0</v>
      </c>
      <c r="S241" s="4">
        <v>0</v>
      </c>
      <c r="T241" s="4">
        <v>14</v>
      </c>
      <c r="U241" s="4">
        <v>86</v>
      </c>
      <c r="V241" s="6">
        <f>IF(ISERROR(VLOOKUP($S$241,'TAR FIN'!$A$1:$O$88,15,0)),0,VLOOKUP($S$241,'TAR FIN'!$A$1:$O$88,15,0))</f>
        <v>0</v>
      </c>
      <c r="W241" s="6">
        <f>IF(ISERROR(VLOOKUP($T$241,'TAR FIN'!$A$1:$O$88,15,0)),0,VLOOKUP($T$241,'TAR FIN'!$A$1:$O$88,15,0))</f>
        <v>356.37</v>
      </c>
      <c r="X241" s="6">
        <f>IF(ISERROR(VLOOKUP($U$241,'TAR FIN'!$A$1:$O$88,15,0)),0,VLOOKUP($U$241,'TAR FIN'!$A$1:$O$88,15,0))</f>
        <v>252.22</v>
      </c>
      <c r="Y241" s="6"/>
      <c r="Z241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41" s="6">
        <f>('TE BE'!$AB$14+'TE BF'!$AB$14+'TE CVA'!$AB$14)*(1-CUSTOS!$M$37)</f>
        <v>251.92449556687748</v>
      </c>
      <c r="AB241" s="6">
        <f t="shared" si="12"/>
        <v>0</v>
      </c>
      <c r="AC241" s="6">
        <f>(L241-M241)*(W241+X241)+($W$232+$X$232-$W$241-$X$241)*(L241)</f>
        <v>2.1884716261411085E-15</v>
      </c>
      <c r="AD241" s="6">
        <f t="shared" si="13"/>
        <v>0</v>
      </c>
      <c r="AE241" s="6">
        <f ca="1">(L241-M241)*(Z241+AA241)+($Z$232+$AA$232-$Z$241-$AA$241)*(L241)</f>
        <v>-2.1884716261411085E-15</v>
      </c>
      <c r="AF241" s="4" t="s">
        <v>564</v>
      </c>
    </row>
    <row r="242" spans="1:32" ht="11.25" customHeight="1" x14ac:dyDescent="0.25">
      <c r="A242" s="4" t="s">
        <v>21</v>
      </c>
      <c r="B242" s="4" t="s">
        <v>22</v>
      </c>
      <c r="C242" s="4" t="s">
        <v>23</v>
      </c>
      <c r="D242" s="4" t="s">
        <v>24</v>
      </c>
      <c r="E242" s="4" t="s">
        <v>32</v>
      </c>
      <c r="F242" s="4" t="s">
        <v>25</v>
      </c>
      <c r="G242" s="4" t="s">
        <v>25</v>
      </c>
      <c r="H242" s="4" t="s">
        <v>25</v>
      </c>
      <c r="I242" s="5">
        <v>44621</v>
      </c>
      <c r="J242" s="6">
        <v>0</v>
      </c>
      <c r="K242" s="6">
        <v>0</v>
      </c>
      <c r="L242" s="6">
        <v>5.7720000000000002</v>
      </c>
      <c r="M242" s="6">
        <v>5.7720000000000002</v>
      </c>
      <c r="N242" s="6">
        <v>5.7720000000000002</v>
      </c>
      <c r="O242" s="6">
        <v>5.7720000000000002</v>
      </c>
      <c r="P242" s="6">
        <v>77</v>
      </c>
      <c r="Q242" s="4" t="s">
        <v>26</v>
      </c>
      <c r="R242" s="4">
        <v>0</v>
      </c>
      <c r="S242" s="4">
        <v>0</v>
      </c>
      <c r="T242" s="4">
        <v>14</v>
      </c>
      <c r="U242" s="4">
        <v>86</v>
      </c>
      <c r="V242" s="6">
        <f>IF(ISERROR(VLOOKUP($S$242,'TAR FIN'!$A$1:$O$88,15,0)),0,VLOOKUP($S$242,'TAR FIN'!$A$1:$O$88,15,0))</f>
        <v>0</v>
      </c>
      <c r="W242" s="6">
        <f>IF(ISERROR(VLOOKUP($T$242,'TAR FIN'!$A$1:$O$88,15,0)),0,VLOOKUP($T$242,'TAR FIN'!$A$1:$O$88,15,0))</f>
        <v>356.37</v>
      </c>
      <c r="X242" s="6">
        <f>IF(ISERROR(VLOOKUP($U$242,'TAR FIN'!$A$1:$O$88,15,0)),0,VLOOKUP($U$242,'TAR FIN'!$A$1:$O$88,15,0))</f>
        <v>252.22</v>
      </c>
      <c r="Y242" s="6"/>
      <c r="Z242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42" s="6">
        <f>('TE BE'!$AB$14+'TE BF'!$AB$14+'TE CVA'!$AB$14)*(1-CUSTOS!$M$37)</f>
        <v>251.92449556687748</v>
      </c>
      <c r="AB242" s="6">
        <f t="shared" si="12"/>
        <v>0</v>
      </c>
      <c r="AC242" s="6">
        <f>(L242-M242)*(W242+X242)+($W$232+$X$232-$W$242-$X$242)*(L242)</f>
        <v>1.6405010683229194E-13</v>
      </c>
      <c r="AD242" s="6">
        <f t="shared" si="13"/>
        <v>0</v>
      </c>
      <c r="AE242" s="6">
        <f ca="1">(L242-M242)*(Z242+AA242)+($Z$232+$AA$232-$Z$242-$AA$242)*(L242)</f>
        <v>-1.6405010683229194E-13</v>
      </c>
      <c r="AF242" s="4" t="s">
        <v>564</v>
      </c>
    </row>
    <row r="243" spans="1:32" ht="11.25" customHeight="1" x14ac:dyDescent="0.25">
      <c r="A243" s="4" t="s">
        <v>21</v>
      </c>
      <c r="B243" s="4" t="s">
        <v>22</v>
      </c>
      <c r="C243" s="4" t="s">
        <v>23</v>
      </c>
      <c r="D243" s="4" t="s">
        <v>24</v>
      </c>
      <c r="E243" s="4" t="s">
        <v>32</v>
      </c>
      <c r="F243" s="4" t="s">
        <v>25</v>
      </c>
      <c r="G243" s="4" t="s">
        <v>25</v>
      </c>
      <c r="H243" s="4" t="s">
        <v>25</v>
      </c>
      <c r="I243" s="5">
        <v>44652</v>
      </c>
      <c r="J243" s="6">
        <v>0</v>
      </c>
      <c r="K243" s="6">
        <v>0</v>
      </c>
      <c r="L243" s="6">
        <v>7.0389999999999997</v>
      </c>
      <c r="M243" s="6">
        <v>7.0389999999999997</v>
      </c>
      <c r="N243" s="6">
        <v>7.0389999999999997</v>
      </c>
      <c r="O243" s="6">
        <v>7.0389999999999997</v>
      </c>
      <c r="P243" s="6">
        <v>85</v>
      </c>
      <c r="Q243" s="4" t="s">
        <v>26</v>
      </c>
      <c r="R243" s="4">
        <v>0</v>
      </c>
      <c r="S243" s="4">
        <v>0</v>
      </c>
      <c r="T243" s="4">
        <v>14</v>
      </c>
      <c r="U243" s="4">
        <v>86</v>
      </c>
      <c r="V243" s="6">
        <f>IF(ISERROR(VLOOKUP($S$243,'TAR FIN'!$A$1:$O$88,15,0)),0,VLOOKUP($S$243,'TAR FIN'!$A$1:$O$88,15,0))</f>
        <v>0</v>
      </c>
      <c r="W243" s="6">
        <f>IF(ISERROR(VLOOKUP($T$243,'TAR FIN'!$A$1:$O$88,15,0)),0,VLOOKUP($T$243,'TAR FIN'!$A$1:$O$88,15,0))</f>
        <v>356.37</v>
      </c>
      <c r="X243" s="6">
        <f>IF(ISERROR(VLOOKUP($U$243,'TAR FIN'!$A$1:$O$88,15,0)),0,VLOOKUP($U$243,'TAR FIN'!$A$1:$O$88,15,0))</f>
        <v>252.22</v>
      </c>
      <c r="Y243" s="6"/>
      <c r="Z243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43" s="6">
        <f>('TE BE'!$AB$14+'TE BF'!$AB$14+'TE CVA'!$AB$14)*(1-CUSTOS!$M$37)</f>
        <v>251.92449556687748</v>
      </c>
      <c r="AB243" s="6">
        <f t="shared" si="12"/>
        <v>0</v>
      </c>
      <c r="AC243" s="6">
        <f>(L243-M243)*(W243+X243)+($W$232+$X$232-$W$243-$X$243)*(L243)</f>
        <v>2.000604126806138E-13</v>
      </c>
      <c r="AD243" s="6">
        <f t="shared" si="13"/>
        <v>0</v>
      </c>
      <c r="AE243" s="6">
        <f ca="1">(L243-M243)*(Z243+AA243)+($Z$232+$AA$232-$Z$243-$AA$243)*(L243)</f>
        <v>-2.000604126806138E-13</v>
      </c>
      <c r="AF243" s="4" t="s">
        <v>564</v>
      </c>
    </row>
    <row r="244" spans="1:32" ht="11.25" customHeight="1" x14ac:dyDescent="0.25">
      <c r="A244" s="4" t="s">
        <v>21</v>
      </c>
      <c r="B244" s="4" t="s">
        <v>22</v>
      </c>
      <c r="C244" s="4" t="s">
        <v>23</v>
      </c>
      <c r="D244" s="4" t="s">
        <v>24</v>
      </c>
      <c r="E244" s="4" t="s">
        <v>32</v>
      </c>
      <c r="F244" s="4" t="s">
        <v>25</v>
      </c>
      <c r="G244" s="4" t="s">
        <v>25</v>
      </c>
      <c r="H244" s="4" t="s">
        <v>25</v>
      </c>
      <c r="I244" s="5">
        <v>44682</v>
      </c>
      <c r="J244" s="6">
        <v>0</v>
      </c>
      <c r="K244" s="6">
        <v>0</v>
      </c>
      <c r="L244" s="6">
        <v>6.0679999999999996</v>
      </c>
      <c r="M244" s="6">
        <v>6.0679999999999996</v>
      </c>
      <c r="N244" s="6">
        <v>6.0679999999999996</v>
      </c>
      <c r="O244" s="6">
        <v>6.0679999999999996</v>
      </c>
      <c r="P244" s="6">
        <v>66</v>
      </c>
      <c r="Q244" s="4" t="s">
        <v>26</v>
      </c>
      <c r="R244" s="4">
        <v>0</v>
      </c>
      <c r="S244" s="4">
        <v>0</v>
      </c>
      <c r="T244" s="4">
        <v>14</v>
      </c>
      <c r="U244" s="4">
        <v>86</v>
      </c>
      <c r="V244" s="6">
        <f>IF(ISERROR(VLOOKUP($S$244,'TAR FIN'!$A$1:$O$88,15,0)),0,VLOOKUP($S$244,'TAR FIN'!$A$1:$O$88,15,0))</f>
        <v>0</v>
      </c>
      <c r="W244" s="6">
        <f>IF(ISERROR(VLOOKUP($T$244,'TAR FIN'!$A$1:$O$88,15,0)),0,VLOOKUP($T$244,'TAR FIN'!$A$1:$O$88,15,0))</f>
        <v>356.37</v>
      </c>
      <c r="X244" s="6">
        <f>IF(ISERROR(VLOOKUP($U$244,'TAR FIN'!$A$1:$O$88,15,0)),0,VLOOKUP($U$244,'TAR FIN'!$A$1:$O$88,15,0))</f>
        <v>252.22</v>
      </c>
      <c r="Y244" s="6"/>
      <c r="Z244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44" s="6">
        <f>('TE BE'!$AB$14+'TE BF'!$AB$14+'TE CVA'!$AB$14)*(1-CUSTOS!$M$37)</f>
        <v>251.92449556687748</v>
      </c>
      <c r="AB244" s="6">
        <f t="shared" si="12"/>
        <v>0</v>
      </c>
      <c r="AC244" s="6">
        <f>(L244-M244)*(W244+X244)+($W$232+$X$232-$W$244-$X$244)*(L244)</f>
        <v>1.7246293282369151E-13</v>
      </c>
      <c r="AD244" s="6">
        <f t="shared" si="13"/>
        <v>0</v>
      </c>
      <c r="AE244" s="6">
        <f ca="1">(L244-M244)*(Z244+AA244)+($Z$232+$AA$232-$Z$244-$AA$244)*(L244)</f>
        <v>-1.7246293282369151E-13</v>
      </c>
      <c r="AF244" s="4" t="s">
        <v>564</v>
      </c>
    </row>
    <row r="245" spans="1:32" ht="11.25" customHeight="1" x14ac:dyDescent="0.25">
      <c r="A245" s="4" t="s">
        <v>27</v>
      </c>
      <c r="B245" s="4" t="s">
        <v>22</v>
      </c>
      <c r="C245" s="4" t="s">
        <v>23</v>
      </c>
      <c r="D245" s="4" t="s">
        <v>24</v>
      </c>
      <c r="E245" s="4" t="s">
        <v>32</v>
      </c>
      <c r="F245" s="4" t="s">
        <v>25</v>
      </c>
      <c r="G245" s="4" t="s">
        <v>25</v>
      </c>
      <c r="H245" s="4" t="s">
        <v>25</v>
      </c>
      <c r="I245" s="5">
        <v>44682</v>
      </c>
      <c r="J245" s="6">
        <v>0</v>
      </c>
      <c r="K245" s="6">
        <v>0</v>
      </c>
      <c r="L245" s="6">
        <v>-0.46600000000000003</v>
      </c>
      <c r="M245" s="6">
        <v>-0.46600000000000003</v>
      </c>
      <c r="N245" s="6">
        <v>-0.46600000000000003</v>
      </c>
      <c r="O245" s="6">
        <v>-0.46600000000000003</v>
      </c>
      <c r="P245" s="6">
        <v>0</v>
      </c>
      <c r="Q245" s="4" t="s">
        <v>26</v>
      </c>
      <c r="R245" s="4">
        <v>0</v>
      </c>
      <c r="S245" s="4">
        <v>0</v>
      </c>
      <c r="T245" s="4">
        <v>14</v>
      </c>
      <c r="U245" s="4">
        <v>86</v>
      </c>
      <c r="V245" s="6">
        <f>IF(ISERROR(VLOOKUP($S$245,'TAR FIN'!$A$1:$O$88,15,0)),0,VLOOKUP($S$245,'TAR FIN'!$A$1:$O$88,15,0))</f>
        <v>0</v>
      </c>
      <c r="W245" s="6">
        <f>IF(ISERROR(VLOOKUP($T$245,'TAR FIN'!$A$1:$O$88,15,0)),0,VLOOKUP($T$245,'TAR FIN'!$A$1:$O$88,15,0))</f>
        <v>356.37</v>
      </c>
      <c r="X245" s="6">
        <f>IF(ISERROR(VLOOKUP($U$245,'TAR FIN'!$A$1:$O$88,15,0)),0,VLOOKUP($U$245,'TAR FIN'!$A$1:$O$88,15,0))</f>
        <v>252.22</v>
      </c>
      <c r="Y245" s="6"/>
      <c r="Z245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45" s="6">
        <f>('TE BE'!$AB$14+'TE BF'!$AB$14+'TE CVA'!$AB$14)*(1-CUSTOS!$M$37)</f>
        <v>251.92449556687748</v>
      </c>
      <c r="AB245" s="6">
        <f t="shared" si="12"/>
        <v>0</v>
      </c>
      <c r="AC245" s="6">
        <f>(L245-M245)*(W245+X245)+($W$232+$X$232-$W$245-$X$245)*(L245)</f>
        <v>-1.3244516594568268E-14</v>
      </c>
      <c r="AD245" s="6">
        <f t="shared" si="13"/>
        <v>0</v>
      </c>
      <c r="AE245" s="6">
        <f ca="1">(L245-M245)*(Z245+AA245)+($Z$232+$AA$232-$Z$245-$AA$245)*(L245)</f>
        <v>1.3244516594568268E-14</v>
      </c>
      <c r="AF245" s="4" t="s">
        <v>564</v>
      </c>
    </row>
    <row r="246" spans="1:32" ht="11.25" customHeight="1" x14ac:dyDescent="0.25">
      <c r="A246" s="4" t="s">
        <v>21</v>
      </c>
      <c r="B246" s="4" t="s">
        <v>22</v>
      </c>
      <c r="C246" s="4" t="s">
        <v>23</v>
      </c>
      <c r="D246" s="4" t="s">
        <v>24</v>
      </c>
      <c r="E246" s="4" t="s">
        <v>32</v>
      </c>
      <c r="F246" s="4" t="s">
        <v>25</v>
      </c>
      <c r="G246" s="4" t="s">
        <v>25</v>
      </c>
      <c r="H246" s="4" t="s">
        <v>25</v>
      </c>
      <c r="I246" s="5">
        <v>44713</v>
      </c>
      <c r="J246" s="6">
        <v>0</v>
      </c>
      <c r="K246" s="6">
        <v>0</v>
      </c>
      <c r="L246" s="6">
        <v>5.8520000000000003</v>
      </c>
      <c r="M246" s="6">
        <v>5.8520000000000003</v>
      </c>
      <c r="N246" s="6">
        <v>5.8520000000000003</v>
      </c>
      <c r="O246" s="6">
        <v>5.8520000000000003</v>
      </c>
      <c r="P246" s="6">
        <v>69</v>
      </c>
      <c r="Q246" s="4" t="s">
        <v>26</v>
      </c>
      <c r="R246" s="4">
        <v>0</v>
      </c>
      <c r="S246" s="4">
        <v>0</v>
      </c>
      <c r="T246" s="4">
        <v>14</v>
      </c>
      <c r="U246" s="4">
        <v>86</v>
      </c>
      <c r="V246" s="6">
        <f>IF(ISERROR(VLOOKUP($S$246,'TAR FIN'!$A$1:$O$88,15,0)),0,VLOOKUP($S$246,'TAR FIN'!$A$1:$O$88,15,0))</f>
        <v>0</v>
      </c>
      <c r="W246" s="6">
        <f>IF(ISERROR(VLOOKUP($T$246,'TAR FIN'!$A$1:$O$88,15,0)),0,VLOOKUP($T$246,'TAR FIN'!$A$1:$O$88,15,0))</f>
        <v>356.37</v>
      </c>
      <c r="X246" s="6">
        <f>IF(ISERROR(VLOOKUP($U$246,'TAR FIN'!$A$1:$O$88,15,0)),0,VLOOKUP($U$246,'TAR FIN'!$A$1:$O$88,15,0))</f>
        <v>252.22</v>
      </c>
      <c r="Y246" s="6"/>
      <c r="Z246" s="6">
        <f ca="1">('TUSD BE'!$AM$24+'TUSD BF'!$AM$24+'TUSD CVA'!$AM$24-('TUSD BE'!$P$24+'TUSD BF'!$P$24+'TUSD CVA'!$P$24)-('TUSD BE'!$Q$24+'TUSD BF'!$Q$24+'TUSD CVA'!$Q$24)-('TUSD BE'!$R$24+'TUSD BF'!$R$24+'TUSD CVA'!$R$24))*(1-CUSTOS!$M$37)</f>
        <v>386.46939704413455</v>
      </c>
      <c r="AA246" s="6">
        <f>('TE BE'!$AB$14+'TE BF'!$AB$14+'TE CVA'!$AB$14)*(1-CUSTOS!$M$37)</f>
        <v>251.92449556687748</v>
      </c>
      <c r="AB246" s="6">
        <f t="shared" si="12"/>
        <v>0</v>
      </c>
      <c r="AC246" s="6">
        <f>(L246-M246)*(W246+X246)+($W$232+$X$232-$W$246-$X$246)*(L246)</f>
        <v>1.6632384358672426E-13</v>
      </c>
      <c r="AD246" s="6">
        <f t="shared" si="13"/>
        <v>0</v>
      </c>
      <c r="AE246" s="6">
        <f ca="1">(L246-M246)*(Z246+AA246)+($Z$232+$AA$232-$Z$246-$AA$246)*(L246)</f>
        <v>-1.6632384358672426E-13</v>
      </c>
      <c r="AF246" s="4" t="s">
        <v>564</v>
      </c>
    </row>
    <row r="247" spans="1:32" ht="11.25" customHeight="1" x14ac:dyDescent="0.25">
      <c r="A247" s="4" t="s">
        <v>21</v>
      </c>
      <c r="B247" s="4" t="s">
        <v>40</v>
      </c>
      <c r="C247" s="4" t="s">
        <v>23</v>
      </c>
      <c r="D247" s="4" t="s">
        <v>41</v>
      </c>
      <c r="E247" s="4" t="s">
        <v>49</v>
      </c>
      <c r="F247" s="4" t="s">
        <v>50</v>
      </c>
      <c r="G247" s="4" t="s">
        <v>25</v>
      </c>
      <c r="H247" s="4" t="s">
        <v>25</v>
      </c>
      <c r="I247" s="5">
        <v>44378</v>
      </c>
      <c r="J247" s="6">
        <v>0</v>
      </c>
      <c r="K247" s="6">
        <v>0</v>
      </c>
      <c r="L247" s="6">
        <v>4.234</v>
      </c>
      <c r="M247" s="6">
        <v>4.234</v>
      </c>
      <c r="N247" s="6">
        <v>4.234</v>
      </c>
      <c r="O247" s="6">
        <v>4.234</v>
      </c>
      <c r="P247" s="6">
        <v>0</v>
      </c>
      <c r="Q247" s="4" t="s">
        <v>26</v>
      </c>
      <c r="R247" s="4">
        <v>0</v>
      </c>
      <c r="S247" s="4">
        <v>0</v>
      </c>
      <c r="T247" s="4">
        <v>61</v>
      </c>
      <c r="U247" s="4">
        <v>72</v>
      </c>
      <c r="V247" s="6">
        <f>IF(ISERROR(VLOOKUP($S$247,'TAR FIN'!$A$1:$O$88,15,0)),0,VLOOKUP($S$247,'TAR FIN'!$A$1:$O$88,15,0))</f>
        <v>0</v>
      </c>
      <c r="W247" s="6">
        <f>IF(ISERROR(VLOOKUP($T$247,'TAR FIN'!$A$1:$O$88,15,0)),0,VLOOKUP($T$247,'TAR FIN'!$A$1:$O$88,15,0))</f>
        <v>374.66</v>
      </c>
      <c r="X247" s="6">
        <f>IF(ISERROR(VLOOKUP($U$247,'TAR FIN'!$A$1:$O$88,15,0)),0,VLOOKUP($U$247,'TAR FIN'!$A$1:$O$88,15,0))</f>
        <v>221.96</v>
      </c>
      <c r="Y247" s="6"/>
      <c r="Z247" s="6">
        <f ca="1">('TUSD BE'!$AM$33+'TUSD BF'!$AM$33+'TUSD CVA'!$AM$33)*(1-CUSTOS!$M$38)</f>
        <v>458.58557094695544</v>
      </c>
      <c r="AA247" s="6">
        <f>('TE BE'!$AB$23+'TE BF'!$AB$23+'TE CVA'!$AB$23)*(1-CUSTOS!$M$38)</f>
        <v>236.80902583286482</v>
      </c>
      <c r="AB247" s="6">
        <f t="shared" si="12"/>
        <v>0</v>
      </c>
      <c r="AC247" s="6">
        <f>(L247-M247)*(W247+X247)+($W$165+$X$165-$W$247-$X$247)*(L247)</f>
        <v>344.43589999999995</v>
      </c>
      <c r="AD247" s="6">
        <f t="shared" si="13"/>
        <v>0</v>
      </c>
      <c r="AE247" s="6">
        <f ca="1">(L247-M247)*(Z247+AA247)+($Z$165+$AA$165-$Z$247-$AA$247)*(L247)</f>
        <v>187.93408868717631</v>
      </c>
      <c r="AF247" s="4" t="s">
        <v>561</v>
      </c>
    </row>
    <row r="248" spans="1:32" ht="11.25" customHeight="1" x14ac:dyDescent="0.25">
      <c r="A248" s="4" t="s">
        <v>28</v>
      </c>
      <c r="B248" s="4" t="s">
        <v>40</v>
      </c>
      <c r="C248" s="4" t="s">
        <v>23</v>
      </c>
      <c r="D248" s="4" t="s">
        <v>41</v>
      </c>
      <c r="E248" s="4" t="s">
        <v>49</v>
      </c>
      <c r="F248" s="4" t="s">
        <v>50</v>
      </c>
      <c r="G248" s="4" t="s">
        <v>25</v>
      </c>
      <c r="H248" s="4" t="s">
        <v>25</v>
      </c>
      <c r="I248" s="5">
        <v>44378</v>
      </c>
      <c r="J248" s="6">
        <v>0</v>
      </c>
      <c r="K248" s="6">
        <v>0</v>
      </c>
      <c r="L248" s="6">
        <v>0.04</v>
      </c>
      <c r="M248" s="6">
        <v>0.04</v>
      </c>
      <c r="N248" s="6">
        <v>0.04</v>
      </c>
      <c r="O248" s="6">
        <v>0.04</v>
      </c>
      <c r="P248" s="6">
        <v>0</v>
      </c>
      <c r="Q248" s="4" t="s">
        <v>26</v>
      </c>
      <c r="R248" s="4">
        <v>0</v>
      </c>
      <c r="S248" s="4">
        <v>0</v>
      </c>
      <c r="T248" s="4">
        <v>61</v>
      </c>
      <c r="U248" s="4">
        <v>72</v>
      </c>
      <c r="V248" s="6">
        <f>IF(ISERROR(VLOOKUP($S$248,'TAR FIN'!$A$1:$O$88,15,0)),0,VLOOKUP($S$248,'TAR FIN'!$A$1:$O$88,15,0))</f>
        <v>0</v>
      </c>
      <c r="W248" s="6">
        <f>IF(ISERROR(VLOOKUP($T$248,'TAR FIN'!$A$1:$O$88,15,0)),0,VLOOKUP($T$248,'TAR FIN'!$A$1:$O$88,15,0))</f>
        <v>374.66</v>
      </c>
      <c r="X248" s="6">
        <f>IF(ISERROR(VLOOKUP($U$248,'TAR FIN'!$A$1:$O$88,15,0)),0,VLOOKUP($U$248,'TAR FIN'!$A$1:$O$88,15,0))</f>
        <v>221.96</v>
      </c>
      <c r="Y248" s="6"/>
      <c r="Z248" s="6">
        <f ca="1">('TUSD BE'!$AM$33+'TUSD BF'!$AM$33+'TUSD CVA'!$AM$33)*(1-CUSTOS!$M$38)</f>
        <v>458.58557094695544</v>
      </c>
      <c r="AA248" s="6">
        <f>('TE BE'!$AB$23+'TE BF'!$AB$23+'TE CVA'!$AB$23)*(1-CUSTOS!$M$38)</f>
        <v>236.80902583286482</v>
      </c>
      <c r="AB248" s="6">
        <f t="shared" si="12"/>
        <v>0</v>
      </c>
      <c r="AC248" s="6">
        <f>(L248-M248)*(W248+X248)+($W$165+$X$165-$W$248-$X$248)*(L248)</f>
        <v>3.254</v>
      </c>
      <c r="AD248" s="6">
        <f t="shared" si="13"/>
        <v>0</v>
      </c>
      <c r="AE248" s="6">
        <f ca="1">(L248-M248)*(Z248+AA248)+($Z$165+$AA$165-$Z$248-$AA$248)*(L248)</f>
        <v>1.7754755662463515</v>
      </c>
      <c r="AF248" s="4" t="s">
        <v>561</v>
      </c>
    </row>
    <row r="249" spans="1:32" ht="11.25" customHeight="1" x14ac:dyDescent="0.25">
      <c r="A249" s="4" t="s">
        <v>21</v>
      </c>
      <c r="B249" s="4" t="s">
        <v>40</v>
      </c>
      <c r="C249" s="4" t="s">
        <v>23</v>
      </c>
      <c r="D249" s="4" t="s">
        <v>41</v>
      </c>
      <c r="E249" s="4" t="s">
        <v>49</v>
      </c>
      <c r="F249" s="4" t="s">
        <v>50</v>
      </c>
      <c r="G249" s="4" t="s">
        <v>25</v>
      </c>
      <c r="H249" s="4" t="s">
        <v>25</v>
      </c>
      <c r="I249" s="5">
        <v>44409</v>
      </c>
      <c r="J249" s="6">
        <v>0</v>
      </c>
      <c r="K249" s="6">
        <v>0</v>
      </c>
      <c r="L249" s="6">
        <v>2.2959999999999998</v>
      </c>
      <c r="M249" s="6">
        <v>2.2959999999999998</v>
      </c>
      <c r="N249" s="6">
        <v>2.2959999999999998</v>
      </c>
      <c r="O249" s="6">
        <v>2.2959999999999998</v>
      </c>
      <c r="P249" s="6">
        <v>0</v>
      </c>
      <c r="Q249" s="4" t="s">
        <v>26</v>
      </c>
      <c r="R249" s="4">
        <v>0</v>
      </c>
      <c r="S249" s="4">
        <v>0</v>
      </c>
      <c r="T249" s="4">
        <v>61</v>
      </c>
      <c r="U249" s="4">
        <v>72</v>
      </c>
      <c r="V249" s="6">
        <f>IF(ISERROR(VLOOKUP($S$249,'TAR FIN'!$A$1:$O$88,15,0)),0,VLOOKUP($S$249,'TAR FIN'!$A$1:$O$88,15,0))</f>
        <v>0</v>
      </c>
      <c r="W249" s="6">
        <f>IF(ISERROR(VLOOKUP($T$249,'TAR FIN'!$A$1:$O$88,15,0)),0,VLOOKUP($T$249,'TAR FIN'!$A$1:$O$88,15,0))</f>
        <v>374.66</v>
      </c>
      <c r="X249" s="6">
        <f>IF(ISERROR(VLOOKUP($U$249,'TAR FIN'!$A$1:$O$88,15,0)),0,VLOOKUP($U$249,'TAR FIN'!$A$1:$O$88,15,0))</f>
        <v>221.96</v>
      </c>
      <c r="Y249" s="6"/>
      <c r="Z249" s="6">
        <f ca="1">('TUSD BE'!$AM$33+'TUSD BF'!$AM$33+'TUSD CVA'!$AM$33)*(1-CUSTOS!$M$38)</f>
        <v>458.58557094695544</v>
      </c>
      <c r="AA249" s="6">
        <f>('TE BE'!$AB$23+'TE BF'!$AB$23+'TE CVA'!$AB$23)*(1-CUSTOS!$M$38)</f>
        <v>236.80902583286482</v>
      </c>
      <c r="AB249" s="6">
        <f t="shared" si="12"/>
        <v>0</v>
      </c>
      <c r="AC249" s="6">
        <f>(L249-M249)*(W249+X249)+($W$165+$X$165-$W$249-$X$249)*(L249)</f>
        <v>186.77959999999996</v>
      </c>
      <c r="AD249" s="6">
        <f t="shared" si="13"/>
        <v>0</v>
      </c>
      <c r="AE249" s="6">
        <f ca="1">(L249-M249)*(Z249+AA249)+($Z$165+$AA$165-$Z$249-$AA$249)*(L249)</f>
        <v>101.91229750254057</v>
      </c>
      <c r="AF249" s="4" t="s">
        <v>561</v>
      </c>
    </row>
    <row r="250" spans="1:32" ht="11.25" customHeight="1" x14ac:dyDescent="0.25">
      <c r="A250" s="4" t="s">
        <v>28</v>
      </c>
      <c r="B250" s="4" t="s">
        <v>40</v>
      </c>
      <c r="C250" s="4" t="s">
        <v>23</v>
      </c>
      <c r="D250" s="4" t="s">
        <v>41</v>
      </c>
      <c r="E250" s="4" t="s">
        <v>49</v>
      </c>
      <c r="F250" s="4" t="s">
        <v>50</v>
      </c>
      <c r="G250" s="4" t="s">
        <v>25</v>
      </c>
      <c r="H250" s="4" t="s">
        <v>25</v>
      </c>
      <c r="I250" s="5">
        <v>44409</v>
      </c>
      <c r="J250" s="6">
        <v>0</v>
      </c>
      <c r="K250" s="6">
        <v>0</v>
      </c>
      <c r="L250" s="6">
        <v>0.36599999999999999</v>
      </c>
      <c r="M250" s="6">
        <v>0.36599999999999999</v>
      </c>
      <c r="N250" s="6">
        <v>0.36599999999999999</v>
      </c>
      <c r="O250" s="6">
        <v>0.36599999999999999</v>
      </c>
      <c r="P250" s="6">
        <v>0</v>
      </c>
      <c r="Q250" s="4" t="s">
        <v>26</v>
      </c>
      <c r="R250" s="4">
        <v>0</v>
      </c>
      <c r="S250" s="4">
        <v>0</v>
      </c>
      <c r="T250" s="4">
        <v>61</v>
      </c>
      <c r="U250" s="4">
        <v>72</v>
      </c>
      <c r="V250" s="6">
        <f>IF(ISERROR(VLOOKUP($S$250,'TAR FIN'!$A$1:$O$88,15,0)),0,VLOOKUP($S$250,'TAR FIN'!$A$1:$O$88,15,0))</f>
        <v>0</v>
      </c>
      <c r="W250" s="6">
        <f>IF(ISERROR(VLOOKUP($T$250,'TAR FIN'!$A$1:$O$88,15,0)),0,VLOOKUP($T$250,'TAR FIN'!$A$1:$O$88,15,0))</f>
        <v>374.66</v>
      </c>
      <c r="X250" s="6">
        <f>IF(ISERROR(VLOOKUP($U$250,'TAR FIN'!$A$1:$O$88,15,0)),0,VLOOKUP($U$250,'TAR FIN'!$A$1:$O$88,15,0))</f>
        <v>221.96</v>
      </c>
      <c r="Y250" s="6"/>
      <c r="Z250" s="6">
        <f ca="1">('TUSD BE'!$AM$33+'TUSD BF'!$AM$33+'TUSD CVA'!$AM$33)*(1-CUSTOS!$M$38)</f>
        <v>458.58557094695544</v>
      </c>
      <c r="AA250" s="6">
        <f>('TE BE'!$AB$23+'TE BF'!$AB$23+'TE CVA'!$AB$23)*(1-CUSTOS!$M$38)</f>
        <v>236.80902583286482</v>
      </c>
      <c r="AB250" s="6">
        <f t="shared" si="12"/>
        <v>0</v>
      </c>
      <c r="AC250" s="6">
        <f>(L250-M250)*(W250+X250)+($W$165+$X$165-$W$250-$X$250)*(L250)</f>
        <v>29.774099999999997</v>
      </c>
      <c r="AD250" s="6">
        <f t="shared" si="13"/>
        <v>0</v>
      </c>
      <c r="AE250" s="6">
        <f ca="1">(L250-M250)*(Z250+AA250)+($Z$165+$AA$165-$Z$250-$AA$250)*(L250)</f>
        <v>16.245601431154117</v>
      </c>
      <c r="AF250" s="4" t="s">
        <v>561</v>
      </c>
    </row>
    <row r="251" spans="1:32" ht="11.25" customHeight="1" x14ac:dyDescent="0.25">
      <c r="A251" s="4" t="s">
        <v>21</v>
      </c>
      <c r="B251" s="4" t="s">
        <v>40</v>
      </c>
      <c r="C251" s="4" t="s">
        <v>23</v>
      </c>
      <c r="D251" s="4" t="s">
        <v>41</v>
      </c>
      <c r="E251" s="4" t="s">
        <v>49</v>
      </c>
      <c r="F251" s="4" t="s">
        <v>50</v>
      </c>
      <c r="G251" s="4" t="s">
        <v>25</v>
      </c>
      <c r="H251" s="4" t="s">
        <v>25</v>
      </c>
      <c r="I251" s="5">
        <v>44440</v>
      </c>
      <c r="J251" s="6">
        <v>0</v>
      </c>
      <c r="K251" s="6">
        <v>0</v>
      </c>
      <c r="L251" s="6">
        <v>6.0069999999999997</v>
      </c>
      <c r="M251" s="6">
        <v>6.0069999999999997</v>
      </c>
      <c r="N251" s="6">
        <v>6.0069999999999997</v>
      </c>
      <c r="O251" s="6">
        <v>6.0069999999999997</v>
      </c>
      <c r="P251" s="6">
        <v>0</v>
      </c>
      <c r="Q251" s="4" t="s">
        <v>26</v>
      </c>
      <c r="R251" s="4">
        <v>0</v>
      </c>
      <c r="S251" s="4">
        <v>0</v>
      </c>
      <c r="T251" s="4">
        <v>61</v>
      </c>
      <c r="U251" s="4">
        <v>72</v>
      </c>
      <c r="V251" s="6">
        <f>IF(ISERROR(VLOOKUP($S$251,'TAR FIN'!$A$1:$O$88,15,0)),0,VLOOKUP($S$251,'TAR FIN'!$A$1:$O$88,15,0))</f>
        <v>0</v>
      </c>
      <c r="W251" s="6">
        <f>IF(ISERROR(VLOOKUP($T$251,'TAR FIN'!$A$1:$O$88,15,0)),0,VLOOKUP($T$251,'TAR FIN'!$A$1:$O$88,15,0))</f>
        <v>374.66</v>
      </c>
      <c r="X251" s="6">
        <f>IF(ISERROR(VLOOKUP($U$251,'TAR FIN'!$A$1:$O$88,15,0)),0,VLOOKUP($U$251,'TAR FIN'!$A$1:$O$88,15,0))</f>
        <v>221.96</v>
      </c>
      <c r="Y251" s="6"/>
      <c r="Z251" s="6">
        <f ca="1">('TUSD BE'!$AM$33+'TUSD BF'!$AM$33+'TUSD CVA'!$AM$33)*(1-CUSTOS!$M$38)</f>
        <v>458.58557094695544</v>
      </c>
      <c r="AA251" s="6">
        <f>('TE BE'!$AB$23+'TE BF'!$AB$23+'TE CVA'!$AB$23)*(1-CUSTOS!$M$38)</f>
        <v>236.80902583286482</v>
      </c>
      <c r="AB251" s="6">
        <f t="shared" si="12"/>
        <v>0</v>
      </c>
      <c r="AC251" s="6">
        <f>(L251-M251)*(W251+X251)+($W$165+$X$165-$W$251-$X$251)*(L251)</f>
        <v>488.66944999999993</v>
      </c>
      <c r="AD251" s="6">
        <f t="shared" si="13"/>
        <v>0</v>
      </c>
      <c r="AE251" s="6">
        <f ca="1">(L251-M251)*(Z251+AA251)+($Z$165+$AA$165-$Z$251-$AA$251)*(L251)</f>
        <v>266.63204316104583</v>
      </c>
      <c r="AF251" s="4" t="s">
        <v>561</v>
      </c>
    </row>
    <row r="252" spans="1:32" ht="11.25" customHeight="1" x14ac:dyDescent="0.25">
      <c r="A252" s="4" t="s">
        <v>28</v>
      </c>
      <c r="B252" s="4" t="s">
        <v>40</v>
      </c>
      <c r="C252" s="4" t="s">
        <v>23</v>
      </c>
      <c r="D252" s="4" t="s">
        <v>41</v>
      </c>
      <c r="E252" s="4" t="s">
        <v>49</v>
      </c>
      <c r="F252" s="4" t="s">
        <v>50</v>
      </c>
      <c r="G252" s="4" t="s">
        <v>25</v>
      </c>
      <c r="H252" s="4" t="s">
        <v>25</v>
      </c>
      <c r="I252" s="5">
        <v>44440</v>
      </c>
      <c r="J252" s="6">
        <v>0</v>
      </c>
      <c r="K252" s="6">
        <v>0</v>
      </c>
      <c r="L252" s="6">
        <v>1.2909999999999999</v>
      </c>
      <c r="M252" s="6">
        <v>1.2909999999999999</v>
      </c>
      <c r="N252" s="6">
        <v>1.2909999999999999</v>
      </c>
      <c r="O252" s="6">
        <v>1.2909999999999999</v>
      </c>
      <c r="P252" s="6">
        <v>0</v>
      </c>
      <c r="Q252" s="4" t="s">
        <v>26</v>
      </c>
      <c r="R252" s="4">
        <v>0</v>
      </c>
      <c r="S252" s="4">
        <v>0</v>
      </c>
      <c r="T252" s="4">
        <v>61</v>
      </c>
      <c r="U252" s="4">
        <v>72</v>
      </c>
      <c r="V252" s="6">
        <f>IF(ISERROR(VLOOKUP($S$252,'TAR FIN'!$A$1:$O$88,15,0)),0,VLOOKUP($S$252,'TAR FIN'!$A$1:$O$88,15,0))</f>
        <v>0</v>
      </c>
      <c r="W252" s="6">
        <f>IF(ISERROR(VLOOKUP($T$252,'TAR FIN'!$A$1:$O$88,15,0)),0,VLOOKUP($T$252,'TAR FIN'!$A$1:$O$88,15,0))</f>
        <v>374.66</v>
      </c>
      <c r="X252" s="6">
        <f>IF(ISERROR(VLOOKUP($U$252,'TAR FIN'!$A$1:$O$88,15,0)),0,VLOOKUP($U$252,'TAR FIN'!$A$1:$O$88,15,0))</f>
        <v>221.96</v>
      </c>
      <c r="Y252" s="6"/>
      <c r="Z252" s="6">
        <f ca="1">('TUSD BE'!$AM$33+'TUSD BF'!$AM$33+'TUSD CVA'!$AM$33)*(1-CUSTOS!$M$38)</f>
        <v>458.58557094695544</v>
      </c>
      <c r="AA252" s="6">
        <f>('TE BE'!$AB$23+'TE BF'!$AB$23+'TE CVA'!$AB$23)*(1-CUSTOS!$M$38)</f>
        <v>236.80902583286482</v>
      </c>
      <c r="AB252" s="6">
        <f t="shared" si="12"/>
        <v>0</v>
      </c>
      <c r="AC252" s="6">
        <f>(L252-M252)*(W252+X252)+($W$165+$X$165-$W$252-$X$252)*(L252)</f>
        <v>105.02284999999999</v>
      </c>
      <c r="AD252" s="6">
        <f t="shared" si="13"/>
        <v>0</v>
      </c>
      <c r="AE252" s="6">
        <f ca="1">(L252-M252)*(Z252+AA252)+($Z$165+$AA$165-$Z$252-$AA$252)*(L252)</f>
        <v>57.303473900600991</v>
      </c>
      <c r="AF252" s="4" t="s">
        <v>561</v>
      </c>
    </row>
    <row r="253" spans="1:32" ht="11.25" customHeight="1" x14ac:dyDescent="0.25">
      <c r="A253" s="4" t="s">
        <v>21</v>
      </c>
      <c r="B253" s="4" t="s">
        <v>40</v>
      </c>
      <c r="C253" s="4" t="s">
        <v>23</v>
      </c>
      <c r="D253" s="4" t="s">
        <v>41</v>
      </c>
      <c r="E253" s="4" t="s">
        <v>49</v>
      </c>
      <c r="F253" s="4" t="s">
        <v>50</v>
      </c>
      <c r="G253" s="4" t="s">
        <v>25</v>
      </c>
      <c r="H253" s="4" t="s">
        <v>25</v>
      </c>
      <c r="I253" s="5">
        <v>44470</v>
      </c>
      <c r="J253" s="6">
        <v>0</v>
      </c>
      <c r="K253" s="6">
        <v>0</v>
      </c>
      <c r="L253" s="6">
        <v>11.356999999999999</v>
      </c>
      <c r="M253" s="6">
        <v>11.356999999999999</v>
      </c>
      <c r="N253" s="6">
        <v>11.356999999999999</v>
      </c>
      <c r="O253" s="6">
        <v>11.356999999999999</v>
      </c>
      <c r="P253" s="6">
        <v>0</v>
      </c>
      <c r="Q253" s="4" t="s">
        <v>26</v>
      </c>
      <c r="R253" s="4">
        <v>0</v>
      </c>
      <c r="S253" s="4">
        <v>0</v>
      </c>
      <c r="T253" s="4">
        <v>61</v>
      </c>
      <c r="U253" s="4">
        <v>72</v>
      </c>
      <c r="V253" s="6">
        <f>IF(ISERROR(VLOOKUP($S$253,'TAR FIN'!$A$1:$O$88,15,0)),0,VLOOKUP($S$253,'TAR FIN'!$A$1:$O$88,15,0))</f>
        <v>0</v>
      </c>
      <c r="W253" s="6">
        <f>IF(ISERROR(VLOOKUP($T$253,'TAR FIN'!$A$1:$O$88,15,0)),0,VLOOKUP($T$253,'TAR FIN'!$A$1:$O$88,15,0))</f>
        <v>374.66</v>
      </c>
      <c r="X253" s="6">
        <f>IF(ISERROR(VLOOKUP($U$253,'TAR FIN'!$A$1:$O$88,15,0)),0,VLOOKUP($U$253,'TAR FIN'!$A$1:$O$88,15,0))</f>
        <v>221.96</v>
      </c>
      <c r="Y253" s="6"/>
      <c r="Z253" s="6">
        <f ca="1">('TUSD BE'!$AM$33+'TUSD BF'!$AM$33+'TUSD CVA'!$AM$33)*(1-CUSTOS!$M$38)</f>
        <v>458.58557094695544</v>
      </c>
      <c r="AA253" s="6">
        <f>('TE BE'!$AB$23+'TE BF'!$AB$23+'TE CVA'!$AB$23)*(1-CUSTOS!$M$38)</f>
        <v>236.80902583286482</v>
      </c>
      <c r="AB253" s="6">
        <f t="shared" si="12"/>
        <v>0</v>
      </c>
      <c r="AC253" s="6">
        <f>(L253-M253)*(W253+X253)+($W$165+$X$165-$W$253-$X$253)*(L253)</f>
        <v>923.89194999999984</v>
      </c>
      <c r="AD253" s="6">
        <f t="shared" si="13"/>
        <v>0</v>
      </c>
      <c r="AE253" s="6">
        <f ca="1">(L253-M253)*(Z253+AA253)+($Z$165+$AA$165-$Z$253-$AA$253)*(L253)</f>
        <v>504.10190014649532</v>
      </c>
      <c r="AF253" s="4" t="s">
        <v>561</v>
      </c>
    </row>
    <row r="254" spans="1:32" ht="11.25" customHeight="1" x14ac:dyDescent="0.25">
      <c r="A254" s="4" t="s">
        <v>28</v>
      </c>
      <c r="B254" s="4" t="s">
        <v>40</v>
      </c>
      <c r="C254" s="4" t="s">
        <v>23</v>
      </c>
      <c r="D254" s="4" t="s">
        <v>41</v>
      </c>
      <c r="E254" s="4" t="s">
        <v>49</v>
      </c>
      <c r="F254" s="4" t="s">
        <v>50</v>
      </c>
      <c r="G254" s="4" t="s">
        <v>25</v>
      </c>
      <c r="H254" s="4" t="s">
        <v>25</v>
      </c>
      <c r="I254" s="5">
        <v>44470</v>
      </c>
      <c r="J254" s="6">
        <v>0</v>
      </c>
      <c r="K254" s="6">
        <v>0</v>
      </c>
      <c r="L254" s="6">
        <v>0.19</v>
      </c>
      <c r="M254" s="6">
        <v>0.19</v>
      </c>
      <c r="N254" s="6">
        <v>0.19</v>
      </c>
      <c r="O254" s="6">
        <v>0.19</v>
      </c>
      <c r="P254" s="6">
        <v>0</v>
      </c>
      <c r="Q254" s="4" t="s">
        <v>26</v>
      </c>
      <c r="R254" s="4">
        <v>0</v>
      </c>
      <c r="S254" s="4">
        <v>0</v>
      </c>
      <c r="T254" s="4">
        <v>61</v>
      </c>
      <c r="U254" s="4">
        <v>72</v>
      </c>
      <c r="V254" s="6">
        <f>IF(ISERROR(VLOOKUP($S$254,'TAR FIN'!$A$1:$O$88,15,0)),0,VLOOKUP($S$254,'TAR FIN'!$A$1:$O$88,15,0))</f>
        <v>0</v>
      </c>
      <c r="W254" s="6">
        <f>IF(ISERROR(VLOOKUP($T$254,'TAR FIN'!$A$1:$O$88,15,0)),0,VLOOKUP($T$254,'TAR FIN'!$A$1:$O$88,15,0))</f>
        <v>374.66</v>
      </c>
      <c r="X254" s="6">
        <f>IF(ISERROR(VLOOKUP($U$254,'TAR FIN'!$A$1:$O$88,15,0)),0,VLOOKUP($U$254,'TAR FIN'!$A$1:$O$88,15,0))</f>
        <v>221.96</v>
      </c>
      <c r="Y254" s="6"/>
      <c r="Z254" s="6">
        <f ca="1">('TUSD BE'!$AM$33+'TUSD BF'!$AM$33+'TUSD CVA'!$AM$33)*(1-CUSTOS!$M$38)</f>
        <v>458.58557094695544</v>
      </c>
      <c r="AA254" s="6">
        <f>('TE BE'!$AB$23+'TE BF'!$AB$23+'TE CVA'!$AB$23)*(1-CUSTOS!$M$38)</f>
        <v>236.80902583286482</v>
      </c>
      <c r="AB254" s="6">
        <f t="shared" si="12"/>
        <v>0</v>
      </c>
      <c r="AC254" s="6">
        <f>(L254-M254)*(W254+X254)+($W$165+$X$165-$W$254-$X$254)*(L254)</f>
        <v>15.456499999999998</v>
      </c>
      <c r="AD254" s="6">
        <f t="shared" si="13"/>
        <v>0</v>
      </c>
      <c r="AE254" s="6">
        <f ca="1">(L254-M254)*(Z254+AA254)+($Z$165+$AA$165-$Z$254-$AA$254)*(L254)</f>
        <v>8.433508939670169</v>
      </c>
      <c r="AF254" s="4" t="s">
        <v>561</v>
      </c>
    </row>
    <row r="255" spans="1:32" ht="11.25" customHeight="1" x14ac:dyDescent="0.25">
      <c r="A255" s="4" t="s">
        <v>21</v>
      </c>
      <c r="B255" s="4" t="s">
        <v>40</v>
      </c>
      <c r="C255" s="4" t="s">
        <v>23</v>
      </c>
      <c r="D255" s="4" t="s">
        <v>41</v>
      </c>
      <c r="E255" s="4" t="s">
        <v>49</v>
      </c>
      <c r="F255" s="4" t="s">
        <v>50</v>
      </c>
      <c r="G255" s="4" t="s">
        <v>25</v>
      </c>
      <c r="H255" s="4" t="s">
        <v>25</v>
      </c>
      <c r="I255" s="5">
        <v>44501</v>
      </c>
      <c r="J255" s="6">
        <v>0</v>
      </c>
      <c r="K255" s="6">
        <v>0</v>
      </c>
      <c r="L255" s="6">
        <v>83.301000000000002</v>
      </c>
      <c r="M255" s="6">
        <v>83.301000000000002</v>
      </c>
      <c r="N255" s="6">
        <v>83.301000000000002</v>
      </c>
      <c r="O255" s="6">
        <v>83.301000000000002</v>
      </c>
      <c r="P255" s="6">
        <v>0</v>
      </c>
      <c r="Q255" s="4" t="s">
        <v>26</v>
      </c>
      <c r="R255" s="4">
        <v>0</v>
      </c>
      <c r="S255" s="4">
        <v>0</v>
      </c>
      <c r="T255" s="4">
        <v>61</v>
      </c>
      <c r="U255" s="4">
        <v>72</v>
      </c>
      <c r="V255" s="6">
        <f>IF(ISERROR(VLOOKUP($S$255,'TAR FIN'!$A$1:$O$88,15,0)),0,VLOOKUP($S$255,'TAR FIN'!$A$1:$O$88,15,0))</f>
        <v>0</v>
      </c>
      <c r="W255" s="6">
        <f>IF(ISERROR(VLOOKUP($T$255,'TAR FIN'!$A$1:$O$88,15,0)),0,VLOOKUP($T$255,'TAR FIN'!$A$1:$O$88,15,0))</f>
        <v>374.66</v>
      </c>
      <c r="X255" s="6">
        <f>IF(ISERROR(VLOOKUP($U$255,'TAR FIN'!$A$1:$O$88,15,0)),0,VLOOKUP($U$255,'TAR FIN'!$A$1:$O$88,15,0))</f>
        <v>221.96</v>
      </c>
      <c r="Y255" s="6"/>
      <c r="Z255" s="6">
        <f ca="1">('TUSD BE'!$AM$33+'TUSD BF'!$AM$33+'TUSD CVA'!$AM$33)*(1-CUSTOS!$M$38)</f>
        <v>458.58557094695544</v>
      </c>
      <c r="AA255" s="6">
        <f>('TE BE'!$AB$23+'TE BF'!$AB$23+'TE CVA'!$AB$23)*(1-CUSTOS!$M$38)</f>
        <v>236.80902583286482</v>
      </c>
      <c r="AB255" s="6">
        <f t="shared" si="12"/>
        <v>0</v>
      </c>
      <c r="AC255" s="6">
        <f>(L255-M255)*(W255+X255)+($W$165+$X$165-$W$255-$X$255)*(L255)</f>
        <v>6776.5363499999994</v>
      </c>
      <c r="AD255" s="6">
        <f t="shared" si="13"/>
        <v>0</v>
      </c>
      <c r="AE255" s="6">
        <f ca="1">(L255-M255)*(Z255+AA255)+($Z$165+$AA$165-$Z$255-$AA$255)*(L255)</f>
        <v>3697.4722535971832</v>
      </c>
      <c r="AF255" s="4" t="s">
        <v>561</v>
      </c>
    </row>
    <row r="256" spans="1:32" ht="11.25" customHeight="1" x14ac:dyDescent="0.25">
      <c r="A256" s="4" t="s">
        <v>27</v>
      </c>
      <c r="B256" s="4" t="s">
        <v>40</v>
      </c>
      <c r="C256" s="4" t="s">
        <v>23</v>
      </c>
      <c r="D256" s="4" t="s">
        <v>41</v>
      </c>
      <c r="E256" s="4" t="s">
        <v>49</v>
      </c>
      <c r="F256" s="4" t="s">
        <v>50</v>
      </c>
      <c r="G256" s="4" t="s">
        <v>25</v>
      </c>
      <c r="H256" s="4" t="s">
        <v>25</v>
      </c>
      <c r="I256" s="5">
        <v>44501</v>
      </c>
      <c r="J256" s="6">
        <v>0</v>
      </c>
      <c r="K256" s="6">
        <v>0</v>
      </c>
      <c r="L256" s="6">
        <v>0.2</v>
      </c>
      <c r="M256" s="6">
        <v>0.2</v>
      </c>
      <c r="N256" s="6">
        <v>0.2</v>
      </c>
      <c r="O256" s="6">
        <v>0.2</v>
      </c>
      <c r="P256" s="6">
        <v>0</v>
      </c>
      <c r="Q256" s="4" t="s">
        <v>26</v>
      </c>
      <c r="R256" s="4">
        <v>0</v>
      </c>
      <c r="S256" s="4">
        <v>0</v>
      </c>
      <c r="T256" s="4">
        <v>61</v>
      </c>
      <c r="U256" s="4">
        <v>72</v>
      </c>
      <c r="V256" s="6">
        <f>IF(ISERROR(VLOOKUP($S$256,'TAR FIN'!$A$1:$O$88,15,0)),0,VLOOKUP($S$256,'TAR FIN'!$A$1:$O$88,15,0))</f>
        <v>0</v>
      </c>
      <c r="W256" s="6">
        <f>IF(ISERROR(VLOOKUP($T$256,'TAR FIN'!$A$1:$O$88,15,0)),0,VLOOKUP($T$256,'TAR FIN'!$A$1:$O$88,15,0))</f>
        <v>374.66</v>
      </c>
      <c r="X256" s="6">
        <f>IF(ISERROR(VLOOKUP($U$256,'TAR FIN'!$A$1:$O$88,15,0)),0,VLOOKUP($U$256,'TAR FIN'!$A$1:$O$88,15,0))</f>
        <v>221.96</v>
      </c>
      <c r="Y256" s="6"/>
      <c r="Z256" s="6">
        <f ca="1">('TUSD BE'!$AM$33+'TUSD BF'!$AM$33+'TUSD CVA'!$AM$33)*(1-CUSTOS!$M$38)</f>
        <v>458.58557094695544</v>
      </c>
      <c r="AA256" s="6">
        <f>('TE BE'!$AB$23+'TE BF'!$AB$23+'TE CVA'!$AB$23)*(1-CUSTOS!$M$38)</f>
        <v>236.80902583286482</v>
      </c>
      <c r="AB256" s="6">
        <f t="shared" si="12"/>
        <v>0</v>
      </c>
      <c r="AC256" s="6">
        <f>(L256-M256)*(W256+X256)+($W$165+$X$165-$W$256-$X$256)*(L256)</f>
        <v>16.27</v>
      </c>
      <c r="AD256" s="6">
        <f t="shared" si="13"/>
        <v>0</v>
      </c>
      <c r="AE256" s="6">
        <f ca="1">(L256-M256)*(Z256+AA256)+($Z$165+$AA$165-$Z$256-$AA$256)*(L256)</f>
        <v>8.8773778312317582</v>
      </c>
      <c r="AF256" s="4" t="s">
        <v>561</v>
      </c>
    </row>
    <row r="257" spans="1:32" ht="11.25" customHeight="1" x14ac:dyDescent="0.25">
      <c r="A257" s="4" t="s">
        <v>28</v>
      </c>
      <c r="B257" s="4" t="s">
        <v>40</v>
      </c>
      <c r="C257" s="4" t="s">
        <v>23</v>
      </c>
      <c r="D257" s="4" t="s">
        <v>41</v>
      </c>
      <c r="E257" s="4" t="s">
        <v>49</v>
      </c>
      <c r="F257" s="4" t="s">
        <v>50</v>
      </c>
      <c r="G257" s="4" t="s">
        <v>25</v>
      </c>
      <c r="H257" s="4" t="s">
        <v>25</v>
      </c>
      <c r="I257" s="5">
        <v>44501</v>
      </c>
      <c r="J257" s="6">
        <v>0</v>
      </c>
      <c r="K257" s="6">
        <v>0</v>
      </c>
      <c r="L257" s="6">
        <v>1.4670000000000001</v>
      </c>
      <c r="M257" s="6">
        <v>1.4670000000000001</v>
      </c>
      <c r="N257" s="6">
        <v>1.4670000000000001</v>
      </c>
      <c r="O257" s="6">
        <v>1.4670000000000001</v>
      </c>
      <c r="P257" s="6">
        <v>0</v>
      </c>
      <c r="Q257" s="4" t="s">
        <v>26</v>
      </c>
      <c r="R257" s="4">
        <v>0</v>
      </c>
      <c r="S257" s="4">
        <v>0</v>
      </c>
      <c r="T257" s="4">
        <v>61</v>
      </c>
      <c r="U257" s="4">
        <v>72</v>
      </c>
      <c r="V257" s="6">
        <f>IF(ISERROR(VLOOKUP($S$257,'TAR FIN'!$A$1:$O$88,15,0)),0,VLOOKUP($S$257,'TAR FIN'!$A$1:$O$88,15,0))</f>
        <v>0</v>
      </c>
      <c r="W257" s="6">
        <f>IF(ISERROR(VLOOKUP($T$257,'TAR FIN'!$A$1:$O$88,15,0)),0,VLOOKUP($T$257,'TAR FIN'!$A$1:$O$88,15,0))</f>
        <v>374.66</v>
      </c>
      <c r="X257" s="6">
        <f>IF(ISERROR(VLOOKUP($U$257,'TAR FIN'!$A$1:$O$88,15,0)),0,VLOOKUP($U$257,'TAR FIN'!$A$1:$O$88,15,0))</f>
        <v>221.96</v>
      </c>
      <c r="Y257" s="6"/>
      <c r="Z257" s="6">
        <f ca="1">('TUSD BE'!$AM$33+'TUSD BF'!$AM$33+'TUSD CVA'!$AM$33)*(1-CUSTOS!$M$38)</f>
        <v>458.58557094695544</v>
      </c>
      <c r="AA257" s="6">
        <f>('TE BE'!$AB$23+'TE BF'!$AB$23+'TE CVA'!$AB$23)*(1-CUSTOS!$M$38)</f>
        <v>236.80902583286482</v>
      </c>
      <c r="AB257" s="6">
        <f t="shared" si="12"/>
        <v>0</v>
      </c>
      <c r="AC257" s="6">
        <f>(L257-M257)*(W257+X257)+($W$165+$X$165-$W$257-$X$257)*(L257)</f>
        <v>119.34045</v>
      </c>
      <c r="AD257" s="6">
        <f t="shared" si="13"/>
        <v>0</v>
      </c>
      <c r="AE257" s="6">
        <f ca="1">(L257-M257)*(Z257+AA257)+($Z$165+$AA$165-$Z$257-$AA$257)*(L257)</f>
        <v>65.115566392084943</v>
      </c>
      <c r="AF257" s="4" t="s">
        <v>561</v>
      </c>
    </row>
    <row r="258" spans="1:32" ht="11.25" customHeight="1" x14ac:dyDescent="0.25">
      <c r="A258" s="4" t="s">
        <v>21</v>
      </c>
      <c r="B258" s="4" t="s">
        <v>40</v>
      </c>
      <c r="C258" s="4" t="s">
        <v>23</v>
      </c>
      <c r="D258" s="4" t="s">
        <v>41</v>
      </c>
      <c r="E258" s="4" t="s">
        <v>49</v>
      </c>
      <c r="F258" s="4" t="s">
        <v>50</v>
      </c>
      <c r="G258" s="4" t="s">
        <v>25</v>
      </c>
      <c r="H258" s="4" t="s">
        <v>25</v>
      </c>
      <c r="I258" s="5">
        <v>44531</v>
      </c>
      <c r="J258" s="6">
        <v>0</v>
      </c>
      <c r="K258" s="6">
        <v>0</v>
      </c>
      <c r="L258" s="6">
        <v>209.755</v>
      </c>
      <c r="M258" s="6">
        <v>209.755</v>
      </c>
      <c r="N258" s="6">
        <v>209.755</v>
      </c>
      <c r="O258" s="6">
        <v>209.755</v>
      </c>
      <c r="P258" s="6">
        <v>0</v>
      </c>
      <c r="Q258" s="4" t="s">
        <v>26</v>
      </c>
      <c r="R258" s="4">
        <v>0</v>
      </c>
      <c r="S258" s="4">
        <v>0</v>
      </c>
      <c r="T258" s="4">
        <v>61</v>
      </c>
      <c r="U258" s="4">
        <v>72</v>
      </c>
      <c r="V258" s="6">
        <f>IF(ISERROR(VLOOKUP($S$258,'TAR FIN'!$A$1:$O$88,15,0)),0,VLOOKUP($S$258,'TAR FIN'!$A$1:$O$88,15,0))</f>
        <v>0</v>
      </c>
      <c r="W258" s="6">
        <f>IF(ISERROR(VLOOKUP($T$258,'TAR FIN'!$A$1:$O$88,15,0)),0,VLOOKUP($T$258,'TAR FIN'!$A$1:$O$88,15,0))</f>
        <v>374.66</v>
      </c>
      <c r="X258" s="6">
        <f>IF(ISERROR(VLOOKUP($U$258,'TAR FIN'!$A$1:$O$88,15,0)),0,VLOOKUP($U$258,'TAR FIN'!$A$1:$O$88,15,0))</f>
        <v>221.96</v>
      </c>
      <c r="Y258" s="6"/>
      <c r="Z258" s="6">
        <f ca="1">('TUSD BE'!$AM$33+'TUSD BF'!$AM$33+'TUSD CVA'!$AM$33)*(1-CUSTOS!$M$38)</f>
        <v>458.58557094695544</v>
      </c>
      <c r="AA258" s="6">
        <f>('TE BE'!$AB$23+'TE BF'!$AB$23+'TE CVA'!$AB$23)*(1-CUSTOS!$M$38)</f>
        <v>236.80902583286482</v>
      </c>
      <c r="AB258" s="6">
        <f t="shared" ref="AB258:AB321" si="14">(J258-K258)*V258</f>
        <v>0</v>
      </c>
      <c r="AC258" s="6">
        <f>(L258-M258)*(W258+X258)+($W$165+$X$165-$W$258-$X$258)*(L258)</f>
        <v>17063.569249999997</v>
      </c>
      <c r="AD258" s="6">
        <f t="shared" ref="AD258:AD321" si="15">(J258-K258)*Y258</f>
        <v>0</v>
      </c>
      <c r="AE258" s="6">
        <f ca="1">(L258-M258)*(Z258+AA258)+($Z$165+$AA$165-$Z$258-$AA$258)*(L258)</f>
        <v>9310.3719349500861</v>
      </c>
      <c r="AF258" s="4" t="s">
        <v>561</v>
      </c>
    </row>
    <row r="259" spans="1:32" ht="11.25" customHeight="1" x14ac:dyDescent="0.25">
      <c r="A259" s="4" t="s">
        <v>28</v>
      </c>
      <c r="B259" s="4" t="s">
        <v>40</v>
      </c>
      <c r="C259" s="4" t="s">
        <v>23</v>
      </c>
      <c r="D259" s="4" t="s">
        <v>41</v>
      </c>
      <c r="E259" s="4" t="s">
        <v>49</v>
      </c>
      <c r="F259" s="4" t="s">
        <v>50</v>
      </c>
      <c r="G259" s="4" t="s">
        <v>25</v>
      </c>
      <c r="H259" s="4" t="s">
        <v>25</v>
      </c>
      <c r="I259" s="5">
        <v>44531</v>
      </c>
      <c r="J259" s="6">
        <v>0</v>
      </c>
      <c r="K259" s="6">
        <v>0</v>
      </c>
      <c r="L259" s="6">
        <v>0.89200000000000002</v>
      </c>
      <c r="M259" s="6">
        <v>0.89200000000000002</v>
      </c>
      <c r="N259" s="6">
        <v>0.89200000000000002</v>
      </c>
      <c r="O259" s="6">
        <v>0.89200000000000002</v>
      </c>
      <c r="P259" s="6">
        <v>0</v>
      </c>
      <c r="Q259" s="4" t="s">
        <v>26</v>
      </c>
      <c r="R259" s="4">
        <v>0</v>
      </c>
      <c r="S259" s="4">
        <v>0</v>
      </c>
      <c r="T259" s="4">
        <v>61</v>
      </c>
      <c r="U259" s="4">
        <v>72</v>
      </c>
      <c r="V259" s="6">
        <f>IF(ISERROR(VLOOKUP($S$259,'TAR FIN'!$A$1:$O$88,15,0)),0,VLOOKUP($S$259,'TAR FIN'!$A$1:$O$88,15,0))</f>
        <v>0</v>
      </c>
      <c r="W259" s="6">
        <f>IF(ISERROR(VLOOKUP($T$259,'TAR FIN'!$A$1:$O$88,15,0)),0,VLOOKUP($T$259,'TAR FIN'!$A$1:$O$88,15,0))</f>
        <v>374.66</v>
      </c>
      <c r="X259" s="6">
        <f>IF(ISERROR(VLOOKUP($U$259,'TAR FIN'!$A$1:$O$88,15,0)),0,VLOOKUP($U$259,'TAR FIN'!$A$1:$O$88,15,0))</f>
        <v>221.96</v>
      </c>
      <c r="Y259" s="6"/>
      <c r="Z259" s="6">
        <f ca="1">('TUSD BE'!$AM$33+'TUSD BF'!$AM$33+'TUSD CVA'!$AM$33)*(1-CUSTOS!$M$38)</f>
        <v>458.58557094695544</v>
      </c>
      <c r="AA259" s="6">
        <f>('TE BE'!$AB$23+'TE BF'!$AB$23+'TE CVA'!$AB$23)*(1-CUSTOS!$M$38)</f>
        <v>236.80902583286482</v>
      </c>
      <c r="AB259" s="6">
        <f t="shared" si="14"/>
        <v>0</v>
      </c>
      <c r="AC259" s="6">
        <f>(L259-M259)*(W259+X259)+($W$165+$X$165-$W$259-$X$259)*(L259)</f>
        <v>72.5642</v>
      </c>
      <c r="AD259" s="6">
        <f t="shared" si="15"/>
        <v>0</v>
      </c>
      <c r="AE259" s="6">
        <f ca="1">(L259-M259)*(Z259+AA259)+($Z$165+$AA$165-$Z$259-$AA$259)*(L259)</f>
        <v>39.59310512729364</v>
      </c>
      <c r="AF259" s="4" t="s">
        <v>561</v>
      </c>
    </row>
    <row r="260" spans="1:32" ht="11.25" customHeight="1" x14ac:dyDescent="0.25">
      <c r="A260" s="4" t="s">
        <v>21</v>
      </c>
      <c r="B260" s="4" t="s">
        <v>40</v>
      </c>
      <c r="C260" s="4" t="s">
        <v>23</v>
      </c>
      <c r="D260" s="4" t="s">
        <v>41</v>
      </c>
      <c r="E260" s="4" t="s">
        <v>49</v>
      </c>
      <c r="F260" s="4" t="s">
        <v>50</v>
      </c>
      <c r="G260" s="4" t="s">
        <v>25</v>
      </c>
      <c r="H260" s="4" t="s">
        <v>25</v>
      </c>
      <c r="I260" s="5">
        <v>44562</v>
      </c>
      <c r="J260" s="6">
        <v>0</v>
      </c>
      <c r="K260" s="6">
        <v>0</v>
      </c>
      <c r="L260" s="6">
        <v>243.178</v>
      </c>
      <c r="M260" s="6">
        <v>243.178</v>
      </c>
      <c r="N260" s="6">
        <v>243.178</v>
      </c>
      <c r="O260" s="6">
        <v>243.178</v>
      </c>
      <c r="P260" s="6">
        <v>0</v>
      </c>
      <c r="Q260" s="4" t="s">
        <v>26</v>
      </c>
      <c r="R260" s="4">
        <v>0</v>
      </c>
      <c r="S260" s="4">
        <v>0</v>
      </c>
      <c r="T260" s="4">
        <v>61</v>
      </c>
      <c r="U260" s="4">
        <v>72</v>
      </c>
      <c r="V260" s="6">
        <f>IF(ISERROR(VLOOKUP($S$260,'TAR FIN'!$A$1:$O$88,15,0)),0,VLOOKUP($S$260,'TAR FIN'!$A$1:$O$88,15,0))</f>
        <v>0</v>
      </c>
      <c r="W260" s="6">
        <f>IF(ISERROR(VLOOKUP($T$260,'TAR FIN'!$A$1:$O$88,15,0)),0,VLOOKUP($T$260,'TAR FIN'!$A$1:$O$88,15,0))</f>
        <v>374.66</v>
      </c>
      <c r="X260" s="6">
        <f>IF(ISERROR(VLOOKUP($U$260,'TAR FIN'!$A$1:$O$88,15,0)),0,VLOOKUP($U$260,'TAR FIN'!$A$1:$O$88,15,0))</f>
        <v>221.96</v>
      </c>
      <c r="Y260" s="6"/>
      <c r="Z260" s="6">
        <f ca="1">('TUSD BE'!$AM$33+'TUSD BF'!$AM$33+'TUSD CVA'!$AM$33)*(1-CUSTOS!$M$38)</f>
        <v>458.58557094695544</v>
      </c>
      <c r="AA260" s="6">
        <f>('TE BE'!$AB$23+'TE BF'!$AB$23+'TE CVA'!$AB$23)*(1-CUSTOS!$M$38)</f>
        <v>236.80902583286482</v>
      </c>
      <c r="AB260" s="6">
        <f t="shared" si="14"/>
        <v>0</v>
      </c>
      <c r="AC260" s="6">
        <f>(L260-M260)*(W260+X260)+($W$165+$X$165-$W$260-$X$260)*(L260)</f>
        <v>19782.530299999999</v>
      </c>
      <c r="AD260" s="6">
        <f t="shared" si="15"/>
        <v>0</v>
      </c>
      <c r="AE260" s="6">
        <f ca="1">(L260-M260)*(Z260+AA260)+($Z$165+$AA$165-$Z$260-$AA$260)*(L260)</f>
        <v>10793.914931216381</v>
      </c>
      <c r="AF260" s="4" t="s">
        <v>561</v>
      </c>
    </row>
    <row r="261" spans="1:32" ht="11.25" customHeight="1" x14ac:dyDescent="0.25">
      <c r="A261" s="4" t="s">
        <v>28</v>
      </c>
      <c r="B261" s="4" t="s">
        <v>40</v>
      </c>
      <c r="C261" s="4" t="s">
        <v>23</v>
      </c>
      <c r="D261" s="4" t="s">
        <v>41</v>
      </c>
      <c r="E261" s="4" t="s">
        <v>49</v>
      </c>
      <c r="F261" s="4" t="s">
        <v>50</v>
      </c>
      <c r="G261" s="4" t="s">
        <v>25</v>
      </c>
      <c r="H261" s="4" t="s">
        <v>25</v>
      </c>
      <c r="I261" s="5">
        <v>44562</v>
      </c>
      <c r="J261" s="6">
        <v>0</v>
      </c>
      <c r="K261" s="6">
        <v>0</v>
      </c>
      <c r="L261" s="6">
        <v>3.8889999999999998</v>
      </c>
      <c r="M261" s="6">
        <v>3.8889999999999998</v>
      </c>
      <c r="N261" s="6">
        <v>3.8889999999999998</v>
      </c>
      <c r="O261" s="6">
        <v>3.8889999999999998</v>
      </c>
      <c r="P261" s="6">
        <v>0</v>
      </c>
      <c r="Q261" s="4" t="s">
        <v>26</v>
      </c>
      <c r="R261" s="4">
        <v>0</v>
      </c>
      <c r="S261" s="4">
        <v>0</v>
      </c>
      <c r="T261" s="4">
        <v>61</v>
      </c>
      <c r="U261" s="4">
        <v>72</v>
      </c>
      <c r="V261" s="6">
        <f>IF(ISERROR(VLOOKUP($S$261,'TAR FIN'!$A$1:$O$88,15,0)),0,VLOOKUP($S$261,'TAR FIN'!$A$1:$O$88,15,0))</f>
        <v>0</v>
      </c>
      <c r="W261" s="6">
        <f>IF(ISERROR(VLOOKUP($T$261,'TAR FIN'!$A$1:$O$88,15,0)),0,VLOOKUP($T$261,'TAR FIN'!$A$1:$O$88,15,0))</f>
        <v>374.66</v>
      </c>
      <c r="X261" s="6">
        <f>IF(ISERROR(VLOOKUP($U$261,'TAR FIN'!$A$1:$O$88,15,0)),0,VLOOKUP($U$261,'TAR FIN'!$A$1:$O$88,15,0))</f>
        <v>221.96</v>
      </c>
      <c r="Y261" s="6"/>
      <c r="Z261" s="6">
        <f ca="1">('TUSD BE'!$AM$33+'TUSD BF'!$AM$33+'TUSD CVA'!$AM$33)*(1-CUSTOS!$M$38)</f>
        <v>458.58557094695544</v>
      </c>
      <c r="AA261" s="6">
        <f>('TE BE'!$AB$23+'TE BF'!$AB$23+'TE CVA'!$AB$23)*(1-CUSTOS!$M$38)</f>
        <v>236.80902583286482</v>
      </c>
      <c r="AB261" s="6">
        <f t="shared" si="14"/>
        <v>0</v>
      </c>
      <c r="AC261" s="6">
        <f>(L261-M261)*(W261+X261)+($W$165+$X$165-$W$261-$X$261)*(L261)</f>
        <v>316.37014999999997</v>
      </c>
      <c r="AD261" s="6">
        <f t="shared" si="15"/>
        <v>0</v>
      </c>
      <c r="AE261" s="6">
        <f ca="1">(L261-M261)*(Z261+AA261)+($Z$165+$AA$165-$Z$261-$AA$261)*(L261)</f>
        <v>172.62061192830151</v>
      </c>
      <c r="AF261" s="4" t="s">
        <v>561</v>
      </c>
    </row>
    <row r="262" spans="1:32" ht="11.25" customHeight="1" x14ac:dyDescent="0.25">
      <c r="A262" s="4" t="s">
        <v>21</v>
      </c>
      <c r="B262" s="4" t="s">
        <v>40</v>
      </c>
      <c r="C262" s="4" t="s">
        <v>23</v>
      </c>
      <c r="D262" s="4" t="s">
        <v>41</v>
      </c>
      <c r="E262" s="4" t="s">
        <v>49</v>
      </c>
      <c r="F262" s="4" t="s">
        <v>50</v>
      </c>
      <c r="G262" s="4" t="s">
        <v>25</v>
      </c>
      <c r="H262" s="4" t="s">
        <v>25</v>
      </c>
      <c r="I262" s="5">
        <v>44593</v>
      </c>
      <c r="J262" s="6">
        <v>0</v>
      </c>
      <c r="K262" s="6">
        <v>0</v>
      </c>
      <c r="L262" s="6">
        <v>220.43299999999999</v>
      </c>
      <c r="M262" s="6">
        <v>220.43299999999999</v>
      </c>
      <c r="N262" s="6">
        <v>220.43299999999999</v>
      </c>
      <c r="O262" s="6">
        <v>220.43299999999999</v>
      </c>
      <c r="P262" s="6">
        <v>0</v>
      </c>
      <c r="Q262" s="4" t="s">
        <v>26</v>
      </c>
      <c r="R262" s="4">
        <v>0</v>
      </c>
      <c r="S262" s="4">
        <v>0</v>
      </c>
      <c r="T262" s="4">
        <v>61</v>
      </c>
      <c r="U262" s="4">
        <v>72</v>
      </c>
      <c r="V262" s="6">
        <f>IF(ISERROR(VLOOKUP($S$262,'TAR FIN'!$A$1:$O$88,15,0)),0,VLOOKUP($S$262,'TAR FIN'!$A$1:$O$88,15,0))</f>
        <v>0</v>
      </c>
      <c r="W262" s="6">
        <f>IF(ISERROR(VLOOKUP($T$262,'TAR FIN'!$A$1:$O$88,15,0)),0,VLOOKUP($T$262,'TAR FIN'!$A$1:$O$88,15,0))</f>
        <v>374.66</v>
      </c>
      <c r="X262" s="6">
        <f>IF(ISERROR(VLOOKUP($U$262,'TAR FIN'!$A$1:$O$88,15,0)),0,VLOOKUP($U$262,'TAR FIN'!$A$1:$O$88,15,0))</f>
        <v>221.96</v>
      </c>
      <c r="Y262" s="6"/>
      <c r="Z262" s="6">
        <f ca="1">('TUSD BE'!$AM$33+'TUSD BF'!$AM$33+'TUSD CVA'!$AM$33)*(1-CUSTOS!$M$38)</f>
        <v>458.58557094695544</v>
      </c>
      <c r="AA262" s="6">
        <f>('TE BE'!$AB$23+'TE BF'!$AB$23+'TE CVA'!$AB$23)*(1-CUSTOS!$M$38)</f>
        <v>236.80902583286482</v>
      </c>
      <c r="AB262" s="6">
        <f t="shared" si="14"/>
        <v>0</v>
      </c>
      <c r="AC262" s="6">
        <f>(L262-M262)*(W262+X262)+($W$165+$X$165-$W$262-$X$262)*(L262)</f>
        <v>17932.224549999999</v>
      </c>
      <c r="AD262" s="6">
        <f t="shared" si="15"/>
        <v>0</v>
      </c>
      <c r="AE262" s="6">
        <f ca="1">(L262-M262)*(Z262+AA262)+($Z$165+$AA$165-$Z$262-$AA$262)*(L262)</f>
        <v>9784.3351373595488</v>
      </c>
      <c r="AF262" s="4" t="s">
        <v>561</v>
      </c>
    </row>
    <row r="263" spans="1:32" ht="11.25" customHeight="1" x14ac:dyDescent="0.25">
      <c r="A263" s="4" t="s">
        <v>28</v>
      </c>
      <c r="B263" s="4" t="s">
        <v>40</v>
      </c>
      <c r="C263" s="4" t="s">
        <v>23</v>
      </c>
      <c r="D263" s="4" t="s">
        <v>41</v>
      </c>
      <c r="E263" s="4" t="s">
        <v>49</v>
      </c>
      <c r="F263" s="4" t="s">
        <v>50</v>
      </c>
      <c r="G263" s="4" t="s">
        <v>25</v>
      </c>
      <c r="H263" s="4" t="s">
        <v>25</v>
      </c>
      <c r="I263" s="5">
        <v>44593</v>
      </c>
      <c r="J263" s="6">
        <v>0</v>
      </c>
      <c r="K263" s="6">
        <v>0</v>
      </c>
      <c r="L263" s="6">
        <v>0.1</v>
      </c>
      <c r="M263" s="6">
        <v>0.1</v>
      </c>
      <c r="N263" s="6">
        <v>0.1</v>
      </c>
      <c r="O263" s="6">
        <v>0.1</v>
      </c>
      <c r="P263" s="6">
        <v>0</v>
      </c>
      <c r="Q263" s="4" t="s">
        <v>26</v>
      </c>
      <c r="R263" s="4">
        <v>0</v>
      </c>
      <c r="S263" s="4">
        <v>0</v>
      </c>
      <c r="T263" s="4">
        <v>61</v>
      </c>
      <c r="U263" s="4">
        <v>72</v>
      </c>
      <c r="V263" s="6">
        <f>IF(ISERROR(VLOOKUP($S$263,'TAR FIN'!$A$1:$O$88,15,0)),0,VLOOKUP($S$263,'TAR FIN'!$A$1:$O$88,15,0))</f>
        <v>0</v>
      </c>
      <c r="W263" s="6">
        <f>IF(ISERROR(VLOOKUP($T$263,'TAR FIN'!$A$1:$O$88,15,0)),0,VLOOKUP($T$263,'TAR FIN'!$A$1:$O$88,15,0))</f>
        <v>374.66</v>
      </c>
      <c r="X263" s="6">
        <f>IF(ISERROR(VLOOKUP($U$263,'TAR FIN'!$A$1:$O$88,15,0)),0,VLOOKUP($U$263,'TAR FIN'!$A$1:$O$88,15,0))</f>
        <v>221.96</v>
      </c>
      <c r="Y263" s="6"/>
      <c r="Z263" s="6">
        <f ca="1">('TUSD BE'!$AM$33+'TUSD BF'!$AM$33+'TUSD CVA'!$AM$33)*(1-CUSTOS!$M$38)</f>
        <v>458.58557094695544</v>
      </c>
      <c r="AA263" s="6">
        <f>('TE BE'!$AB$23+'TE BF'!$AB$23+'TE CVA'!$AB$23)*(1-CUSTOS!$M$38)</f>
        <v>236.80902583286482</v>
      </c>
      <c r="AB263" s="6">
        <f t="shared" si="14"/>
        <v>0</v>
      </c>
      <c r="AC263" s="6">
        <f>(L263-M263)*(W263+X263)+($W$165+$X$165-$W$263-$X$263)*(L263)</f>
        <v>8.1349999999999998</v>
      </c>
      <c r="AD263" s="6">
        <f t="shared" si="15"/>
        <v>0</v>
      </c>
      <c r="AE263" s="6">
        <f ca="1">(L263-M263)*(Z263+AA263)+($Z$165+$AA$165-$Z$263-$AA$263)*(L263)</f>
        <v>4.4386889156158791</v>
      </c>
      <c r="AF263" s="4" t="s">
        <v>561</v>
      </c>
    </row>
    <row r="264" spans="1:32" ht="11.25" customHeight="1" x14ac:dyDescent="0.25">
      <c r="A264" s="4" t="s">
        <v>21</v>
      </c>
      <c r="B264" s="4" t="s">
        <v>40</v>
      </c>
      <c r="C264" s="4" t="s">
        <v>23</v>
      </c>
      <c r="D264" s="4" t="s">
        <v>41</v>
      </c>
      <c r="E264" s="4" t="s">
        <v>49</v>
      </c>
      <c r="F264" s="4" t="s">
        <v>50</v>
      </c>
      <c r="G264" s="4" t="s">
        <v>25</v>
      </c>
      <c r="H264" s="4" t="s">
        <v>25</v>
      </c>
      <c r="I264" s="5">
        <v>44621</v>
      </c>
      <c r="J264" s="6">
        <v>0</v>
      </c>
      <c r="K264" s="6">
        <v>0</v>
      </c>
      <c r="L264" s="6">
        <v>139.81899999999999</v>
      </c>
      <c r="M264" s="6">
        <v>139.81899999999999</v>
      </c>
      <c r="N264" s="6">
        <v>139.81899999999999</v>
      </c>
      <c r="O264" s="6">
        <v>139.81899999999999</v>
      </c>
      <c r="P264" s="6">
        <v>0</v>
      </c>
      <c r="Q264" s="4" t="s">
        <v>26</v>
      </c>
      <c r="R264" s="4">
        <v>0</v>
      </c>
      <c r="S264" s="4">
        <v>0</v>
      </c>
      <c r="T264" s="4">
        <v>61</v>
      </c>
      <c r="U264" s="4">
        <v>72</v>
      </c>
      <c r="V264" s="6">
        <f>IF(ISERROR(VLOOKUP($S$264,'TAR FIN'!$A$1:$O$88,15,0)),0,VLOOKUP($S$264,'TAR FIN'!$A$1:$O$88,15,0))</f>
        <v>0</v>
      </c>
      <c r="W264" s="6">
        <f>IF(ISERROR(VLOOKUP($T$264,'TAR FIN'!$A$1:$O$88,15,0)),0,VLOOKUP($T$264,'TAR FIN'!$A$1:$O$88,15,0))</f>
        <v>374.66</v>
      </c>
      <c r="X264" s="6">
        <f>IF(ISERROR(VLOOKUP($U$264,'TAR FIN'!$A$1:$O$88,15,0)),0,VLOOKUP($U$264,'TAR FIN'!$A$1:$O$88,15,0))</f>
        <v>221.96</v>
      </c>
      <c r="Y264" s="6"/>
      <c r="Z264" s="6">
        <f ca="1">('TUSD BE'!$AM$33+'TUSD BF'!$AM$33+'TUSD CVA'!$AM$33)*(1-CUSTOS!$M$38)</f>
        <v>458.58557094695544</v>
      </c>
      <c r="AA264" s="6">
        <f>('TE BE'!$AB$23+'TE BF'!$AB$23+'TE CVA'!$AB$23)*(1-CUSTOS!$M$38)</f>
        <v>236.80902583286482</v>
      </c>
      <c r="AB264" s="6">
        <f t="shared" si="14"/>
        <v>0</v>
      </c>
      <c r="AC264" s="6">
        <f>(L264-M264)*(W264+X264)+($W$165+$X$165-$W$264-$X$264)*(L264)</f>
        <v>11374.275649999998</v>
      </c>
      <c r="AD264" s="6">
        <f t="shared" si="15"/>
        <v>0</v>
      </c>
      <c r="AE264" s="6">
        <f ca="1">(L264-M264)*(Z264+AA264)+($Z$165+$AA$165-$Z$264-$AA$264)*(L264)</f>
        <v>6206.1304549249653</v>
      </c>
      <c r="AF264" s="4" t="s">
        <v>561</v>
      </c>
    </row>
    <row r="265" spans="1:32" ht="11.25" customHeight="1" x14ac:dyDescent="0.25">
      <c r="A265" s="4" t="s">
        <v>28</v>
      </c>
      <c r="B265" s="4" t="s">
        <v>40</v>
      </c>
      <c r="C265" s="4" t="s">
        <v>23</v>
      </c>
      <c r="D265" s="4" t="s">
        <v>41</v>
      </c>
      <c r="E265" s="4" t="s">
        <v>49</v>
      </c>
      <c r="F265" s="4" t="s">
        <v>50</v>
      </c>
      <c r="G265" s="4" t="s">
        <v>25</v>
      </c>
      <c r="H265" s="4" t="s">
        <v>25</v>
      </c>
      <c r="I265" s="5">
        <v>44621</v>
      </c>
      <c r="J265" s="6">
        <v>0</v>
      </c>
      <c r="K265" s="6">
        <v>0</v>
      </c>
      <c r="L265" s="6">
        <v>10.055</v>
      </c>
      <c r="M265" s="6">
        <v>10.055</v>
      </c>
      <c r="N265" s="6">
        <v>10.055</v>
      </c>
      <c r="O265" s="6">
        <v>10.055</v>
      </c>
      <c r="P265" s="6">
        <v>0</v>
      </c>
      <c r="Q265" s="4" t="s">
        <v>26</v>
      </c>
      <c r="R265" s="4">
        <v>0</v>
      </c>
      <c r="S265" s="4">
        <v>0</v>
      </c>
      <c r="T265" s="4">
        <v>61</v>
      </c>
      <c r="U265" s="4">
        <v>72</v>
      </c>
      <c r="V265" s="6">
        <f>IF(ISERROR(VLOOKUP($S$265,'TAR FIN'!$A$1:$O$88,15,0)),0,VLOOKUP($S$265,'TAR FIN'!$A$1:$O$88,15,0))</f>
        <v>0</v>
      </c>
      <c r="W265" s="6">
        <f>IF(ISERROR(VLOOKUP($T$265,'TAR FIN'!$A$1:$O$88,15,0)),0,VLOOKUP($T$265,'TAR FIN'!$A$1:$O$88,15,0))</f>
        <v>374.66</v>
      </c>
      <c r="X265" s="6">
        <f>IF(ISERROR(VLOOKUP($U$265,'TAR FIN'!$A$1:$O$88,15,0)),0,VLOOKUP($U$265,'TAR FIN'!$A$1:$O$88,15,0))</f>
        <v>221.96</v>
      </c>
      <c r="Y265" s="6"/>
      <c r="Z265" s="6">
        <f ca="1">('TUSD BE'!$AM$33+'TUSD BF'!$AM$33+'TUSD CVA'!$AM$33)*(1-CUSTOS!$M$38)</f>
        <v>458.58557094695544</v>
      </c>
      <c r="AA265" s="6">
        <f>('TE BE'!$AB$23+'TE BF'!$AB$23+'TE CVA'!$AB$23)*(1-CUSTOS!$M$38)</f>
        <v>236.80902583286482</v>
      </c>
      <c r="AB265" s="6">
        <f t="shared" si="14"/>
        <v>0</v>
      </c>
      <c r="AC265" s="6">
        <f>(L265-M265)*(W265+X265)+($W$165+$X$165-$W$265-$X$265)*(L265)</f>
        <v>817.97424999999987</v>
      </c>
      <c r="AD265" s="6">
        <f t="shared" si="15"/>
        <v>0</v>
      </c>
      <c r="AE265" s="6">
        <f ca="1">(L265-M265)*(Z265+AA265)+($Z$165+$AA$165-$Z$265-$AA$265)*(L265)</f>
        <v>446.31017046517661</v>
      </c>
      <c r="AF265" s="4" t="s">
        <v>561</v>
      </c>
    </row>
    <row r="266" spans="1:32" ht="11.25" customHeight="1" x14ac:dyDescent="0.25">
      <c r="A266" s="4" t="s">
        <v>21</v>
      </c>
      <c r="B266" s="4" t="s">
        <v>40</v>
      </c>
      <c r="C266" s="4" t="s">
        <v>23</v>
      </c>
      <c r="D266" s="4" t="s">
        <v>41</v>
      </c>
      <c r="E266" s="4" t="s">
        <v>49</v>
      </c>
      <c r="F266" s="4" t="s">
        <v>50</v>
      </c>
      <c r="G266" s="4" t="s">
        <v>25</v>
      </c>
      <c r="H266" s="4" t="s">
        <v>25</v>
      </c>
      <c r="I266" s="5">
        <v>44652</v>
      </c>
      <c r="J266" s="6">
        <v>0</v>
      </c>
      <c r="K266" s="6">
        <v>0</v>
      </c>
      <c r="L266" s="6">
        <v>27.771999999999998</v>
      </c>
      <c r="M266" s="6">
        <v>27.771999999999998</v>
      </c>
      <c r="N266" s="6">
        <v>27.771999999999998</v>
      </c>
      <c r="O266" s="6">
        <v>27.771999999999998</v>
      </c>
      <c r="P266" s="6">
        <v>0</v>
      </c>
      <c r="Q266" s="4" t="s">
        <v>26</v>
      </c>
      <c r="R266" s="4">
        <v>0</v>
      </c>
      <c r="S266" s="4">
        <v>0</v>
      </c>
      <c r="T266" s="4">
        <v>61</v>
      </c>
      <c r="U266" s="4">
        <v>72</v>
      </c>
      <c r="V266" s="6">
        <f>IF(ISERROR(VLOOKUP($S$266,'TAR FIN'!$A$1:$O$88,15,0)),0,VLOOKUP($S$266,'TAR FIN'!$A$1:$O$88,15,0))</f>
        <v>0</v>
      </c>
      <c r="W266" s="6">
        <f>IF(ISERROR(VLOOKUP($T$266,'TAR FIN'!$A$1:$O$88,15,0)),0,VLOOKUP($T$266,'TAR FIN'!$A$1:$O$88,15,0))</f>
        <v>374.66</v>
      </c>
      <c r="X266" s="6">
        <f>IF(ISERROR(VLOOKUP($U$266,'TAR FIN'!$A$1:$O$88,15,0)),0,VLOOKUP($U$266,'TAR FIN'!$A$1:$O$88,15,0))</f>
        <v>221.96</v>
      </c>
      <c r="Y266" s="6"/>
      <c r="Z266" s="6">
        <f ca="1">('TUSD BE'!$AM$33+'TUSD BF'!$AM$33+'TUSD CVA'!$AM$33)*(1-CUSTOS!$M$38)</f>
        <v>458.58557094695544</v>
      </c>
      <c r="AA266" s="6">
        <f>('TE BE'!$AB$23+'TE BF'!$AB$23+'TE CVA'!$AB$23)*(1-CUSTOS!$M$38)</f>
        <v>236.80902583286482</v>
      </c>
      <c r="AB266" s="6">
        <f t="shared" si="14"/>
        <v>0</v>
      </c>
      <c r="AC266" s="6">
        <f>(L266-M266)*(W266+X266)+($W$165+$X$165-$W$266-$X$266)*(L266)</f>
        <v>2259.2521999999999</v>
      </c>
      <c r="AD266" s="6">
        <f t="shared" si="15"/>
        <v>0</v>
      </c>
      <c r="AE266" s="6">
        <f ca="1">(L266-M266)*(Z266+AA266)+($Z$165+$AA$165-$Z$266-$AA$266)*(L266)</f>
        <v>1232.7126856448417</v>
      </c>
      <c r="AF266" s="4" t="s">
        <v>561</v>
      </c>
    </row>
    <row r="267" spans="1:32" ht="11.25" customHeight="1" x14ac:dyDescent="0.25">
      <c r="A267" s="4" t="s">
        <v>28</v>
      </c>
      <c r="B267" s="4" t="s">
        <v>40</v>
      </c>
      <c r="C267" s="4" t="s">
        <v>23</v>
      </c>
      <c r="D267" s="4" t="s">
        <v>41</v>
      </c>
      <c r="E267" s="4" t="s">
        <v>49</v>
      </c>
      <c r="F267" s="4" t="s">
        <v>50</v>
      </c>
      <c r="G267" s="4" t="s">
        <v>25</v>
      </c>
      <c r="H267" s="4" t="s">
        <v>25</v>
      </c>
      <c r="I267" s="5">
        <v>44652</v>
      </c>
      <c r="J267" s="6">
        <v>0</v>
      </c>
      <c r="K267" s="6">
        <v>0</v>
      </c>
      <c r="L267" s="6">
        <v>0.2</v>
      </c>
      <c r="M267" s="6">
        <v>0.2</v>
      </c>
      <c r="N267" s="6">
        <v>0.2</v>
      </c>
      <c r="O267" s="6">
        <v>0.2</v>
      </c>
      <c r="P267" s="6">
        <v>0</v>
      </c>
      <c r="Q267" s="4" t="s">
        <v>26</v>
      </c>
      <c r="R267" s="4">
        <v>0</v>
      </c>
      <c r="S267" s="4">
        <v>0</v>
      </c>
      <c r="T267" s="4">
        <v>61</v>
      </c>
      <c r="U267" s="4">
        <v>72</v>
      </c>
      <c r="V267" s="6">
        <f>IF(ISERROR(VLOOKUP($S$267,'TAR FIN'!$A$1:$O$88,15,0)),0,VLOOKUP($S$267,'TAR FIN'!$A$1:$O$88,15,0))</f>
        <v>0</v>
      </c>
      <c r="W267" s="6">
        <f>IF(ISERROR(VLOOKUP($T$267,'TAR FIN'!$A$1:$O$88,15,0)),0,VLOOKUP($T$267,'TAR FIN'!$A$1:$O$88,15,0))</f>
        <v>374.66</v>
      </c>
      <c r="X267" s="6">
        <f>IF(ISERROR(VLOOKUP($U$267,'TAR FIN'!$A$1:$O$88,15,0)),0,VLOOKUP($U$267,'TAR FIN'!$A$1:$O$88,15,0))</f>
        <v>221.96</v>
      </c>
      <c r="Y267" s="6"/>
      <c r="Z267" s="6">
        <f ca="1">('TUSD BE'!$AM$33+'TUSD BF'!$AM$33+'TUSD CVA'!$AM$33)*(1-CUSTOS!$M$38)</f>
        <v>458.58557094695544</v>
      </c>
      <c r="AA267" s="6">
        <f>('TE BE'!$AB$23+'TE BF'!$AB$23+'TE CVA'!$AB$23)*(1-CUSTOS!$M$38)</f>
        <v>236.80902583286482</v>
      </c>
      <c r="AB267" s="6">
        <f t="shared" si="14"/>
        <v>0</v>
      </c>
      <c r="AC267" s="6">
        <f>(L267-M267)*(W267+X267)+($W$165+$X$165-$W$267-$X$267)*(L267)</f>
        <v>16.27</v>
      </c>
      <c r="AD267" s="6">
        <f t="shared" si="15"/>
        <v>0</v>
      </c>
      <c r="AE267" s="6">
        <f ca="1">(L267-M267)*(Z267+AA267)+($Z$165+$AA$165-$Z$267-$AA$267)*(L267)</f>
        <v>8.8773778312317582</v>
      </c>
      <c r="AF267" s="4" t="s">
        <v>561</v>
      </c>
    </row>
    <row r="268" spans="1:32" ht="11.25" customHeight="1" x14ac:dyDescent="0.25">
      <c r="A268" s="4" t="s">
        <v>21</v>
      </c>
      <c r="B268" s="4" t="s">
        <v>40</v>
      </c>
      <c r="C268" s="4" t="s">
        <v>23</v>
      </c>
      <c r="D268" s="4" t="s">
        <v>41</v>
      </c>
      <c r="E268" s="4" t="s">
        <v>49</v>
      </c>
      <c r="F268" s="4" t="s">
        <v>50</v>
      </c>
      <c r="G268" s="4" t="s">
        <v>25</v>
      </c>
      <c r="H268" s="4" t="s">
        <v>25</v>
      </c>
      <c r="I268" s="5">
        <v>44682</v>
      </c>
      <c r="J268" s="6">
        <v>0</v>
      </c>
      <c r="K268" s="6">
        <v>0</v>
      </c>
      <c r="L268" s="6">
        <v>5.6420000000000003</v>
      </c>
      <c r="M268" s="6">
        <v>5.6420000000000003</v>
      </c>
      <c r="N268" s="6">
        <v>5.6420000000000003</v>
      </c>
      <c r="O268" s="6">
        <v>5.6420000000000003</v>
      </c>
      <c r="P268" s="6">
        <v>0</v>
      </c>
      <c r="Q268" s="4" t="s">
        <v>26</v>
      </c>
      <c r="R268" s="4">
        <v>0</v>
      </c>
      <c r="S268" s="4">
        <v>0</v>
      </c>
      <c r="T268" s="4">
        <v>61</v>
      </c>
      <c r="U268" s="4">
        <v>72</v>
      </c>
      <c r="V268" s="6">
        <f>IF(ISERROR(VLOOKUP($S$268,'TAR FIN'!$A$1:$O$88,15,0)),0,VLOOKUP($S$268,'TAR FIN'!$A$1:$O$88,15,0))</f>
        <v>0</v>
      </c>
      <c r="W268" s="6">
        <f>IF(ISERROR(VLOOKUP($T$268,'TAR FIN'!$A$1:$O$88,15,0)),0,VLOOKUP($T$268,'TAR FIN'!$A$1:$O$88,15,0))</f>
        <v>374.66</v>
      </c>
      <c r="X268" s="6">
        <f>IF(ISERROR(VLOOKUP($U$268,'TAR FIN'!$A$1:$O$88,15,0)),0,VLOOKUP($U$268,'TAR FIN'!$A$1:$O$88,15,0))</f>
        <v>221.96</v>
      </c>
      <c r="Y268" s="6"/>
      <c r="Z268" s="6">
        <f ca="1">('TUSD BE'!$AM$33+'TUSD BF'!$AM$33+'TUSD CVA'!$AM$33)*(1-CUSTOS!$M$38)</f>
        <v>458.58557094695544</v>
      </c>
      <c r="AA268" s="6">
        <f>('TE BE'!$AB$23+'TE BF'!$AB$23+'TE CVA'!$AB$23)*(1-CUSTOS!$M$38)</f>
        <v>236.80902583286482</v>
      </c>
      <c r="AB268" s="6">
        <f t="shared" si="14"/>
        <v>0</v>
      </c>
      <c r="AC268" s="6">
        <f>(L268-M268)*(W268+X268)+($W$165+$X$165-$W$268-$X$268)*(L268)</f>
        <v>458.97669999999999</v>
      </c>
      <c r="AD268" s="6">
        <f t="shared" si="15"/>
        <v>0</v>
      </c>
      <c r="AE268" s="6">
        <f ca="1">(L268-M268)*(Z268+AA268)+($Z$165+$AA$165-$Z$268-$AA$268)*(L268)</f>
        <v>250.4308286190479</v>
      </c>
      <c r="AF268" s="4" t="s">
        <v>561</v>
      </c>
    </row>
    <row r="269" spans="1:32" ht="11.25" customHeight="1" x14ac:dyDescent="0.25">
      <c r="A269" s="4" t="s">
        <v>27</v>
      </c>
      <c r="B269" s="4" t="s">
        <v>40</v>
      </c>
      <c r="C269" s="4" t="s">
        <v>23</v>
      </c>
      <c r="D269" s="4" t="s">
        <v>41</v>
      </c>
      <c r="E269" s="4" t="s">
        <v>49</v>
      </c>
      <c r="F269" s="4" t="s">
        <v>50</v>
      </c>
      <c r="G269" s="4" t="s">
        <v>25</v>
      </c>
      <c r="H269" s="4" t="s">
        <v>25</v>
      </c>
      <c r="I269" s="5">
        <v>44682</v>
      </c>
      <c r="J269" s="6">
        <v>0</v>
      </c>
      <c r="K269" s="6">
        <v>0</v>
      </c>
      <c r="L269" s="6">
        <v>3.2040000000000002</v>
      </c>
      <c r="M269" s="6">
        <v>3.2040000000000002</v>
      </c>
      <c r="N269" s="6">
        <v>3.2040000000000002</v>
      </c>
      <c r="O269" s="6">
        <v>3.2040000000000002</v>
      </c>
      <c r="P269" s="6">
        <v>0</v>
      </c>
      <c r="Q269" s="4" t="s">
        <v>26</v>
      </c>
      <c r="R269" s="4">
        <v>0</v>
      </c>
      <c r="S269" s="4">
        <v>0</v>
      </c>
      <c r="T269" s="4">
        <v>61</v>
      </c>
      <c r="U269" s="4">
        <v>72</v>
      </c>
      <c r="V269" s="6">
        <f>IF(ISERROR(VLOOKUP($S$269,'TAR FIN'!$A$1:$O$88,15,0)),0,VLOOKUP($S$269,'TAR FIN'!$A$1:$O$88,15,0))</f>
        <v>0</v>
      </c>
      <c r="W269" s="6">
        <f>IF(ISERROR(VLOOKUP($T$269,'TAR FIN'!$A$1:$O$88,15,0)),0,VLOOKUP($T$269,'TAR FIN'!$A$1:$O$88,15,0))</f>
        <v>374.66</v>
      </c>
      <c r="X269" s="6">
        <f>IF(ISERROR(VLOOKUP($U$269,'TAR FIN'!$A$1:$O$88,15,0)),0,VLOOKUP($U$269,'TAR FIN'!$A$1:$O$88,15,0))</f>
        <v>221.96</v>
      </c>
      <c r="Y269" s="6"/>
      <c r="Z269" s="6">
        <f ca="1">('TUSD BE'!$AM$33+'TUSD BF'!$AM$33+'TUSD CVA'!$AM$33)*(1-CUSTOS!$M$38)</f>
        <v>458.58557094695544</v>
      </c>
      <c r="AA269" s="6">
        <f>('TE BE'!$AB$23+'TE BF'!$AB$23+'TE CVA'!$AB$23)*(1-CUSTOS!$M$38)</f>
        <v>236.80902583286482</v>
      </c>
      <c r="AB269" s="6">
        <f t="shared" si="14"/>
        <v>0</v>
      </c>
      <c r="AC269" s="6">
        <f>(L269-M269)*(W269+X269)+($W$165+$X$165-$W$269-$X$269)*(L269)</f>
        <v>260.6454</v>
      </c>
      <c r="AD269" s="6">
        <f t="shared" si="15"/>
        <v>0</v>
      </c>
      <c r="AE269" s="6">
        <f ca="1">(L269-M269)*(Z269+AA269)+($Z$165+$AA$165-$Z$269-$AA$269)*(L269)</f>
        <v>142.21559285633276</v>
      </c>
      <c r="AF269" s="4" t="s">
        <v>561</v>
      </c>
    </row>
    <row r="270" spans="1:32" ht="11.25" customHeight="1" x14ac:dyDescent="0.25">
      <c r="A270" s="4" t="s">
        <v>28</v>
      </c>
      <c r="B270" s="4" t="s">
        <v>40</v>
      </c>
      <c r="C270" s="4" t="s">
        <v>23</v>
      </c>
      <c r="D270" s="4" t="s">
        <v>41</v>
      </c>
      <c r="E270" s="4" t="s">
        <v>49</v>
      </c>
      <c r="F270" s="4" t="s">
        <v>50</v>
      </c>
      <c r="G270" s="4" t="s">
        <v>25</v>
      </c>
      <c r="H270" s="4" t="s">
        <v>25</v>
      </c>
      <c r="I270" s="5">
        <v>44682</v>
      </c>
      <c r="J270" s="6">
        <v>0</v>
      </c>
      <c r="K270" s="6">
        <v>0</v>
      </c>
      <c r="L270" s="6">
        <v>0.16</v>
      </c>
      <c r="M270" s="6">
        <v>0.16</v>
      </c>
      <c r="N270" s="6">
        <v>0.16</v>
      </c>
      <c r="O270" s="6">
        <v>0.16</v>
      </c>
      <c r="P270" s="6">
        <v>0</v>
      </c>
      <c r="Q270" s="4" t="s">
        <v>26</v>
      </c>
      <c r="R270" s="4">
        <v>0</v>
      </c>
      <c r="S270" s="4">
        <v>0</v>
      </c>
      <c r="T270" s="4">
        <v>61</v>
      </c>
      <c r="U270" s="4">
        <v>72</v>
      </c>
      <c r="V270" s="6">
        <f>IF(ISERROR(VLOOKUP($S$270,'TAR FIN'!$A$1:$O$88,15,0)),0,VLOOKUP($S$270,'TAR FIN'!$A$1:$O$88,15,0))</f>
        <v>0</v>
      </c>
      <c r="W270" s="6">
        <f>IF(ISERROR(VLOOKUP($T$270,'TAR FIN'!$A$1:$O$88,15,0)),0,VLOOKUP($T$270,'TAR FIN'!$A$1:$O$88,15,0))</f>
        <v>374.66</v>
      </c>
      <c r="X270" s="6">
        <f>IF(ISERROR(VLOOKUP($U$270,'TAR FIN'!$A$1:$O$88,15,0)),0,VLOOKUP($U$270,'TAR FIN'!$A$1:$O$88,15,0))</f>
        <v>221.96</v>
      </c>
      <c r="Y270" s="6"/>
      <c r="Z270" s="6">
        <f ca="1">('TUSD BE'!$AM$33+'TUSD BF'!$AM$33+'TUSD CVA'!$AM$33)*(1-CUSTOS!$M$38)</f>
        <v>458.58557094695544</v>
      </c>
      <c r="AA270" s="6">
        <f>('TE BE'!$AB$23+'TE BF'!$AB$23+'TE CVA'!$AB$23)*(1-CUSTOS!$M$38)</f>
        <v>236.80902583286482</v>
      </c>
      <c r="AB270" s="6">
        <f t="shared" si="14"/>
        <v>0</v>
      </c>
      <c r="AC270" s="6">
        <f>(L270-M270)*(W270+X270)+($W$165+$X$165-$W$270-$X$270)*(L270)</f>
        <v>13.016</v>
      </c>
      <c r="AD270" s="6">
        <f t="shared" si="15"/>
        <v>0</v>
      </c>
      <c r="AE270" s="6">
        <f ca="1">(L270-M270)*(Z270+AA270)+($Z$165+$AA$165-$Z$270-$AA$270)*(L270)</f>
        <v>7.101902264985406</v>
      </c>
      <c r="AF270" s="4" t="s">
        <v>561</v>
      </c>
    </row>
    <row r="271" spans="1:32" ht="11.25" customHeight="1" x14ac:dyDescent="0.25">
      <c r="A271" s="4" t="s">
        <v>21</v>
      </c>
      <c r="B271" s="4" t="s">
        <v>40</v>
      </c>
      <c r="C271" s="4" t="s">
        <v>23</v>
      </c>
      <c r="D271" s="4" t="s">
        <v>41</v>
      </c>
      <c r="E271" s="4" t="s">
        <v>49</v>
      </c>
      <c r="F271" s="4" t="s">
        <v>50</v>
      </c>
      <c r="G271" s="4" t="s">
        <v>25</v>
      </c>
      <c r="H271" s="4" t="s">
        <v>25</v>
      </c>
      <c r="I271" s="5">
        <v>44713</v>
      </c>
      <c r="J271" s="6">
        <v>0</v>
      </c>
      <c r="K271" s="6">
        <v>0</v>
      </c>
      <c r="L271" s="6">
        <v>3.7</v>
      </c>
      <c r="M271" s="6">
        <v>3.7</v>
      </c>
      <c r="N271" s="6">
        <v>3.7</v>
      </c>
      <c r="O271" s="6">
        <v>3.7</v>
      </c>
      <c r="P271" s="6">
        <v>0</v>
      </c>
      <c r="Q271" s="4" t="s">
        <v>26</v>
      </c>
      <c r="R271" s="4">
        <v>0</v>
      </c>
      <c r="S271" s="4">
        <v>0</v>
      </c>
      <c r="T271" s="4">
        <v>61</v>
      </c>
      <c r="U271" s="4">
        <v>72</v>
      </c>
      <c r="V271" s="6">
        <f>IF(ISERROR(VLOOKUP($S$271,'TAR FIN'!$A$1:$O$88,15,0)),0,VLOOKUP($S$271,'TAR FIN'!$A$1:$O$88,15,0))</f>
        <v>0</v>
      </c>
      <c r="W271" s="6">
        <f>IF(ISERROR(VLOOKUP($T$271,'TAR FIN'!$A$1:$O$88,15,0)),0,VLOOKUP($T$271,'TAR FIN'!$A$1:$O$88,15,0))</f>
        <v>374.66</v>
      </c>
      <c r="X271" s="6">
        <f>IF(ISERROR(VLOOKUP($U$271,'TAR FIN'!$A$1:$O$88,15,0)),0,VLOOKUP($U$271,'TAR FIN'!$A$1:$O$88,15,0))</f>
        <v>221.96</v>
      </c>
      <c r="Y271" s="6"/>
      <c r="Z271" s="6">
        <f ca="1">('TUSD BE'!$AM$33+'TUSD BF'!$AM$33+'TUSD CVA'!$AM$33)*(1-CUSTOS!$M$38)</f>
        <v>458.58557094695544</v>
      </c>
      <c r="AA271" s="6">
        <f>('TE BE'!$AB$23+'TE BF'!$AB$23+'TE CVA'!$AB$23)*(1-CUSTOS!$M$38)</f>
        <v>236.80902583286482</v>
      </c>
      <c r="AB271" s="6">
        <f t="shared" si="14"/>
        <v>0</v>
      </c>
      <c r="AC271" s="6">
        <f>(L271-M271)*(W271+X271)+($W$165+$X$165-$W$271-$X$271)*(L271)</f>
        <v>300.995</v>
      </c>
      <c r="AD271" s="6">
        <f t="shared" si="15"/>
        <v>0</v>
      </c>
      <c r="AE271" s="6">
        <f ca="1">(L271-M271)*(Z271+AA271)+($Z$165+$AA$165-$Z$271-$AA$271)*(L271)</f>
        <v>164.23148987778751</v>
      </c>
      <c r="AF271" s="4" t="s">
        <v>561</v>
      </c>
    </row>
    <row r="272" spans="1:32" ht="11.25" customHeight="1" x14ac:dyDescent="0.25">
      <c r="A272" s="4" t="s">
        <v>28</v>
      </c>
      <c r="B272" s="4" t="s">
        <v>40</v>
      </c>
      <c r="C272" s="4" t="s">
        <v>23</v>
      </c>
      <c r="D272" s="4" t="s">
        <v>41</v>
      </c>
      <c r="E272" s="4" t="s">
        <v>49</v>
      </c>
      <c r="F272" s="4" t="s">
        <v>50</v>
      </c>
      <c r="G272" s="4" t="s">
        <v>25</v>
      </c>
      <c r="H272" s="4" t="s">
        <v>25</v>
      </c>
      <c r="I272" s="5">
        <v>44713</v>
      </c>
      <c r="J272" s="6">
        <v>0</v>
      </c>
      <c r="K272" s="6">
        <v>0</v>
      </c>
      <c r="L272" s="6">
        <v>0.16</v>
      </c>
      <c r="M272" s="6">
        <v>0.16</v>
      </c>
      <c r="N272" s="6">
        <v>0.16</v>
      </c>
      <c r="O272" s="6">
        <v>0.16</v>
      </c>
      <c r="P272" s="6">
        <v>0</v>
      </c>
      <c r="Q272" s="4" t="s">
        <v>26</v>
      </c>
      <c r="R272" s="4">
        <v>0</v>
      </c>
      <c r="S272" s="4">
        <v>0</v>
      </c>
      <c r="T272" s="4">
        <v>61</v>
      </c>
      <c r="U272" s="4">
        <v>72</v>
      </c>
      <c r="V272" s="6">
        <f>IF(ISERROR(VLOOKUP($S$272,'TAR FIN'!$A$1:$O$88,15,0)),0,VLOOKUP($S$272,'TAR FIN'!$A$1:$O$88,15,0))</f>
        <v>0</v>
      </c>
      <c r="W272" s="6">
        <f>IF(ISERROR(VLOOKUP($T$272,'TAR FIN'!$A$1:$O$88,15,0)),0,VLOOKUP($T$272,'TAR FIN'!$A$1:$O$88,15,0))</f>
        <v>374.66</v>
      </c>
      <c r="X272" s="6">
        <f>IF(ISERROR(VLOOKUP($U$272,'TAR FIN'!$A$1:$O$88,15,0)),0,VLOOKUP($U$272,'TAR FIN'!$A$1:$O$88,15,0))</f>
        <v>221.96</v>
      </c>
      <c r="Y272" s="6"/>
      <c r="Z272" s="6">
        <f ca="1">('TUSD BE'!$AM$33+'TUSD BF'!$AM$33+'TUSD CVA'!$AM$33)*(1-CUSTOS!$M$38)</f>
        <v>458.58557094695544</v>
      </c>
      <c r="AA272" s="6">
        <f>('TE BE'!$AB$23+'TE BF'!$AB$23+'TE CVA'!$AB$23)*(1-CUSTOS!$M$38)</f>
        <v>236.80902583286482</v>
      </c>
      <c r="AB272" s="6">
        <f t="shared" si="14"/>
        <v>0</v>
      </c>
      <c r="AC272" s="6">
        <f>(L272-M272)*(W272+X272)+($W$165+$X$165-$W$272-$X$272)*(L272)</f>
        <v>13.016</v>
      </c>
      <c r="AD272" s="6">
        <f t="shared" si="15"/>
        <v>0</v>
      </c>
      <c r="AE272" s="6">
        <f ca="1">(L272-M272)*(Z272+AA272)+($Z$165+$AA$165-$Z$272-$AA$272)*(L272)</f>
        <v>7.101902264985406</v>
      </c>
      <c r="AF272" s="4" t="s">
        <v>561</v>
      </c>
    </row>
    <row r="273" spans="1:32" ht="11.25" customHeight="1" x14ac:dyDescent="0.25">
      <c r="A273" s="4" t="s">
        <v>21</v>
      </c>
      <c r="B273" s="4" t="s">
        <v>40</v>
      </c>
      <c r="C273" s="4" t="s">
        <v>23</v>
      </c>
      <c r="D273" s="4" t="s">
        <v>41</v>
      </c>
      <c r="E273" s="4" t="s">
        <v>49</v>
      </c>
      <c r="F273" s="4" t="s">
        <v>51</v>
      </c>
      <c r="G273" s="4" t="s">
        <v>25</v>
      </c>
      <c r="H273" s="4" t="s">
        <v>25</v>
      </c>
      <c r="I273" s="5">
        <v>44378</v>
      </c>
      <c r="J273" s="6">
        <v>0</v>
      </c>
      <c r="K273" s="6">
        <v>0</v>
      </c>
      <c r="L273" s="6">
        <v>0.55600000000000005</v>
      </c>
      <c r="M273" s="6">
        <v>0.22239999999999999</v>
      </c>
      <c r="N273" s="6">
        <v>0.55600000000000005</v>
      </c>
      <c r="O273" s="6">
        <v>0.22239999999999999</v>
      </c>
      <c r="P273" s="6">
        <v>0</v>
      </c>
      <c r="Q273" s="4" t="s">
        <v>26</v>
      </c>
      <c r="R273" s="4">
        <v>0</v>
      </c>
      <c r="S273" s="4">
        <v>0</v>
      </c>
      <c r="T273" s="4">
        <v>33</v>
      </c>
      <c r="U273" s="4">
        <v>72</v>
      </c>
      <c r="V273" s="6">
        <f>IF(ISERROR(VLOOKUP($S$273,'TAR FIN'!$A$1:$O$88,15,0)),0,VLOOKUP($S$273,'TAR FIN'!$A$1:$O$88,15,0))</f>
        <v>0</v>
      </c>
      <c r="W273" s="6">
        <f>IF(ISERROR(VLOOKUP($T$273,'TAR FIN'!$A$1:$O$88,15,0)),0,VLOOKUP($T$273,'TAR FIN'!$A$1:$O$88,15,0))</f>
        <v>374.66</v>
      </c>
      <c r="X273" s="6">
        <f>IF(ISERROR(VLOOKUP($U$273,'TAR FIN'!$A$1:$O$88,15,0)),0,VLOOKUP($U$273,'TAR FIN'!$A$1:$O$88,15,0))</f>
        <v>221.96</v>
      </c>
      <c r="Y273" s="6"/>
      <c r="Z273" s="6">
        <f ca="1">('TUSD BE'!$AM$33+'TUSD BF'!$AM$33+'TUSD CVA'!$AM$33)*(1-CUSTOS!$M$38)</f>
        <v>458.58557094695544</v>
      </c>
      <c r="AA273" s="6">
        <f>('TE BE'!$AB$23+'TE BF'!$AB$23+'TE CVA'!$AB$23)*(1-CUSTOS!$M$38)</f>
        <v>236.80902583286482</v>
      </c>
      <c r="AB273" s="6">
        <f t="shared" si="14"/>
        <v>0</v>
      </c>
      <c r="AC273" s="6">
        <f>(L273-M273)*(W273+X273)+($W$165+$X$165-$W$273-$X$273)*(L273)</f>
        <v>244.26303200000004</v>
      </c>
      <c r="AD273" s="6">
        <f t="shared" si="15"/>
        <v>0</v>
      </c>
      <c r="AE273" s="6">
        <f ca="1">(L273-M273)*(Z273+AA273)+($Z$165+$AA$165-$Z$273-$AA$273)*(L273)</f>
        <v>256.66274785657237</v>
      </c>
      <c r="AF273" s="4" t="s">
        <v>563</v>
      </c>
    </row>
    <row r="274" spans="1:32" ht="11.25" customHeight="1" x14ac:dyDescent="0.25">
      <c r="A274" s="4" t="s">
        <v>28</v>
      </c>
      <c r="B274" s="4" t="s">
        <v>40</v>
      </c>
      <c r="C274" s="4" t="s">
        <v>23</v>
      </c>
      <c r="D274" s="4" t="s">
        <v>41</v>
      </c>
      <c r="E274" s="4" t="s">
        <v>49</v>
      </c>
      <c r="F274" s="4" t="s">
        <v>51</v>
      </c>
      <c r="G274" s="4" t="s">
        <v>25</v>
      </c>
      <c r="H274" s="4" t="s">
        <v>25</v>
      </c>
      <c r="I274" s="5">
        <v>44378</v>
      </c>
      <c r="J274" s="6">
        <v>0</v>
      </c>
      <c r="K274" s="6">
        <v>0</v>
      </c>
      <c r="L274" s="6">
        <v>0.247</v>
      </c>
      <c r="M274" s="6">
        <v>0.247</v>
      </c>
      <c r="N274" s="6">
        <v>0.247</v>
      </c>
      <c r="O274" s="6">
        <v>0.247</v>
      </c>
      <c r="P274" s="6">
        <v>0</v>
      </c>
      <c r="Q274" s="4" t="s">
        <v>26</v>
      </c>
      <c r="R274" s="4">
        <v>0</v>
      </c>
      <c r="S274" s="4">
        <v>0</v>
      </c>
      <c r="T274" s="4">
        <v>33</v>
      </c>
      <c r="U274" s="4">
        <v>72</v>
      </c>
      <c r="V274" s="6">
        <f>IF(ISERROR(VLOOKUP($S$274,'TAR FIN'!$A$1:$O$88,15,0)),0,VLOOKUP($S$274,'TAR FIN'!$A$1:$O$88,15,0))</f>
        <v>0</v>
      </c>
      <c r="W274" s="6">
        <f>IF(ISERROR(VLOOKUP($T$274,'TAR FIN'!$A$1:$O$88,15,0)),0,VLOOKUP($T$274,'TAR FIN'!$A$1:$O$88,15,0))</f>
        <v>374.66</v>
      </c>
      <c r="X274" s="6">
        <f>IF(ISERROR(VLOOKUP($U$274,'TAR FIN'!$A$1:$O$88,15,0)),0,VLOOKUP($U$274,'TAR FIN'!$A$1:$O$88,15,0))</f>
        <v>221.96</v>
      </c>
      <c r="Y274" s="6"/>
      <c r="Z274" s="6">
        <f ca="1">('TUSD BE'!$AM$33+'TUSD BF'!$AM$33+'TUSD CVA'!$AM$33)*(1-CUSTOS!$M$38)</f>
        <v>458.58557094695544</v>
      </c>
      <c r="AA274" s="6">
        <f>('TE BE'!$AB$23+'TE BF'!$AB$23+'TE CVA'!$AB$23)*(1-CUSTOS!$M$38)</f>
        <v>236.80902583286482</v>
      </c>
      <c r="AB274" s="6">
        <f t="shared" si="14"/>
        <v>0</v>
      </c>
      <c r="AC274" s="6">
        <f>(L274-M274)*(W274+X274)+($W$165+$X$165-$W$274-$X$274)*(L274)</f>
        <v>20.093449999999997</v>
      </c>
      <c r="AD274" s="6">
        <f t="shared" si="15"/>
        <v>0</v>
      </c>
      <c r="AE274" s="6">
        <f ca="1">(L274-M274)*(Z274+AA274)+($Z$165+$AA$165-$Z$274-$AA$274)*(L274)</f>
        <v>10.96356162157122</v>
      </c>
      <c r="AF274" s="4" t="s">
        <v>561</v>
      </c>
    </row>
    <row r="275" spans="1:32" ht="11.25" customHeight="1" x14ac:dyDescent="0.25">
      <c r="A275" s="4" t="s">
        <v>21</v>
      </c>
      <c r="B275" s="4" t="s">
        <v>40</v>
      </c>
      <c r="C275" s="4" t="s">
        <v>23</v>
      </c>
      <c r="D275" s="4" t="s">
        <v>41</v>
      </c>
      <c r="E275" s="4" t="s">
        <v>49</v>
      </c>
      <c r="F275" s="4" t="s">
        <v>51</v>
      </c>
      <c r="G275" s="4" t="s">
        <v>25</v>
      </c>
      <c r="H275" s="4" t="s">
        <v>25</v>
      </c>
      <c r="I275" s="5">
        <v>44409</v>
      </c>
      <c r="J275" s="6">
        <v>0</v>
      </c>
      <c r="K275" s="6">
        <v>0</v>
      </c>
      <c r="L275" s="6">
        <v>1.163</v>
      </c>
      <c r="M275" s="6">
        <v>0.4652</v>
      </c>
      <c r="N275" s="6">
        <v>1.163</v>
      </c>
      <c r="O275" s="6">
        <v>0.4652</v>
      </c>
      <c r="P275" s="6">
        <v>0</v>
      </c>
      <c r="Q275" s="4" t="s">
        <v>26</v>
      </c>
      <c r="R275" s="4">
        <v>0</v>
      </c>
      <c r="S275" s="4">
        <v>0</v>
      </c>
      <c r="T275" s="4">
        <v>33</v>
      </c>
      <c r="U275" s="4">
        <v>72</v>
      </c>
      <c r="V275" s="6">
        <f>IF(ISERROR(VLOOKUP($S$275,'TAR FIN'!$A$1:$O$88,15,0)),0,VLOOKUP($S$275,'TAR FIN'!$A$1:$O$88,15,0))</f>
        <v>0</v>
      </c>
      <c r="W275" s="6">
        <f>IF(ISERROR(VLOOKUP($T$275,'TAR FIN'!$A$1:$O$88,15,0)),0,VLOOKUP($T$275,'TAR FIN'!$A$1:$O$88,15,0))</f>
        <v>374.66</v>
      </c>
      <c r="X275" s="6">
        <f>IF(ISERROR(VLOOKUP($U$275,'TAR FIN'!$A$1:$O$88,15,0)),0,VLOOKUP($U$275,'TAR FIN'!$A$1:$O$88,15,0))</f>
        <v>221.96</v>
      </c>
      <c r="Y275" s="6"/>
      <c r="Z275" s="6">
        <f ca="1">('TUSD BE'!$AM$33+'TUSD BF'!$AM$33+'TUSD CVA'!$AM$33)*(1-CUSTOS!$M$38)</f>
        <v>458.58557094695544</v>
      </c>
      <c r="AA275" s="6">
        <f>('TE BE'!$AB$23+'TE BF'!$AB$23+'TE CVA'!$AB$23)*(1-CUSTOS!$M$38)</f>
        <v>236.80902583286482</v>
      </c>
      <c r="AB275" s="6">
        <f t="shared" si="14"/>
        <v>0</v>
      </c>
      <c r="AC275" s="6">
        <f>(L275-M275)*(W275+X275)+($W$165+$X$165-$W$275-$X$275)*(L275)</f>
        <v>510.93148600000001</v>
      </c>
      <c r="AD275" s="6">
        <f t="shared" si="15"/>
        <v>0</v>
      </c>
      <c r="AE275" s="6">
        <f ca="1">(L275-M275)*(Z275+AA275)+($Z$165+$AA$165-$Z$275-$AA$275)*(L275)</f>
        <v>536.86830172157124</v>
      </c>
      <c r="AF275" s="4" t="s">
        <v>563</v>
      </c>
    </row>
    <row r="276" spans="1:32" ht="11.25" customHeight="1" x14ac:dyDescent="0.25">
      <c r="A276" s="4" t="s">
        <v>28</v>
      </c>
      <c r="B276" s="4" t="s">
        <v>40</v>
      </c>
      <c r="C276" s="4" t="s">
        <v>23</v>
      </c>
      <c r="D276" s="4" t="s">
        <v>41</v>
      </c>
      <c r="E276" s="4" t="s">
        <v>49</v>
      </c>
      <c r="F276" s="4" t="s">
        <v>51</v>
      </c>
      <c r="G276" s="4" t="s">
        <v>25</v>
      </c>
      <c r="H276" s="4" t="s">
        <v>25</v>
      </c>
      <c r="I276" s="5">
        <v>44409</v>
      </c>
      <c r="J276" s="6">
        <v>0</v>
      </c>
      <c r="K276" s="6">
        <v>0</v>
      </c>
      <c r="L276" s="6">
        <v>0.317</v>
      </c>
      <c r="M276" s="6">
        <v>0.317</v>
      </c>
      <c r="N276" s="6">
        <v>0.317</v>
      </c>
      <c r="O276" s="6">
        <v>0.317</v>
      </c>
      <c r="P276" s="6">
        <v>0</v>
      </c>
      <c r="Q276" s="4" t="s">
        <v>26</v>
      </c>
      <c r="R276" s="4">
        <v>0</v>
      </c>
      <c r="S276" s="4">
        <v>0</v>
      </c>
      <c r="T276" s="4">
        <v>33</v>
      </c>
      <c r="U276" s="4">
        <v>72</v>
      </c>
      <c r="V276" s="6">
        <f>IF(ISERROR(VLOOKUP($S$276,'TAR FIN'!$A$1:$O$88,15,0)),0,VLOOKUP($S$276,'TAR FIN'!$A$1:$O$88,15,0))</f>
        <v>0</v>
      </c>
      <c r="W276" s="6">
        <f>IF(ISERROR(VLOOKUP($T$276,'TAR FIN'!$A$1:$O$88,15,0)),0,VLOOKUP($T$276,'TAR FIN'!$A$1:$O$88,15,0))</f>
        <v>374.66</v>
      </c>
      <c r="X276" s="6">
        <f>IF(ISERROR(VLOOKUP($U$276,'TAR FIN'!$A$1:$O$88,15,0)),0,VLOOKUP($U$276,'TAR FIN'!$A$1:$O$88,15,0))</f>
        <v>221.96</v>
      </c>
      <c r="Y276" s="6"/>
      <c r="Z276" s="6">
        <f ca="1">('TUSD BE'!$AM$33+'TUSD BF'!$AM$33+'TUSD CVA'!$AM$33)*(1-CUSTOS!$M$38)</f>
        <v>458.58557094695544</v>
      </c>
      <c r="AA276" s="6">
        <f>('TE BE'!$AB$23+'TE BF'!$AB$23+'TE CVA'!$AB$23)*(1-CUSTOS!$M$38)</f>
        <v>236.80902583286482</v>
      </c>
      <c r="AB276" s="6">
        <f t="shared" si="14"/>
        <v>0</v>
      </c>
      <c r="AC276" s="6">
        <f>(L276-M276)*(W276+X276)+($W$165+$X$165-$W$276-$X$276)*(L276)</f>
        <v>25.787949999999999</v>
      </c>
      <c r="AD276" s="6">
        <f t="shared" si="15"/>
        <v>0</v>
      </c>
      <c r="AE276" s="6">
        <f ca="1">(L276-M276)*(Z276+AA276)+($Z$165+$AA$165-$Z$276-$AA$276)*(L276)</f>
        <v>14.070643862502335</v>
      </c>
      <c r="AF276" s="4" t="s">
        <v>561</v>
      </c>
    </row>
    <row r="277" spans="1:32" ht="11.25" customHeight="1" x14ac:dyDescent="0.25">
      <c r="A277" s="4" t="s">
        <v>21</v>
      </c>
      <c r="B277" s="4" t="s">
        <v>40</v>
      </c>
      <c r="C277" s="4" t="s">
        <v>23</v>
      </c>
      <c r="D277" s="4" t="s">
        <v>41</v>
      </c>
      <c r="E277" s="4" t="s">
        <v>49</v>
      </c>
      <c r="F277" s="4" t="s">
        <v>51</v>
      </c>
      <c r="G277" s="4" t="s">
        <v>25</v>
      </c>
      <c r="H277" s="4" t="s">
        <v>25</v>
      </c>
      <c r="I277" s="5">
        <v>44440</v>
      </c>
      <c r="J277" s="6">
        <v>0</v>
      </c>
      <c r="K277" s="6">
        <v>0</v>
      </c>
      <c r="L277" s="6">
        <v>5.7380000000000004</v>
      </c>
      <c r="M277" s="6">
        <v>2.2951999999999999</v>
      </c>
      <c r="N277" s="6">
        <v>5.7380000000000004</v>
      </c>
      <c r="O277" s="6">
        <v>2.2951999999999999</v>
      </c>
      <c r="P277" s="6">
        <v>0</v>
      </c>
      <c r="Q277" s="4" t="s">
        <v>26</v>
      </c>
      <c r="R277" s="4">
        <v>0</v>
      </c>
      <c r="S277" s="4">
        <v>0</v>
      </c>
      <c r="T277" s="4">
        <v>33</v>
      </c>
      <c r="U277" s="4">
        <v>72</v>
      </c>
      <c r="V277" s="6">
        <f>IF(ISERROR(VLOOKUP($S$277,'TAR FIN'!$A$1:$O$88,15,0)),0,VLOOKUP($S$277,'TAR FIN'!$A$1:$O$88,15,0))</f>
        <v>0</v>
      </c>
      <c r="W277" s="6">
        <f>IF(ISERROR(VLOOKUP($T$277,'TAR FIN'!$A$1:$O$88,15,0)),0,VLOOKUP($T$277,'TAR FIN'!$A$1:$O$88,15,0))</f>
        <v>374.66</v>
      </c>
      <c r="X277" s="6">
        <f>IF(ISERROR(VLOOKUP($U$277,'TAR FIN'!$A$1:$O$88,15,0)),0,VLOOKUP($U$277,'TAR FIN'!$A$1:$O$88,15,0))</f>
        <v>221.96</v>
      </c>
      <c r="Y277" s="6"/>
      <c r="Z277" s="6">
        <f ca="1">('TUSD BE'!$AM$33+'TUSD BF'!$AM$33+'TUSD CVA'!$AM$33)*(1-CUSTOS!$M$38)</f>
        <v>458.58557094695544</v>
      </c>
      <c r="AA277" s="6">
        <f>('TE BE'!$AB$23+'TE BF'!$AB$23+'TE CVA'!$AB$23)*(1-CUSTOS!$M$38)</f>
        <v>236.80902583286482</v>
      </c>
      <c r="AB277" s="6">
        <f t="shared" si="14"/>
        <v>0</v>
      </c>
      <c r="AC277" s="6">
        <f>(L277-M277)*(W277+X277)+($W$165+$X$165-$W$277-$X$277)*(L277)</f>
        <v>2520.8296360000004</v>
      </c>
      <c r="AD277" s="6">
        <f t="shared" si="15"/>
        <v>0</v>
      </c>
      <c r="AE277" s="6">
        <f ca="1">(L277-M277)*(Z277+AA277)+($Z$165+$AA$165-$Z$277-$AA$277)*(L277)</f>
        <v>2648.7964877716049</v>
      </c>
      <c r="AF277" s="4" t="s">
        <v>563</v>
      </c>
    </row>
    <row r="278" spans="1:32" ht="11.25" customHeight="1" x14ac:dyDescent="0.25">
      <c r="A278" s="4" t="s">
        <v>28</v>
      </c>
      <c r="B278" s="4" t="s">
        <v>40</v>
      </c>
      <c r="C278" s="4" t="s">
        <v>23</v>
      </c>
      <c r="D278" s="4" t="s">
        <v>41</v>
      </c>
      <c r="E278" s="4" t="s">
        <v>49</v>
      </c>
      <c r="F278" s="4" t="s">
        <v>51</v>
      </c>
      <c r="G278" s="4" t="s">
        <v>25</v>
      </c>
      <c r="H278" s="4" t="s">
        <v>25</v>
      </c>
      <c r="I278" s="5">
        <v>44440</v>
      </c>
      <c r="J278" s="6">
        <v>0</v>
      </c>
      <c r="K278" s="6">
        <v>0</v>
      </c>
      <c r="L278" s="6">
        <v>1.1499999999999999</v>
      </c>
      <c r="M278" s="6">
        <v>1.1499999999999999</v>
      </c>
      <c r="N278" s="6">
        <v>1.1499999999999999</v>
      </c>
      <c r="O278" s="6">
        <v>1.1499999999999999</v>
      </c>
      <c r="P278" s="6">
        <v>0</v>
      </c>
      <c r="Q278" s="4" t="s">
        <v>26</v>
      </c>
      <c r="R278" s="4">
        <v>0</v>
      </c>
      <c r="S278" s="4">
        <v>0</v>
      </c>
      <c r="T278" s="4">
        <v>33</v>
      </c>
      <c r="U278" s="4">
        <v>72</v>
      </c>
      <c r="V278" s="6">
        <f>IF(ISERROR(VLOOKUP($S$278,'TAR FIN'!$A$1:$O$88,15,0)),0,VLOOKUP($S$278,'TAR FIN'!$A$1:$O$88,15,0))</f>
        <v>0</v>
      </c>
      <c r="W278" s="6">
        <f>IF(ISERROR(VLOOKUP($T$278,'TAR FIN'!$A$1:$O$88,15,0)),0,VLOOKUP($T$278,'TAR FIN'!$A$1:$O$88,15,0))</f>
        <v>374.66</v>
      </c>
      <c r="X278" s="6">
        <f>IF(ISERROR(VLOOKUP($U$278,'TAR FIN'!$A$1:$O$88,15,0)),0,VLOOKUP($U$278,'TAR FIN'!$A$1:$O$88,15,0))</f>
        <v>221.96</v>
      </c>
      <c r="Y278" s="6"/>
      <c r="Z278" s="6">
        <f ca="1">('TUSD BE'!$AM$33+'TUSD BF'!$AM$33+'TUSD CVA'!$AM$33)*(1-CUSTOS!$M$38)</f>
        <v>458.58557094695544</v>
      </c>
      <c r="AA278" s="6">
        <f>('TE BE'!$AB$23+'TE BF'!$AB$23+'TE CVA'!$AB$23)*(1-CUSTOS!$M$38)</f>
        <v>236.80902583286482</v>
      </c>
      <c r="AB278" s="6">
        <f t="shared" si="14"/>
        <v>0</v>
      </c>
      <c r="AC278" s="6">
        <f>(L278-M278)*(W278+X278)+($W$165+$X$165-$W$278-$X$278)*(L278)</f>
        <v>93.552499999999981</v>
      </c>
      <c r="AD278" s="6">
        <f t="shared" si="15"/>
        <v>0</v>
      </c>
      <c r="AE278" s="6">
        <f ca="1">(L278-M278)*(Z278+AA278)+($Z$165+$AA$165-$Z$278-$AA$278)*(L278)</f>
        <v>51.0449225295826</v>
      </c>
      <c r="AF278" s="4" t="s">
        <v>561</v>
      </c>
    </row>
    <row r="279" spans="1:32" ht="11.25" customHeight="1" x14ac:dyDescent="0.25">
      <c r="A279" s="4" t="s">
        <v>21</v>
      </c>
      <c r="B279" s="4" t="s">
        <v>40</v>
      </c>
      <c r="C279" s="4" t="s">
        <v>23</v>
      </c>
      <c r="D279" s="4" t="s">
        <v>41</v>
      </c>
      <c r="E279" s="4" t="s">
        <v>49</v>
      </c>
      <c r="F279" s="4" t="s">
        <v>51</v>
      </c>
      <c r="G279" s="4" t="s">
        <v>25</v>
      </c>
      <c r="H279" s="4" t="s">
        <v>25</v>
      </c>
      <c r="I279" s="5">
        <v>44470</v>
      </c>
      <c r="J279" s="6">
        <v>0</v>
      </c>
      <c r="K279" s="6">
        <v>0</v>
      </c>
      <c r="L279" s="6">
        <v>19.593</v>
      </c>
      <c r="M279" s="6">
        <v>7.8372000000000002</v>
      </c>
      <c r="N279" s="6">
        <v>19.593</v>
      </c>
      <c r="O279" s="6">
        <v>7.8372000000000002</v>
      </c>
      <c r="P279" s="6">
        <v>0</v>
      </c>
      <c r="Q279" s="4" t="s">
        <v>26</v>
      </c>
      <c r="R279" s="4">
        <v>0</v>
      </c>
      <c r="S279" s="4">
        <v>0</v>
      </c>
      <c r="T279" s="4">
        <v>33</v>
      </c>
      <c r="U279" s="4">
        <v>72</v>
      </c>
      <c r="V279" s="6">
        <f>IF(ISERROR(VLOOKUP($S$279,'TAR FIN'!$A$1:$O$88,15,0)),0,VLOOKUP($S$279,'TAR FIN'!$A$1:$O$88,15,0))</f>
        <v>0</v>
      </c>
      <c r="W279" s="6">
        <f>IF(ISERROR(VLOOKUP($T$279,'TAR FIN'!$A$1:$O$88,15,0)),0,VLOOKUP($T$279,'TAR FIN'!$A$1:$O$88,15,0))</f>
        <v>374.66</v>
      </c>
      <c r="X279" s="6">
        <f>IF(ISERROR(VLOOKUP($U$279,'TAR FIN'!$A$1:$O$88,15,0)),0,VLOOKUP($U$279,'TAR FIN'!$A$1:$O$88,15,0))</f>
        <v>221.96</v>
      </c>
      <c r="Y279" s="6"/>
      <c r="Z279" s="6">
        <f ca="1">('TUSD BE'!$AM$33+'TUSD BF'!$AM$33+'TUSD CVA'!$AM$33)*(1-CUSTOS!$M$38)</f>
        <v>458.58557094695544</v>
      </c>
      <c r="AA279" s="6">
        <f>('TE BE'!$AB$23+'TE BF'!$AB$23+'TE CVA'!$AB$23)*(1-CUSTOS!$M$38)</f>
        <v>236.80902583286482</v>
      </c>
      <c r="AB279" s="6">
        <f t="shared" si="14"/>
        <v>0</v>
      </c>
      <c r="AC279" s="6">
        <f>(L279-M279)*(W279+X279)+($W$165+$X$165-$W$279-$X$279)*(L279)</f>
        <v>8607.6359460000003</v>
      </c>
      <c r="AD279" s="6">
        <f t="shared" si="15"/>
        <v>0</v>
      </c>
      <c r="AE279" s="6">
        <f ca="1">(L279-M279)*(Z279+AA279)+($Z$165+$AA$165-$Z$279-$AA$279)*(L279)</f>
        <v>9044.5921200608318</v>
      </c>
      <c r="AF279" s="4" t="s">
        <v>563</v>
      </c>
    </row>
    <row r="280" spans="1:32" ht="11.25" customHeight="1" x14ac:dyDescent="0.25">
      <c r="A280" s="4" t="s">
        <v>28</v>
      </c>
      <c r="B280" s="4" t="s">
        <v>40</v>
      </c>
      <c r="C280" s="4" t="s">
        <v>23</v>
      </c>
      <c r="D280" s="4" t="s">
        <v>41</v>
      </c>
      <c r="E280" s="4" t="s">
        <v>49</v>
      </c>
      <c r="F280" s="4" t="s">
        <v>51</v>
      </c>
      <c r="G280" s="4" t="s">
        <v>25</v>
      </c>
      <c r="H280" s="4" t="s">
        <v>25</v>
      </c>
      <c r="I280" s="5">
        <v>44470</v>
      </c>
      <c r="J280" s="6">
        <v>0</v>
      </c>
      <c r="K280" s="6">
        <v>0</v>
      </c>
      <c r="L280" s="6">
        <v>0.01</v>
      </c>
      <c r="M280" s="6">
        <v>0.01</v>
      </c>
      <c r="N280" s="6">
        <v>0.01</v>
      </c>
      <c r="O280" s="6">
        <v>0.01</v>
      </c>
      <c r="P280" s="6">
        <v>0</v>
      </c>
      <c r="Q280" s="4" t="s">
        <v>26</v>
      </c>
      <c r="R280" s="4">
        <v>0</v>
      </c>
      <c r="S280" s="4">
        <v>0</v>
      </c>
      <c r="T280" s="4">
        <v>33</v>
      </c>
      <c r="U280" s="4">
        <v>72</v>
      </c>
      <c r="V280" s="6">
        <f>IF(ISERROR(VLOOKUP($S$280,'TAR FIN'!$A$1:$O$88,15,0)),0,VLOOKUP($S$280,'TAR FIN'!$A$1:$O$88,15,0))</f>
        <v>0</v>
      </c>
      <c r="W280" s="6">
        <f>IF(ISERROR(VLOOKUP($T$280,'TAR FIN'!$A$1:$O$88,15,0)),0,VLOOKUP($T$280,'TAR FIN'!$A$1:$O$88,15,0))</f>
        <v>374.66</v>
      </c>
      <c r="X280" s="6">
        <f>IF(ISERROR(VLOOKUP($U$280,'TAR FIN'!$A$1:$O$88,15,0)),0,VLOOKUP($U$280,'TAR FIN'!$A$1:$O$88,15,0))</f>
        <v>221.96</v>
      </c>
      <c r="Y280" s="6"/>
      <c r="Z280" s="6">
        <f ca="1">('TUSD BE'!$AM$33+'TUSD BF'!$AM$33+'TUSD CVA'!$AM$33)*(1-CUSTOS!$M$38)</f>
        <v>458.58557094695544</v>
      </c>
      <c r="AA280" s="6">
        <f>('TE BE'!$AB$23+'TE BF'!$AB$23+'TE CVA'!$AB$23)*(1-CUSTOS!$M$38)</f>
        <v>236.80902583286482</v>
      </c>
      <c r="AB280" s="6">
        <f t="shared" si="14"/>
        <v>0</v>
      </c>
      <c r="AC280" s="6">
        <f>(L280-M280)*(W280+X280)+($W$165+$X$165-$W$280-$X$280)*(L280)</f>
        <v>0.8135</v>
      </c>
      <c r="AD280" s="6">
        <f t="shared" si="15"/>
        <v>0</v>
      </c>
      <c r="AE280" s="6">
        <f ca="1">(L280-M280)*(Z280+AA280)+($Z$165+$AA$165-$Z$280-$AA$280)*(L280)</f>
        <v>0.44386889156158787</v>
      </c>
      <c r="AF280" s="4" t="s">
        <v>561</v>
      </c>
    </row>
    <row r="281" spans="1:32" ht="11.25" customHeight="1" x14ac:dyDescent="0.25">
      <c r="A281" s="4" t="s">
        <v>21</v>
      </c>
      <c r="B281" s="4" t="s">
        <v>40</v>
      </c>
      <c r="C281" s="4" t="s">
        <v>23</v>
      </c>
      <c r="D281" s="4" t="s">
        <v>41</v>
      </c>
      <c r="E281" s="4" t="s">
        <v>49</v>
      </c>
      <c r="F281" s="4" t="s">
        <v>51</v>
      </c>
      <c r="G281" s="4" t="s">
        <v>25</v>
      </c>
      <c r="H281" s="4" t="s">
        <v>25</v>
      </c>
      <c r="I281" s="5">
        <v>44501</v>
      </c>
      <c r="J281" s="6">
        <v>0</v>
      </c>
      <c r="K281" s="6">
        <v>0</v>
      </c>
      <c r="L281" s="6">
        <v>103.77800000000001</v>
      </c>
      <c r="M281" s="6">
        <v>41.511200000000002</v>
      </c>
      <c r="N281" s="6">
        <v>103.77800000000001</v>
      </c>
      <c r="O281" s="6">
        <v>41.511200000000002</v>
      </c>
      <c r="P281" s="6">
        <v>0</v>
      </c>
      <c r="Q281" s="4" t="s">
        <v>26</v>
      </c>
      <c r="R281" s="4">
        <v>0</v>
      </c>
      <c r="S281" s="4">
        <v>0</v>
      </c>
      <c r="T281" s="4">
        <v>33</v>
      </c>
      <c r="U281" s="4">
        <v>72</v>
      </c>
      <c r="V281" s="6">
        <f>IF(ISERROR(VLOOKUP($S$281,'TAR FIN'!$A$1:$O$88,15,0)),0,VLOOKUP($S$281,'TAR FIN'!$A$1:$O$88,15,0))</f>
        <v>0</v>
      </c>
      <c r="W281" s="6">
        <f>IF(ISERROR(VLOOKUP($T$281,'TAR FIN'!$A$1:$O$88,15,0)),0,VLOOKUP($T$281,'TAR FIN'!$A$1:$O$88,15,0))</f>
        <v>374.66</v>
      </c>
      <c r="X281" s="6">
        <f>IF(ISERROR(VLOOKUP($U$281,'TAR FIN'!$A$1:$O$88,15,0)),0,VLOOKUP($U$281,'TAR FIN'!$A$1:$O$88,15,0))</f>
        <v>221.96</v>
      </c>
      <c r="Y281" s="6"/>
      <c r="Z281" s="6">
        <f ca="1">('TUSD BE'!$AM$33+'TUSD BF'!$AM$33+'TUSD CVA'!$AM$33)*(1-CUSTOS!$M$38)</f>
        <v>458.58557094695544</v>
      </c>
      <c r="AA281" s="6">
        <f>('TE BE'!$AB$23+'TE BF'!$AB$23+'TE CVA'!$AB$23)*(1-CUSTOS!$M$38)</f>
        <v>236.80902583286482</v>
      </c>
      <c r="AB281" s="6">
        <f t="shared" si="14"/>
        <v>0</v>
      </c>
      <c r="AC281" s="6">
        <f>(L281-M281)*(W281+X281)+($W$165+$X$165-$W$281-$X$281)*(L281)</f>
        <v>45591.958515999999</v>
      </c>
      <c r="AD281" s="6">
        <f t="shared" si="15"/>
        <v>0</v>
      </c>
      <c r="AE281" s="6">
        <f ca="1">(L281-M281)*(Z281+AA281)+($Z$165+$AA$165-$Z$281-$AA$281)*(L281)</f>
        <v>47906.378861617559</v>
      </c>
      <c r="AF281" s="4" t="s">
        <v>563</v>
      </c>
    </row>
    <row r="282" spans="1:32" ht="11.25" customHeight="1" x14ac:dyDescent="0.25">
      <c r="A282" s="4" t="s">
        <v>27</v>
      </c>
      <c r="B282" s="4" t="s">
        <v>40</v>
      </c>
      <c r="C282" s="4" t="s">
        <v>23</v>
      </c>
      <c r="D282" s="4" t="s">
        <v>41</v>
      </c>
      <c r="E282" s="4" t="s">
        <v>49</v>
      </c>
      <c r="F282" s="4" t="s">
        <v>51</v>
      </c>
      <c r="G282" s="4" t="s">
        <v>25</v>
      </c>
      <c r="H282" s="4" t="s">
        <v>25</v>
      </c>
      <c r="I282" s="5">
        <v>44501</v>
      </c>
      <c r="J282" s="6">
        <v>0</v>
      </c>
      <c r="K282" s="6">
        <v>0</v>
      </c>
      <c r="L282" s="6">
        <v>-12.36</v>
      </c>
      <c r="M282" s="6">
        <v>-4.944</v>
      </c>
      <c r="N282" s="6">
        <v>-12.36</v>
      </c>
      <c r="O282" s="6">
        <v>-4.944</v>
      </c>
      <c r="P282" s="6">
        <v>0</v>
      </c>
      <c r="Q282" s="4" t="s">
        <v>26</v>
      </c>
      <c r="R282" s="4">
        <v>0</v>
      </c>
      <c r="S282" s="4">
        <v>0</v>
      </c>
      <c r="T282" s="4">
        <v>33</v>
      </c>
      <c r="U282" s="4">
        <v>72</v>
      </c>
      <c r="V282" s="6">
        <f>IF(ISERROR(VLOOKUP($S$282,'TAR FIN'!$A$1:$O$88,15,0)),0,VLOOKUP($S$282,'TAR FIN'!$A$1:$O$88,15,0))</f>
        <v>0</v>
      </c>
      <c r="W282" s="6">
        <f>IF(ISERROR(VLOOKUP($T$282,'TAR FIN'!$A$1:$O$88,15,0)),0,VLOOKUP($T$282,'TAR FIN'!$A$1:$O$88,15,0))</f>
        <v>374.66</v>
      </c>
      <c r="X282" s="6">
        <f>IF(ISERROR(VLOOKUP($U$282,'TAR FIN'!$A$1:$O$88,15,0)),0,VLOOKUP($U$282,'TAR FIN'!$A$1:$O$88,15,0))</f>
        <v>221.96</v>
      </c>
      <c r="Y282" s="6"/>
      <c r="Z282" s="6">
        <f ca="1">('TUSD BE'!$AM$33+'TUSD BF'!$AM$33+'TUSD CVA'!$AM$33)*(1-CUSTOS!$M$38)</f>
        <v>458.58557094695544</v>
      </c>
      <c r="AA282" s="6">
        <f>('TE BE'!$AB$23+'TE BF'!$AB$23+'TE CVA'!$AB$23)*(1-CUSTOS!$M$38)</f>
        <v>236.80902583286482</v>
      </c>
      <c r="AB282" s="6">
        <f t="shared" si="14"/>
        <v>0</v>
      </c>
      <c r="AC282" s="6">
        <f>(L282-M282)*(W282+X282)+($W$165+$X$165-$W$282-$X$282)*(L282)</f>
        <v>-5430.0199199999997</v>
      </c>
      <c r="AD282" s="6">
        <f t="shared" si="15"/>
        <v>0</v>
      </c>
      <c r="AE282" s="6">
        <f ca="1">(L282-M282)*(Z282+AA282)+($Z$165+$AA$165-$Z$282-$AA$282)*(L282)</f>
        <v>-5705.6682796892701</v>
      </c>
      <c r="AF282" s="4" t="s">
        <v>563</v>
      </c>
    </row>
    <row r="283" spans="1:32" ht="11.25" customHeight="1" x14ac:dyDescent="0.25">
      <c r="A283" s="4" t="s">
        <v>28</v>
      </c>
      <c r="B283" s="4" t="s">
        <v>40</v>
      </c>
      <c r="C283" s="4" t="s">
        <v>23</v>
      </c>
      <c r="D283" s="4" t="s">
        <v>41</v>
      </c>
      <c r="E283" s="4" t="s">
        <v>49</v>
      </c>
      <c r="F283" s="4" t="s">
        <v>51</v>
      </c>
      <c r="G283" s="4" t="s">
        <v>25</v>
      </c>
      <c r="H283" s="4" t="s">
        <v>25</v>
      </c>
      <c r="I283" s="5">
        <v>44501</v>
      </c>
      <c r="J283" s="6">
        <v>0</v>
      </c>
      <c r="K283" s="6">
        <v>0</v>
      </c>
      <c r="L283" s="6">
        <v>8.2799999999999994</v>
      </c>
      <c r="M283" s="6">
        <v>8.2799999999999994</v>
      </c>
      <c r="N283" s="6">
        <v>8.2799999999999994</v>
      </c>
      <c r="O283" s="6">
        <v>8.2799999999999994</v>
      </c>
      <c r="P283" s="6">
        <v>0</v>
      </c>
      <c r="Q283" s="4" t="s">
        <v>26</v>
      </c>
      <c r="R283" s="4">
        <v>0</v>
      </c>
      <c r="S283" s="4">
        <v>0</v>
      </c>
      <c r="T283" s="4">
        <v>33</v>
      </c>
      <c r="U283" s="4">
        <v>72</v>
      </c>
      <c r="V283" s="6">
        <f>IF(ISERROR(VLOOKUP($S$283,'TAR FIN'!$A$1:$O$88,15,0)),0,VLOOKUP($S$283,'TAR FIN'!$A$1:$O$88,15,0))</f>
        <v>0</v>
      </c>
      <c r="W283" s="6">
        <f>IF(ISERROR(VLOOKUP($T$283,'TAR FIN'!$A$1:$O$88,15,0)),0,VLOOKUP($T$283,'TAR FIN'!$A$1:$O$88,15,0))</f>
        <v>374.66</v>
      </c>
      <c r="X283" s="6">
        <f>IF(ISERROR(VLOOKUP($U$283,'TAR FIN'!$A$1:$O$88,15,0)),0,VLOOKUP($U$283,'TAR FIN'!$A$1:$O$88,15,0))</f>
        <v>221.96</v>
      </c>
      <c r="Y283" s="6"/>
      <c r="Z283" s="6">
        <f ca="1">('TUSD BE'!$AM$33+'TUSD BF'!$AM$33+'TUSD CVA'!$AM$33)*(1-CUSTOS!$M$38)</f>
        <v>458.58557094695544</v>
      </c>
      <c r="AA283" s="6">
        <f>('TE BE'!$AB$23+'TE BF'!$AB$23+'TE CVA'!$AB$23)*(1-CUSTOS!$M$38)</f>
        <v>236.80902583286482</v>
      </c>
      <c r="AB283" s="6">
        <f t="shared" si="14"/>
        <v>0</v>
      </c>
      <c r="AC283" s="6">
        <f>(L283-M283)*(W283+X283)+($W$165+$X$165-$W$283-$X$283)*(L283)</f>
        <v>673.57799999999986</v>
      </c>
      <c r="AD283" s="6">
        <f t="shared" si="15"/>
        <v>0</v>
      </c>
      <c r="AE283" s="6">
        <f ca="1">(L283-M283)*(Z283+AA283)+($Z$165+$AA$165-$Z$283-$AA$283)*(L283)</f>
        <v>367.52344221299472</v>
      </c>
      <c r="AF283" s="4" t="s">
        <v>561</v>
      </c>
    </row>
    <row r="284" spans="1:32" ht="11.25" customHeight="1" x14ac:dyDescent="0.25">
      <c r="A284" s="4" t="s">
        <v>21</v>
      </c>
      <c r="B284" s="4" t="s">
        <v>40</v>
      </c>
      <c r="C284" s="4" t="s">
        <v>23</v>
      </c>
      <c r="D284" s="4" t="s">
        <v>41</v>
      </c>
      <c r="E284" s="4" t="s">
        <v>49</v>
      </c>
      <c r="F284" s="4" t="s">
        <v>51</v>
      </c>
      <c r="G284" s="4" t="s">
        <v>25</v>
      </c>
      <c r="H284" s="4" t="s">
        <v>25</v>
      </c>
      <c r="I284" s="5">
        <v>44531</v>
      </c>
      <c r="J284" s="6">
        <v>0</v>
      </c>
      <c r="K284" s="6">
        <v>0</v>
      </c>
      <c r="L284" s="6">
        <v>262.84800000000001</v>
      </c>
      <c r="M284" s="6">
        <v>105.1392</v>
      </c>
      <c r="N284" s="6">
        <v>262.84800000000001</v>
      </c>
      <c r="O284" s="6">
        <v>105.1392</v>
      </c>
      <c r="P284" s="6">
        <v>0</v>
      </c>
      <c r="Q284" s="4" t="s">
        <v>26</v>
      </c>
      <c r="R284" s="4">
        <v>0</v>
      </c>
      <c r="S284" s="4">
        <v>0</v>
      </c>
      <c r="T284" s="4">
        <v>33</v>
      </c>
      <c r="U284" s="4">
        <v>72</v>
      </c>
      <c r="V284" s="6">
        <f>IF(ISERROR(VLOOKUP($S$284,'TAR FIN'!$A$1:$O$88,15,0)),0,VLOOKUP($S$284,'TAR FIN'!$A$1:$O$88,15,0))</f>
        <v>0</v>
      </c>
      <c r="W284" s="6">
        <f>IF(ISERROR(VLOOKUP($T$284,'TAR FIN'!$A$1:$O$88,15,0)),0,VLOOKUP($T$284,'TAR FIN'!$A$1:$O$88,15,0))</f>
        <v>374.66</v>
      </c>
      <c r="X284" s="6">
        <f>IF(ISERROR(VLOOKUP($U$284,'TAR FIN'!$A$1:$O$88,15,0)),0,VLOOKUP($U$284,'TAR FIN'!$A$1:$O$88,15,0))</f>
        <v>221.96</v>
      </c>
      <c r="Y284" s="6"/>
      <c r="Z284" s="6">
        <f ca="1">('TUSD BE'!$AM$33+'TUSD BF'!$AM$33+'TUSD CVA'!$AM$33)*(1-CUSTOS!$M$38)</f>
        <v>458.58557094695544</v>
      </c>
      <c r="AA284" s="6">
        <f>('TE BE'!$AB$23+'TE BF'!$AB$23+'TE CVA'!$AB$23)*(1-CUSTOS!$M$38)</f>
        <v>236.80902583286482</v>
      </c>
      <c r="AB284" s="6">
        <f t="shared" si="14"/>
        <v>0</v>
      </c>
      <c r="AC284" s="6">
        <f>(L284-M284)*(W284+X284)+($W$165+$X$165-$W$284-$X$284)*(L284)</f>
        <v>115474.909056</v>
      </c>
      <c r="AD284" s="6">
        <f t="shared" si="15"/>
        <v>0</v>
      </c>
      <c r="AE284" s="6">
        <f ca="1">(L284-M284)*(Z284+AA284)+($Z$165+$AA$165-$Z$284-$AA$284)*(L284)</f>
        <v>121336.85242554735</v>
      </c>
      <c r="AF284" s="4" t="s">
        <v>563</v>
      </c>
    </row>
    <row r="285" spans="1:32" ht="11.25" customHeight="1" x14ac:dyDescent="0.25">
      <c r="A285" s="4" t="s">
        <v>28</v>
      </c>
      <c r="B285" s="4" t="s">
        <v>40</v>
      </c>
      <c r="C285" s="4" t="s">
        <v>23</v>
      </c>
      <c r="D285" s="4" t="s">
        <v>41</v>
      </c>
      <c r="E285" s="4" t="s">
        <v>49</v>
      </c>
      <c r="F285" s="4" t="s">
        <v>51</v>
      </c>
      <c r="G285" s="4" t="s">
        <v>25</v>
      </c>
      <c r="H285" s="4" t="s">
        <v>25</v>
      </c>
      <c r="I285" s="5">
        <v>44531</v>
      </c>
      <c r="J285" s="6">
        <v>0</v>
      </c>
      <c r="K285" s="6">
        <v>0</v>
      </c>
      <c r="L285" s="6">
        <v>17.352</v>
      </c>
      <c r="M285" s="6">
        <v>17.352</v>
      </c>
      <c r="N285" s="6">
        <v>17.352</v>
      </c>
      <c r="O285" s="6">
        <v>17.352</v>
      </c>
      <c r="P285" s="6">
        <v>0</v>
      </c>
      <c r="Q285" s="4" t="s">
        <v>26</v>
      </c>
      <c r="R285" s="4">
        <v>0</v>
      </c>
      <c r="S285" s="4">
        <v>0</v>
      </c>
      <c r="T285" s="4">
        <v>33</v>
      </c>
      <c r="U285" s="4">
        <v>72</v>
      </c>
      <c r="V285" s="6">
        <f>IF(ISERROR(VLOOKUP($S$285,'TAR FIN'!$A$1:$O$88,15,0)),0,VLOOKUP($S$285,'TAR FIN'!$A$1:$O$88,15,0))</f>
        <v>0</v>
      </c>
      <c r="W285" s="6">
        <f>IF(ISERROR(VLOOKUP($T$285,'TAR FIN'!$A$1:$O$88,15,0)),0,VLOOKUP($T$285,'TAR FIN'!$A$1:$O$88,15,0))</f>
        <v>374.66</v>
      </c>
      <c r="X285" s="6">
        <f>IF(ISERROR(VLOOKUP($U$285,'TAR FIN'!$A$1:$O$88,15,0)),0,VLOOKUP($U$285,'TAR FIN'!$A$1:$O$88,15,0))</f>
        <v>221.96</v>
      </c>
      <c r="Y285" s="6"/>
      <c r="Z285" s="6">
        <f ca="1">('TUSD BE'!$AM$33+'TUSD BF'!$AM$33+'TUSD CVA'!$AM$33)*(1-CUSTOS!$M$38)</f>
        <v>458.58557094695544</v>
      </c>
      <c r="AA285" s="6">
        <f>('TE BE'!$AB$23+'TE BF'!$AB$23+'TE CVA'!$AB$23)*(1-CUSTOS!$M$38)</f>
        <v>236.80902583286482</v>
      </c>
      <c r="AB285" s="6">
        <f t="shared" si="14"/>
        <v>0</v>
      </c>
      <c r="AC285" s="6">
        <f>(L285-M285)*(W285+X285)+($W$165+$X$165-$W$285-$X$285)*(L285)</f>
        <v>1411.5852</v>
      </c>
      <c r="AD285" s="6">
        <f t="shared" si="15"/>
        <v>0</v>
      </c>
      <c r="AE285" s="6">
        <f ca="1">(L285-M285)*(Z285+AA285)+($Z$165+$AA$165-$Z$285-$AA$285)*(L285)</f>
        <v>770.20130063766726</v>
      </c>
      <c r="AF285" s="4" t="s">
        <v>561</v>
      </c>
    </row>
    <row r="286" spans="1:32" ht="11.25" customHeight="1" x14ac:dyDescent="0.25">
      <c r="A286" s="4" t="s">
        <v>21</v>
      </c>
      <c r="B286" s="4" t="s">
        <v>40</v>
      </c>
      <c r="C286" s="4" t="s">
        <v>23</v>
      </c>
      <c r="D286" s="4" t="s">
        <v>41</v>
      </c>
      <c r="E286" s="4" t="s">
        <v>49</v>
      </c>
      <c r="F286" s="4" t="s">
        <v>51</v>
      </c>
      <c r="G286" s="4" t="s">
        <v>25</v>
      </c>
      <c r="H286" s="4" t="s">
        <v>25</v>
      </c>
      <c r="I286" s="5">
        <v>44562</v>
      </c>
      <c r="J286" s="6">
        <v>0</v>
      </c>
      <c r="K286" s="6">
        <v>0</v>
      </c>
      <c r="L286" s="6">
        <v>273.72500000000002</v>
      </c>
      <c r="M286" s="6">
        <v>109.49</v>
      </c>
      <c r="N286" s="6">
        <v>273.72500000000002</v>
      </c>
      <c r="O286" s="6">
        <v>109.49</v>
      </c>
      <c r="P286" s="6">
        <v>0</v>
      </c>
      <c r="Q286" s="4" t="s">
        <v>26</v>
      </c>
      <c r="R286" s="4">
        <v>0</v>
      </c>
      <c r="S286" s="4">
        <v>0</v>
      </c>
      <c r="T286" s="4">
        <v>33</v>
      </c>
      <c r="U286" s="4">
        <v>72</v>
      </c>
      <c r="V286" s="6">
        <f>IF(ISERROR(VLOOKUP($S$286,'TAR FIN'!$A$1:$O$88,15,0)),0,VLOOKUP($S$286,'TAR FIN'!$A$1:$O$88,15,0))</f>
        <v>0</v>
      </c>
      <c r="W286" s="6">
        <f>IF(ISERROR(VLOOKUP($T$286,'TAR FIN'!$A$1:$O$88,15,0)),0,VLOOKUP($T$286,'TAR FIN'!$A$1:$O$88,15,0))</f>
        <v>374.66</v>
      </c>
      <c r="X286" s="6">
        <f>IF(ISERROR(VLOOKUP($U$286,'TAR FIN'!$A$1:$O$88,15,0)),0,VLOOKUP($U$286,'TAR FIN'!$A$1:$O$88,15,0))</f>
        <v>221.96</v>
      </c>
      <c r="Y286" s="6"/>
      <c r="Z286" s="6">
        <f ca="1">('TUSD BE'!$AM$33+'TUSD BF'!$AM$33+'TUSD CVA'!$AM$33)*(1-CUSTOS!$M$38)</f>
        <v>458.58557094695544</v>
      </c>
      <c r="AA286" s="6">
        <f>('TE BE'!$AB$23+'TE BF'!$AB$23+'TE CVA'!$AB$23)*(1-CUSTOS!$M$38)</f>
        <v>236.80902583286482</v>
      </c>
      <c r="AB286" s="6">
        <f t="shared" si="14"/>
        <v>0</v>
      </c>
      <c r="AC286" s="6">
        <f>(L286-M286)*(W286+X286)+($W$165+$X$165-$W$286-$X$286)*(L286)</f>
        <v>120253.41445000001</v>
      </c>
      <c r="AD286" s="6">
        <f t="shared" si="15"/>
        <v>0</v>
      </c>
      <c r="AE286" s="6">
        <f ca="1">(L286-M286)*(Z286+AA286)+($Z$165+$AA$165-$Z$286-$AA$286)*(L286)</f>
        <v>126357.93283640337</v>
      </c>
      <c r="AF286" s="4" t="s">
        <v>563</v>
      </c>
    </row>
    <row r="287" spans="1:32" ht="11.25" customHeight="1" x14ac:dyDescent="0.25">
      <c r="A287" s="4" t="s">
        <v>28</v>
      </c>
      <c r="B287" s="4" t="s">
        <v>40</v>
      </c>
      <c r="C287" s="4" t="s">
        <v>23</v>
      </c>
      <c r="D287" s="4" t="s">
        <v>41</v>
      </c>
      <c r="E287" s="4" t="s">
        <v>49</v>
      </c>
      <c r="F287" s="4" t="s">
        <v>51</v>
      </c>
      <c r="G287" s="4" t="s">
        <v>25</v>
      </c>
      <c r="H287" s="4" t="s">
        <v>25</v>
      </c>
      <c r="I287" s="5">
        <v>44562</v>
      </c>
      <c r="J287" s="6">
        <v>0</v>
      </c>
      <c r="K287" s="6">
        <v>0</v>
      </c>
      <c r="L287" s="6">
        <v>26.376999999999999</v>
      </c>
      <c r="M287" s="6">
        <v>26.376999999999999</v>
      </c>
      <c r="N287" s="6">
        <v>26.376999999999999</v>
      </c>
      <c r="O287" s="6">
        <v>26.376999999999999</v>
      </c>
      <c r="P287" s="6">
        <v>0</v>
      </c>
      <c r="Q287" s="4" t="s">
        <v>26</v>
      </c>
      <c r="R287" s="4">
        <v>0</v>
      </c>
      <c r="S287" s="4">
        <v>0</v>
      </c>
      <c r="T287" s="4">
        <v>33</v>
      </c>
      <c r="U287" s="4">
        <v>72</v>
      </c>
      <c r="V287" s="6">
        <f>IF(ISERROR(VLOOKUP($S$287,'TAR FIN'!$A$1:$O$88,15,0)),0,VLOOKUP($S$287,'TAR FIN'!$A$1:$O$88,15,0))</f>
        <v>0</v>
      </c>
      <c r="W287" s="6">
        <f>IF(ISERROR(VLOOKUP($T$287,'TAR FIN'!$A$1:$O$88,15,0)),0,VLOOKUP($T$287,'TAR FIN'!$A$1:$O$88,15,0))</f>
        <v>374.66</v>
      </c>
      <c r="X287" s="6">
        <f>IF(ISERROR(VLOOKUP($U$287,'TAR FIN'!$A$1:$O$88,15,0)),0,VLOOKUP($U$287,'TAR FIN'!$A$1:$O$88,15,0))</f>
        <v>221.96</v>
      </c>
      <c r="Y287" s="6"/>
      <c r="Z287" s="6">
        <f ca="1">('TUSD BE'!$AM$33+'TUSD BF'!$AM$33+'TUSD CVA'!$AM$33)*(1-CUSTOS!$M$38)</f>
        <v>458.58557094695544</v>
      </c>
      <c r="AA287" s="6">
        <f>('TE BE'!$AB$23+'TE BF'!$AB$23+'TE CVA'!$AB$23)*(1-CUSTOS!$M$38)</f>
        <v>236.80902583286482</v>
      </c>
      <c r="AB287" s="6">
        <f t="shared" si="14"/>
        <v>0</v>
      </c>
      <c r="AC287" s="6">
        <f>(L287-M287)*(W287+X287)+($W$165+$X$165-$W$287-$X$287)*(L287)</f>
        <v>2145.7689499999997</v>
      </c>
      <c r="AD287" s="6">
        <f t="shared" si="15"/>
        <v>0</v>
      </c>
      <c r="AE287" s="6">
        <f ca="1">(L287-M287)*(Z287+AA287)+($Z$165+$AA$165-$Z$287-$AA$287)*(L287)</f>
        <v>1170.7929752720004</v>
      </c>
      <c r="AF287" s="4" t="s">
        <v>561</v>
      </c>
    </row>
    <row r="288" spans="1:32" ht="11.25" customHeight="1" x14ac:dyDescent="0.25">
      <c r="A288" s="4" t="s">
        <v>21</v>
      </c>
      <c r="B288" s="4" t="s">
        <v>40</v>
      </c>
      <c r="C288" s="4" t="s">
        <v>23</v>
      </c>
      <c r="D288" s="4" t="s">
        <v>41</v>
      </c>
      <c r="E288" s="4" t="s">
        <v>49</v>
      </c>
      <c r="F288" s="4" t="s">
        <v>51</v>
      </c>
      <c r="G288" s="4" t="s">
        <v>25</v>
      </c>
      <c r="H288" s="4" t="s">
        <v>25</v>
      </c>
      <c r="I288" s="5">
        <v>44593</v>
      </c>
      <c r="J288" s="6">
        <v>0</v>
      </c>
      <c r="K288" s="6">
        <v>0</v>
      </c>
      <c r="L288" s="6">
        <v>101.414</v>
      </c>
      <c r="M288" s="6">
        <v>40.565600000000003</v>
      </c>
      <c r="N288" s="6">
        <v>101.414</v>
      </c>
      <c r="O288" s="6">
        <v>40.565600000000003</v>
      </c>
      <c r="P288" s="6">
        <v>0</v>
      </c>
      <c r="Q288" s="4" t="s">
        <v>26</v>
      </c>
      <c r="R288" s="4">
        <v>0</v>
      </c>
      <c r="S288" s="4">
        <v>0</v>
      </c>
      <c r="T288" s="4">
        <v>33</v>
      </c>
      <c r="U288" s="4">
        <v>72</v>
      </c>
      <c r="V288" s="6">
        <f>IF(ISERROR(VLOOKUP($S$288,'TAR FIN'!$A$1:$O$88,15,0)),0,VLOOKUP($S$288,'TAR FIN'!$A$1:$O$88,15,0))</f>
        <v>0</v>
      </c>
      <c r="W288" s="6">
        <f>IF(ISERROR(VLOOKUP($T$288,'TAR FIN'!$A$1:$O$88,15,0)),0,VLOOKUP($T$288,'TAR FIN'!$A$1:$O$88,15,0))</f>
        <v>374.66</v>
      </c>
      <c r="X288" s="6">
        <f>IF(ISERROR(VLOOKUP($U$288,'TAR FIN'!$A$1:$O$88,15,0)),0,VLOOKUP($U$288,'TAR FIN'!$A$1:$O$88,15,0))</f>
        <v>221.96</v>
      </c>
      <c r="Y288" s="6"/>
      <c r="Z288" s="6">
        <f ca="1">('TUSD BE'!$AM$33+'TUSD BF'!$AM$33+'TUSD CVA'!$AM$33)*(1-CUSTOS!$M$38)</f>
        <v>458.58557094695544</v>
      </c>
      <c r="AA288" s="6">
        <f>('TE BE'!$AB$23+'TE BF'!$AB$23+'TE CVA'!$AB$23)*(1-CUSTOS!$M$38)</f>
        <v>236.80902583286482</v>
      </c>
      <c r="AB288" s="6">
        <f t="shared" si="14"/>
        <v>0</v>
      </c>
      <c r="AC288" s="6">
        <f>(L288-M288)*(W288+X288)+($W$165+$X$165-$W$288-$X$288)*(L288)</f>
        <v>44553.401307999993</v>
      </c>
      <c r="AD288" s="6">
        <f t="shared" si="15"/>
        <v>0</v>
      </c>
      <c r="AE288" s="6">
        <f ca="1">(L288-M288)*(Z288+AA288)+($Z$165+$AA$165-$Z$288-$AA$288)*(L288)</f>
        <v>46815.1005595799</v>
      </c>
      <c r="AF288" s="4" t="s">
        <v>563</v>
      </c>
    </row>
    <row r="289" spans="1:32" ht="11.25" customHeight="1" x14ac:dyDescent="0.25">
      <c r="A289" s="4" t="s">
        <v>21</v>
      </c>
      <c r="B289" s="4" t="s">
        <v>40</v>
      </c>
      <c r="C289" s="4" t="s">
        <v>23</v>
      </c>
      <c r="D289" s="4" t="s">
        <v>41</v>
      </c>
      <c r="E289" s="4" t="s">
        <v>49</v>
      </c>
      <c r="F289" s="4" t="s">
        <v>51</v>
      </c>
      <c r="G289" s="4" t="s">
        <v>25</v>
      </c>
      <c r="H289" s="4" t="s">
        <v>25</v>
      </c>
      <c r="I289" s="5">
        <v>44621</v>
      </c>
      <c r="J289" s="6">
        <v>0</v>
      </c>
      <c r="K289" s="6">
        <v>0</v>
      </c>
      <c r="L289" s="6">
        <v>67.37</v>
      </c>
      <c r="M289" s="6">
        <v>26.948</v>
      </c>
      <c r="N289" s="6">
        <v>67.37</v>
      </c>
      <c r="O289" s="6">
        <v>26.948</v>
      </c>
      <c r="P289" s="6">
        <v>0</v>
      </c>
      <c r="Q289" s="4" t="s">
        <v>26</v>
      </c>
      <c r="R289" s="4">
        <v>0</v>
      </c>
      <c r="S289" s="4">
        <v>0</v>
      </c>
      <c r="T289" s="4">
        <v>33</v>
      </c>
      <c r="U289" s="4">
        <v>72</v>
      </c>
      <c r="V289" s="6">
        <f>IF(ISERROR(VLOOKUP($S$289,'TAR FIN'!$A$1:$O$88,15,0)),0,VLOOKUP($S$289,'TAR FIN'!$A$1:$O$88,15,0))</f>
        <v>0</v>
      </c>
      <c r="W289" s="6">
        <f>IF(ISERROR(VLOOKUP($T$289,'TAR FIN'!$A$1:$O$88,15,0)),0,VLOOKUP($T$289,'TAR FIN'!$A$1:$O$88,15,0))</f>
        <v>374.66</v>
      </c>
      <c r="X289" s="6">
        <f>IF(ISERROR(VLOOKUP($U$289,'TAR FIN'!$A$1:$O$88,15,0)),0,VLOOKUP($U$289,'TAR FIN'!$A$1:$O$88,15,0))</f>
        <v>221.96</v>
      </c>
      <c r="Y289" s="6"/>
      <c r="Z289" s="6">
        <f ca="1">('TUSD BE'!$AM$33+'TUSD BF'!$AM$33+'TUSD CVA'!$AM$33)*(1-CUSTOS!$M$38)</f>
        <v>458.58557094695544</v>
      </c>
      <c r="AA289" s="6">
        <f>('TE BE'!$AB$23+'TE BF'!$AB$23+'TE CVA'!$AB$23)*(1-CUSTOS!$M$38)</f>
        <v>236.80902583286482</v>
      </c>
      <c r="AB289" s="6">
        <f t="shared" si="14"/>
        <v>0</v>
      </c>
      <c r="AC289" s="6">
        <f>(L289-M289)*(W289+X289)+($W$165+$X$165-$W$289-$X$289)*(L289)</f>
        <v>29597.123140000003</v>
      </c>
      <c r="AD289" s="6">
        <f t="shared" si="15"/>
        <v>0</v>
      </c>
      <c r="AE289" s="6">
        <f ca="1">(L289-M289)*(Z289+AA289)+($Z$165+$AA$165-$Z$289-$AA$289)*(L289)</f>
        <v>31099.585113484314</v>
      </c>
      <c r="AF289" s="4" t="s">
        <v>563</v>
      </c>
    </row>
    <row r="290" spans="1:32" ht="11.25" customHeight="1" x14ac:dyDescent="0.25">
      <c r="A290" s="4" t="s">
        <v>28</v>
      </c>
      <c r="B290" s="4" t="s">
        <v>40</v>
      </c>
      <c r="C290" s="4" t="s">
        <v>23</v>
      </c>
      <c r="D290" s="4" t="s">
        <v>41</v>
      </c>
      <c r="E290" s="4" t="s">
        <v>49</v>
      </c>
      <c r="F290" s="4" t="s">
        <v>51</v>
      </c>
      <c r="G290" s="4" t="s">
        <v>25</v>
      </c>
      <c r="H290" s="4" t="s">
        <v>25</v>
      </c>
      <c r="I290" s="5">
        <v>44621</v>
      </c>
      <c r="J290" s="6">
        <v>0</v>
      </c>
      <c r="K290" s="6">
        <v>0</v>
      </c>
      <c r="L290" s="6">
        <v>6.4210000000000003</v>
      </c>
      <c r="M290" s="6">
        <v>6.4210000000000003</v>
      </c>
      <c r="N290" s="6">
        <v>6.4210000000000003</v>
      </c>
      <c r="O290" s="6">
        <v>6.4210000000000003</v>
      </c>
      <c r="P290" s="6">
        <v>0</v>
      </c>
      <c r="Q290" s="4" t="s">
        <v>26</v>
      </c>
      <c r="R290" s="4">
        <v>0</v>
      </c>
      <c r="S290" s="4">
        <v>0</v>
      </c>
      <c r="T290" s="4">
        <v>33</v>
      </c>
      <c r="U290" s="4">
        <v>72</v>
      </c>
      <c r="V290" s="6">
        <f>IF(ISERROR(VLOOKUP($S$290,'TAR FIN'!$A$1:$O$88,15,0)),0,VLOOKUP($S$290,'TAR FIN'!$A$1:$O$88,15,0))</f>
        <v>0</v>
      </c>
      <c r="W290" s="6">
        <f>IF(ISERROR(VLOOKUP($T$290,'TAR FIN'!$A$1:$O$88,15,0)),0,VLOOKUP($T$290,'TAR FIN'!$A$1:$O$88,15,0))</f>
        <v>374.66</v>
      </c>
      <c r="X290" s="6">
        <f>IF(ISERROR(VLOOKUP($U$290,'TAR FIN'!$A$1:$O$88,15,0)),0,VLOOKUP($U$290,'TAR FIN'!$A$1:$O$88,15,0))</f>
        <v>221.96</v>
      </c>
      <c r="Y290" s="6"/>
      <c r="Z290" s="6">
        <f ca="1">('TUSD BE'!$AM$33+'TUSD BF'!$AM$33+'TUSD CVA'!$AM$33)*(1-CUSTOS!$M$38)</f>
        <v>458.58557094695544</v>
      </c>
      <c r="AA290" s="6">
        <f>('TE BE'!$AB$23+'TE BF'!$AB$23+'TE CVA'!$AB$23)*(1-CUSTOS!$M$38)</f>
        <v>236.80902583286482</v>
      </c>
      <c r="AB290" s="6">
        <f t="shared" si="14"/>
        <v>0</v>
      </c>
      <c r="AC290" s="6">
        <f>(L290-M290)*(W290+X290)+($W$165+$X$165-$W$290-$X$290)*(L290)</f>
        <v>522.34834999999998</v>
      </c>
      <c r="AD290" s="6">
        <f t="shared" si="15"/>
        <v>0</v>
      </c>
      <c r="AE290" s="6">
        <f ca="1">(L290-M290)*(Z290+AA290)+($Z$165+$AA$165-$Z$290-$AA$290)*(L290)</f>
        <v>285.00821527169558</v>
      </c>
      <c r="AF290" s="4" t="s">
        <v>561</v>
      </c>
    </row>
    <row r="291" spans="1:32" ht="11.25" customHeight="1" x14ac:dyDescent="0.25">
      <c r="A291" s="4" t="s">
        <v>21</v>
      </c>
      <c r="B291" s="4" t="s">
        <v>40</v>
      </c>
      <c r="C291" s="4" t="s">
        <v>23</v>
      </c>
      <c r="D291" s="4" t="s">
        <v>41</v>
      </c>
      <c r="E291" s="4" t="s">
        <v>49</v>
      </c>
      <c r="F291" s="4" t="s">
        <v>51</v>
      </c>
      <c r="G291" s="4" t="s">
        <v>25</v>
      </c>
      <c r="H291" s="4" t="s">
        <v>25</v>
      </c>
      <c r="I291" s="5">
        <v>44652</v>
      </c>
      <c r="J291" s="6">
        <v>0</v>
      </c>
      <c r="K291" s="6">
        <v>0</v>
      </c>
      <c r="L291" s="6">
        <v>26.43</v>
      </c>
      <c r="M291" s="6">
        <v>10.571999999999999</v>
      </c>
      <c r="N291" s="6">
        <v>26.43</v>
      </c>
      <c r="O291" s="6">
        <v>10.571999999999999</v>
      </c>
      <c r="P291" s="6">
        <v>0</v>
      </c>
      <c r="Q291" s="4" t="s">
        <v>26</v>
      </c>
      <c r="R291" s="4">
        <v>0</v>
      </c>
      <c r="S291" s="4">
        <v>0</v>
      </c>
      <c r="T291" s="4">
        <v>33</v>
      </c>
      <c r="U291" s="4">
        <v>72</v>
      </c>
      <c r="V291" s="6">
        <f>IF(ISERROR(VLOOKUP($S$291,'TAR FIN'!$A$1:$O$88,15,0)),0,VLOOKUP($S$291,'TAR FIN'!$A$1:$O$88,15,0))</f>
        <v>0</v>
      </c>
      <c r="W291" s="6">
        <f>IF(ISERROR(VLOOKUP($T$291,'TAR FIN'!$A$1:$O$88,15,0)),0,VLOOKUP($T$291,'TAR FIN'!$A$1:$O$88,15,0))</f>
        <v>374.66</v>
      </c>
      <c r="X291" s="6">
        <f>IF(ISERROR(VLOOKUP($U$291,'TAR FIN'!$A$1:$O$88,15,0)),0,VLOOKUP($U$291,'TAR FIN'!$A$1:$O$88,15,0))</f>
        <v>221.96</v>
      </c>
      <c r="Y291" s="6"/>
      <c r="Z291" s="6">
        <f ca="1">('TUSD BE'!$AM$33+'TUSD BF'!$AM$33+'TUSD CVA'!$AM$33)*(1-CUSTOS!$M$38)</f>
        <v>458.58557094695544</v>
      </c>
      <c r="AA291" s="6">
        <f>('TE BE'!$AB$23+'TE BF'!$AB$23+'TE CVA'!$AB$23)*(1-CUSTOS!$M$38)</f>
        <v>236.80902583286482</v>
      </c>
      <c r="AB291" s="6">
        <f t="shared" si="14"/>
        <v>0</v>
      </c>
      <c r="AC291" s="6">
        <f>(L291-M291)*(W291+X291)+($W$165+$X$165-$W$291-$X$291)*(L291)</f>
        <v>11611.28046</v>
      </c>
      <c r="AD291" s="6">
        <f t="shared" si="15"/>
        <v>0</v>
      </c>
      <c r="AE291" s="6">
        <f ca="1">(L291-M291)*(Z291+AA291)+($Z$165+$AA$165-$Z$291-$AA$291)*(L291)</f>
        <v>12200.712996131668</v>
      </c>
      <c r="AF291" s="4" t="s">
        <v>563</v>
      </c>
    </row>
    <row r="292" spans="1:32" ht="11.25" customHeight="1" x14ac:dyDescent="0.25">
      <c r="A292" s="4" t="s">
        <v>28</v>
      </c>
      <c r="B292" s="4" t="s">
        <v>40</v>
      </c>
      <c r="C292" s="4" t="s">
        <v>23</v>
      </c>
      <c r="D292" s="4" t="s">
        <v>41</v>
      </c>
      <c r="E292" s="4" t="s">
        <v>49</v>
      </c>
      <c r="F292" s="4" t="s">
        <v>51</v>
      </c>
      <c r="G292" s="4" t="s">
        <v>25</v>
      </c>
      <c r="H292" s="4" t="s">
        <v>25</v>
      </c>
      <c r="I292" s="5">
        <v>44652</v>
      </c>
      <c r="J292" s="6">
        <v>0</v>
      </c>
      <c r="K292" s="6">
        <v>0</v>
      </c>
      <c r="L292" s="6">
        <v>0.2</v>
      </c>
      <c r="M292" s="6">
        <v>0.2</v>
      </c>
      <c r="N292" s="6">
        <v>0.2</v>
      </c>
      <c r="O292" s="6">
        <v>0.2</v>
      </c>
      <c r="P292" s="6">
        <v>0</v>
      </c>
      <c r="Q292" s="4" t="s">
        <v>26</v>
      </c>
      <c r="R292" s="4">
        <v>0</v>
      </c>
      <c r="S292" s="4">
        <v>0</v>
      </c>
      <c r="T292" s="4">
        <v>33</v>
      </c>
      <c r="U292" s="4">
        <v>72</v>
      </c>
      <c r="V292" s="6">
        <f>IF(ISERROR(VLOOKUP($S$292,'TAR FIN'!$A$1:$O$88,15,0)),0,VLOOKUP($S$292,'TAR FIN'!$A$1:$O$88,15,0))</f>
        <v>0</v>
      </c>
      <c r="W292" s="6">
        <f>IF(ISERROR(VLOOKUP($T$292,'TAR FIN'!$A$1:$O$88,15,0)),0,VLOOKUP($T$292,'TAR FIN'!$A$1:$O$88,15,0))</f>
        <v>374.66</v>
      </c>
      <c r="X292" s="6">
        <f>IF(ISERROR(VLOOKUP($U$292,'TAR FIN'!$A$1:$O$88,15,0)),0,VLOOKUP($U$292,'TAR FIN'!$A$1:$O$88,15,0))</f>
        <v>221.96</v>
      </c>
      <c r="Y292" s="6"/>
      <c r="Z292" s="6">
        <f ca="1">('TUSD BE'!$AM$33+'TUSD BF'!$AM$33+'TUSD CVA'!$AM$33)*(1-CUSTOS!$M$38)</f>
        <v>458.58557094695544</v>
      </c>
      <c r="AA292" s="6">
        <f>('TE BE'!$AB$23+'TE BF'!$AB$23+'TE CVA'!$AB$23)*(1-CUSTOS!$M$38)</f>
        <v>236.80902583286482</v>
      </c>
      <c r="AB292" s="6">
        <f t="shared" si="14"/>
        <v>0</v>
      </c>
      <c r="AC292" s="6">
        <f>(L292-M292)*(W292+X292)+($W$165+$X$165-$W$292-$X$292)*(L292)</f>
        <v>16.27</v>
      </c>
      <c r="AD292" s="6">
        <f t="shared" si="15"/>
        <v>0</v>
      </c>
      <c r="AE292" s="6">
        <f ca="1">(L292-M292)*(Z292+AA292)+($Z$165+$AA$165-$Z$292-$AA$292)*(L292)</f>
        <v>8.8773778312317582</v>
      </c>
      <c r="AF292" s="4" t="s">
        <v>561</v>
      </c>
    </row>
    <row r="293" spans="1:32" ht="11.25" customHeight="1" x14ac:dyDescent="0.25">
      <c r="A293" s="4" t="s">
        <v>21</v>
      </c>
      <c r="B293" s="4" t="s">
        <v>40</v>
      </c>
      <c r="C293" s="4" t="s">
        <v>23</v>
      </c>
      <c r="D293" s="4" t="s">
        <v>41</v>
      </c>
      <c r="E293" s="4" t="s">
        <v>49</v>
      </c>
      <c r="F293" s="4" t="s">
        <v>51</v>
      </c>
      <c r="G293" s="4" t="s">
        <v>25</v>
      </c>
      <c r="H293" s="4" t="s">
        <v>25</v>
      </c>
      <c r="I293" s="5">
        <v>44682</v>
      </c>
      <c r="J293" s="6">
        <v>0</v>
      </c>
      <c r="K293" s="6">
        <v>0</v>
      </c>
      <c r="L293" s="6">
        <v>2.2999999999999998</v>
      </c>
      <c r="M293" s="6">
        <v>0.92</v>
      </c>
      <c r="N293" s="6">
        <v>2.2999999999999998</v>
      </c>
      <c r="O293" s="6">
        <v>0.92</v>
      </c>
      <c r="P293" s="6">
        <v>0</v>
      </c>
      <c r="Q293" s="4" t="s">
        <v>26</v>
      </c>
      <c r="R293" s="4">
        <v>0</v>
      </c>
      <c r="S293" s="4">
        <v>0</v>
      </c>
      <c r="T293" s="4">
        <v>33</v>
      </c>
      <c r="U293" s="4">
        <v>72</v>
      </c>
      <c r="V293" s="6">
        <f>IF(ISERROR(VLOOKUP($S$293,'TAR FIN'!$A$1:$O$88,15,0)),0,VLOOKUP($S$293,'TAR FIN'!$A$1:$O$88,15,0))</f>
        <v>0</v>
      </c>
      <c r="W293" s="6">
        <f>IF(ISERROR(VLOOKUP($T$293,'TAR FIN'!$A$1:$O$88,15,0)),0,VLOOKUP($T$293,'TAR FIN'!$A$1:$O$88,15,0))</f>
        <v>374.66</v>
      </c>
      <c r="X293" s="6">
        <f>IF(ISERROR(VLOOKUP($U$293,'TAR FIN'!$A$1:$O$88,15,0)),0,VLOOKUP($U$293,'TAR FIN'!$A$1:$O$88,15,0))</f>
        <v>221.96</v>
      </c>
      <c r="Y293" s="6"/>
      <c r="Z293" s="6">
        <f ca="1">('TUSD BE'!$AM$33+'TUSD BF'!$AM$33+'TUSD CVA'!$AM$33)*(1-CUSTOS!$M$38)</f>
        <v>458.58557094695544</v>
      </c>
      <c r="AA293" s="6">
        <f>('TE BE'!$AB$23+'TE BF'!$AB$23+'TE CVA'!$AB$23)*(1-CUSTOS!$M$38)</f>
        <v>236.80902583286482</v>
      </c>
      <c r="AB293" s="6">
        <f t="shared" si="14"/>
        <v>0</v>
      </c>
      <c r="AC293" s="6">
        <f>(L293-M293)*(W293+X293)+($W$165+$X$165-$W$293-$X$293)*(L293)</f>
        <v>1010.4405999999999</v>
      </c>
      <c r="AD293" s="6">
        <f t="shared" si="15"/>
        <v>0</v>
      </c>
      <c r="AE293" s="6">
        <f ca="1">(L293-M293)*(Z293+AA293)+($Z$165+$AA$165-$Z$293-$AA$293)*(L293)</f>
        <v>1061.7343886153171</v>
      </c>
      <c r="AF293" s="4" t="s">
        <v>563</v>
      </c>
    </row>
    <row r="294" spans="1:32" ht="11.25" customHeight="1" x14ac:dyDescent="0.25">
      <c r="A294" s="4" t="s">
        <v>27</v>
      </c>
      <c r="B294" s="4" t="s">
        <v>40</v>
      </c>
      <c r="C294" s="4" t="s">
        <v>23</v>
      </c>
      <c r="D294" s="4" t="s">
        <v>41</v>
      </c>
      <c r="E294" s="4" t="s">
        <v>49</v>
      </c>
      <c r="F294" s="4" t="s">
        <v>51</v>
      </c>
      <c r="G294" s="4" t="s">
        <v>25</v>
      </c>
      <c r="H294" s="4" t="s">
        <v>25</v>
      </c>
      <c r="I294" s="5">
        <v>44682</v>
      </c>
      <c r="J294" s="6">
        <v>0</v>
      </c>
      <c r="K294" s="6">
        <v>0</v>
      </c>
      <c r="L294" s="6">
        <v>-3.1019999999999999</v>
      </c>
      <c r="M294" s="6">
        <v>-1.2407999999999999</v>
      </c>
      <c r="N294" s="6">
        <v>-3.1019999999999999</v>
      </c>
      <c r="O294" s="6">
        <v>-1.2407999999999999</v>
      </c>
      <c r="P294" s="6">
        <v>0</v>
      </c>
      <c r="Q294" s="4" t="s">
        <v>26</v>
      </c>
      <c r="R294" s="4">
        <v>0</v>
      </c>
      <c r="S294" s="4">
        <v>0</v>
      </c>
      <c r="T294" s="4">
        <v>33</v>
      </c>
      <c r="U294" s="4">
        <v>72</v>
      </c>
      <c r="V294" s="6">
        <f>IF(ISERROR(VLOOKUP($S$294,'TAR FIN'!$A$1:$O$88,15,0)),0,VLOOKUP($S$294,'TAR FIN'!$A$1:$O$88,15,0))</f>
        <v>0</v>
      </c>
      <c r="W294" s="6">
        <f>IF(ISERROR(VLOOKUP($T$294,'TAR FIN'!$A$1:$O$88,15,0)),0,VLOOKUP($T$294,'TAR FIN'!$A$1:$O$88,15,0))</f>
        <v>374.66</v>
      </c>
      <c r="X294" s="6">
        <f>IF(ISERROR(VLOOKUP($U$294,'TAR FIN'!$A$1:$O$88,15,0)),0,VLOOKUP($U$294,'TAR FIN'!$A$1:$O$88,15,0))</f>
        <v>221.96</v>
      </c>
      <c r="Y294" s="6"/>
      <c r="Z294" s="6">
        <f ca="1">('TUSD BE'!$AM$33+'TUSD BF'!$AM$33+'TUSD CVA'!$AM$33)*(1-CUSTOS!$M$38)</f>
        <v>458.58557094695544</v>
      </c>
      <c r="AA294" s="6">
        <f>('TE BE'!$AB$23+'TE BF'!$AB$23+'TE CVA'!$AB$23)*(1-CUSTOS!$M$38)</f>
        <v>236.80902583286482</v>
      </c>
      <c r="AB294" s="6">
        <f t="shared" si="14"/>
        <v>0</v>
      </c>
      <c r="AC294" s="6">
        <f>(L294-M294)*(W294+X294)+($W$165+$X$165-$W$294-$X$294)*(L294)</f>
        <v>-1362.776844</v>
      </c>
      <c r="AD294" s="6">
        <f t="shared" si="15"/>
        <v>0</v>
      </c>
      <c r="AE294" s="6">
        <f ca="1">(L294-M294)*(Z294+AA294)+($Z$165+$AA$165-$Z$294-$AA$294)*(L294)</f>
        <v>-1431.9565536890061</v>
      </c>
      <c r="AF294" s="4" t="s">
        <v>563</v>
      </c>
    </row>
    <row r="295" spans="1:32" ht="11.25" customHeight="1" x14ac:dyDescent="0.25">
      <c r="A295" s="4" t="s">
        <v>28</v>
      </c>
      <c r="B295" s="4" t="s">
        <v>40</v>
      </c>
      <c r="C295" s="4" t="s">
        <v>23</v>
      </c>
      <c r="D295" s="4" t="s">
        <v>41</v>
      </c>
      <c r="E295" s="4" t="s">
        <v>49</v>
      </c>
      <c r="F295" s="4" t="s">
        <v>51</v>
      </c>
      <c r="G295" s="4" t="s">
        <v>25</v>
      </c>
      <c r="H295" s="4" t="s">
        <v>25</v>
      </c>
      <c r="I295" s="5">
        <v>44682</v>
      </c>
      <c r="J295" s="6">
        <v>0</v>
      </c>
      <c r="K295" s="6">
        <v>0</v>
      </c>
      <c r="L295" s="6">
        <v>0.04</v>
      </c>
      <c r="M295" s="6">
        <v>0.04</v>
      </c>
      <c r="N295" s="6">
        <v>0.04</v>
      </c>
      <c r="O295" s="6">
        <v>0.04</v>
      </c>
      <c r="P295" s="6">
        <v>0</v>
      </c>
      <c r="Q295" s="4" t="s">
        <v>26</v>
      </c>
      <c r="R295" s="4">
        <v>0</v>
      </c>
      <c r="S295" s="4">
        <v>0</v>
      </c>
      <c r="T295" s="4">
        <v>33</v>
      </c>
      <c r="U295" s="4">
        <v>72</v>
      </c>
      <c r="V295" s="6">
        <f>IF(ISERROR(VLOOKUP($S$295,'TAR FIN'!$A$1:$O$88,15,0)),0,VLOOKUP($S$295,'TAR FIN'!$A$1:$O$88,15,0))</f>
        <v>0</v>
      </c>
      <c r="W295" s="6">
        <f>IF(ISERROR(VLOOKUP($T$295,'TAR FIN'!$A$1:$O$88,15,0)),0,VLOOKUP($T$295,'TAR FIN'!$A$1:$O$88,15,0))</f>
        <v>374.66</v>
      </c>
      <c r="X295" s="6">
        <f>IF(ISERROR(VLOOKUP($U$295,'TAR FIN'!$A$1:$O$88,15,0)),0,VLOOKUP($U$295,'TAR FIN'!$A$1:$O$88,15,0))</f>
        <v>221.96</v>
      </c>
      <c r="Y295" s="6"/>
      <c r="Z295" s="6">
        <f ca="1">('TUSD BE'!$AM$33+'TUSD BF'!$AM$33+'TUSD CVA'!$AM$33)*(1-CUSTOS!$M$38)</f>
        <v>458.58557094695544</v>
      </c>
      <c r="AA295" s="6">
        <f>('TE BE'!$AB$23+'TE BF'!$AB$23+'TE CVA'!$AB$23)*(1-CUSTOS!$M$38)</f>
        <v>236.80902583286482</v>
      </c>
      <c r="AB295" s="6">
        <f t="shared" si="14"/>
        <v>0</v>
      </c>
      <c r="AC295" s="6">
        <f>(L295-M295)*(W295+X295)+($W$165+$X$165-$W$295-$X$295)*(L295)</f>
        <v>3.254</v>
      </c>
      <c r="AD295" s="6">
        <f t="shared" si="15"/>
        <v>0</v>
      </c>
      <c r="AE295" s="6">
        <f ca="1">(L295-M295)*(Z295+AA295)+($Z$165+$AA$165-$Z$295-$AA$295)*(L295)</f>
        <v>1.7754755662463515</v>
      </c>
      <c r="AF295" s="4" t="s">
        <v>561</v>
      </c>
    </row>
    <row r="296" spans="1:32" ht="11.25" customHeight="1" x14ac:dyDescent="0.25">
      <c r="A296" s="4" t="s">
        <v>21</v>
      </c>
      <c r="B296" s="4" t="s">
        <v>40</v>
      </c>
      <c r="C296" s="4" t="s">
        <v>23</v>
      </c>
      <c r="D296" s="4" t="s">
        <v>41</v>
      </c>
      <c r="E296" s="4" t="s">
        <v>49</v>
      </c>
      <c r="F296" s="4" t="s">
        <v>51</v>
      </c>
      <c r="G296" s="4" t="s">
        <v>25</v>
      </c>
      <c r="H296" s="4" t="s">
        <v>25</v>
      </c>
      <c r="I296" s="5">
        <v>44713</v>
      </c>
      <c r="J296" s="6">
        <v>0</v>
      </c>
      <c r="K296" s="6">
        <v>0</v>
      </c>
      <c r="L296" s="6">
        <v>0.42</v>
      </c>
      <c r="M296" s="6">
        <v>0.16800000000000001</v>
      </c>
      <c r="N296" s="6">
        <v>0.42</v>
      </c>
      <c r="O296" s="6">
        <v>0.16800000000000001</v>
      </c>
      <c r="P296" s="6">
        <v>0</v>
      </c>
      <c r="Q296" s="4" t="s">
        <v>26</v>
      </c>
      <c r="R296" s="4">
        <v>0</v>
      </c>
      <c r="S296" s="4">
        <v>0</v>
      </c>
      <c r="T296" s="4">
        <v>33</v>
      </c>
      <c r="U296" s="4">
        <v>72</v>
      </c>
      <c r="V296" s="6">
        <f>IF(ISERROR(VLOOKUP($S$296,'TAR FIN'!$A$1:$O$88,15,0)),0,VLOOKUP($S$296,'TAR FIN'!$A$1:$O$88,15,0))</f>
        <v>0</v>
      </c>
      <c r="W296" s="6">
        <f>IF(ISERROR(VLOOKUP($T$296,'TAR FIN'!$A$1:$O$88,15,0)),0,VLOOKUP($T$296,'TAR FIN'!$A$1:$O$88,15,0))</f>
        <v>374.66</v>
      </c>
      <c r="X296" s="6">
        <f>IF(ISERROR(VLOOKUP($U$296,'TAR FIN'!$A$1:$O$88,15,0)),0,VLOOKUP($U$296,'TAR FIN'!$A$1:$O$88,15,0))</f>
        <v>221.96</v>
      </c>
      <c r="Y296" s="6"/>
      <c r="Z296" s="6">
        <f ca="1">('TUSD BE'!$AM$33+'TUSD BF'!$AM$33+'TUSD CVA'!$AM$33)*(1-CUSTOS!$M$38)</f>
        <v>458.58557094695544</v>
      </c>
      <c r="AA296" s="6">
        <f>('TE BE'!$AB$23+'TE BF'!$AB$23+'TE CVA'!$AB$23)*(1-CUSTOS!$M$38)</f>
        <v>236.80902583286482</v>
      </c>
      <c r="AB296" s="6">
        <f t="shared" si="14"/>
        <v>0</v>
      </c>
      <c r="AC296" s="6">
        <f>(L296-M296)*(W296+X296)+($W$165+$X$165-$W$296-$X$296)*(L296)</f>
        <v>184.51524000000001</v>
      </c>
      <c r="AD296" s="6">
        <f t="shared" si="15"/>
        <v>0</v>
      </c>
      <c r="AE296" s="6">
        <f ca="1">(L296-M296)*(Z296+AA296)+($Z$165+$AA$165-$Z$296-$AA$296)*(L296)</f>
        <v>193.88193183410141</v>
      </c>
      <c r="AF296" s="4" t="s">
        <v>563</v>
      </c>
    </row>
    <row r="297" spans="1:32" ht="11.25" customHeight="1" x14ac:dyDescent="0.25">
      <c r="A297" s="4" t="s">
        <v>28</v>
      </c>
      <c r="B297" s="4" t="s">
        <v>40</v>
      </c>
      <c r="C297" s="4" t="s">
        <v>23</v>
      </c>
      <c r="D297" s="4" t="s">
        <v>41</v>
      </c>
      <c r="E297" s="4" t="s">
        <v>49</v>
      </c>
      <c r="F297" s="4" t="s">
        <v>51</v>
      </c>
      <c r="G297" s="4" t="s">
        <v>25</v>
      </c>
      <c r="H297" s="4" t="s">
        <v>25</v>
      </c>
      <c r="I297" s="5">
        <v>44713</v>
      </c>
      <c r="J297" s="6">
        <v>0</v>
      </c>
      <c r="K297" s="6">
        <v>0</v>
      </c>
      <c r="L297" s="6">
        <v>0.04</v>
      </c>
      <c r="M297" s="6">
        <v>1.6E-2</v>
      </c>
      <c r="N297" s="6">
        <v>0.04</v>
      </c>
      <c r="O297" s="6">
        <v>1.6E-2</v>
      </c>
      <c r="P297" s="6">
        <v>0</v>
      </c>
      <c r="Q297" s="4" t="s">
        <v>26</v>
      </c>
      <c r="R297" s="4">
        <v>0</v>
      </c>
      <c r="S297" s="4">
        <v>0</v>
      </c>
      <c r="T297" s="4">
        <v>33</v>
      </c>
      <c r="U297" s="4">
        <v>72</v>
      </c>
      <c r="V297" s="6">
        <f>IF(ISERROR(VLOOKUP($S$297,'TAR FIN'!$A$1:$O$88,15,0)),0,VLOOKUP($S$297,'TAR FIN'!$A$1:$O$88,15,0))</f>
        <v>0</v>
      </c>
      <c r="W297" s="6">
        <f>IF(ISERROR(VLOOKUP($T$297,'TAR FIN'!$A$1:$O$88,15,0)),0,VLOOKUP($T$297,'TAR FIN'!$A$1:$O$88,15,0))</f>
        <v>374.66</v>
      </c>
      <c r="X297" s="6">
        <f>IF(ISERROR(VLOOKUP($U$297,'TAR FIN'!$A$1:$O$88,15,0)),0,VLOOKUP($U$297,'TAR FIN'!$A$1:$O$88,15,0))</f>
        <v>221.96</v>
      </c>
      <c r="Y297" s="6"/>
      <c r="Z297" s="6">
        <f ca="1">('TUSD BE'!$AM$33+'TUSD BF'!$AM$33+'TUSD CVA'!$AM$33)*(1-CUSTOS!$M$38)</f>
        <v>458.58557094695544</v>
      </c>
      <c r="AA297" s="6">
        <f>('TE BE'!$AB$23+'TE BF'!$AB$23+'TE CVA'!$AB$23)*(1-CUSTOS!$M$38)</f>
        <v>236.80902583286482</v>
      </c>
      <c r="AB297" s="6">
        <f t="shared" si="14"/>
        <v>0</v>
      </c>
      <c r="AC297" s="6">
        <f>(L297-M297)*(W297+X297)+($W$165+$X$165-$W$297-$X$297)*(L297)</f>
        <v>17.572880000000001</v>
      </c>
      <c r="AD297" s="6">
        <f t="shared" si="15"/>
        <v>0</v>
      </c>
      <c r="AE297" s="6">
        <f ca="1">(L297-M297)*(Z297+AA297)+($Z$165+$AA$165-$Z$297-$AA$297)*(L297)</f>
        <v>18.464945888962042</v>
      </c>
      <c r="AF297" s="4" t="s">
        <v>563</v>
      </c>
    </row>
    <row r="298" spans="1:32" ht="11.25" customHeight="1" x14ac:dyDescent="0.25">
      <c r="A298" s="4" t="s">
        <v>21</v>
      </c>
      <c r="B298" s="4" t="s">
        <v>40</v>
      </c>
      <c r="C298" s="4" t="s">
        <v>23</v>
      </c>
      <c r="D298" s="4" t="s">
        <v>41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44378</v>
      </c>
      <c r="J298" s="6">
        <v>0</v>
      </c>
      <c r="K298" s="6">
        <v>0</v>
      </c>
      <c r="L298" s="6">
        <v>2436.2240000000002</v>
      </c>
      <c r="M298" s="6">
        <v>2436.2240000000002</v>
      </c>
      <c r="N298" s="6">
        <v>2436.2240000000002</v>
      </c>
      <c r="O298" s="6">
        <v>2436.2240000000002</v>
      </c>
      <c r="P298" s="6">
        <v>12117</v>
      </c>
      <c r="Q298" s="4" t="s">
        <v>26</v>
      </c>
      <c r="R298" s="4">
        <v>0</v>
      </c>
      <c r="S298" s="4">
        <v>0</v>
      </c>
      <c r="T298" s="4">
        <v>61</v>
      </c>
      <c r="U298" s="4">
        <v>72</v>
      </c>
      <c r="V298" s="6">
        <f>IF(ISERROR(VLOOKUP($S$298,'TAR FIN'!$A$1:$O$88,15,0)),0,VLOOKUP($S$298,'TAR FIN'!$A$1:$O$88,15,0))</f>
        <v>0</v>
      </c>
      <c r="W298" s="6">
        <f>IF(ISERROR(VLOOKUP($T$298,'TAR FIN'!$A$1:$O$88,15,0)),0,VLOOKUP($T$298,'TAR FIN'!$A$1:$O$88,15,0))</f>
        <v>374.66</v>
      </c>
      <c r="X298" s="6">
        <f>IF(ISERROR(VLOOKUP($U$298,'TAR FIN'!$A$1:$O$88,15,0)),0,VLOOKUP($U$298,'TAR FIN'!$A$1:$O$88,15,0))</f>
        <v>221.96</v>
      </c>
      <c r="Y298" s="6"/>
      <c r="Z298" s="6">
        <f ca="1">('TUSD BE'!$AM$33+'TUSD BF'!$AM$33+'TUSD CVA'!$AM$33)*(1-CUSTOS!$M$38)</f>
        <v>458.58557094695544</v>
      </c>
      <c r="AA298" s="6">
        <f>('TE BE'!$AB$23+'TE BF'!$AB$23+'TE CVA'!$AB$23)*(1-CUSTOS!$M$38)</f>
        <v>236.80902583286482</v>
      </c>
      <c r="AB298" s="6">
        <f t="shared" si="14"/>
        <v>0</v>
      </c>
      <c r="AC298" s="6">
        <f>(L298-M298)*(W298+X298)+($W$165+$X$165-$W$298-$X$298)*(L298)</f>
        <v>198186.8224</v>
      </c>
      <c r="AD298" s="6">
        <f t="shared" si="15"/>
        <v>0</v>
      </c>
      <c r="AE298" s="6">
        <f ca="1">(L298-M298)*(Z298+AA298)+($Z$165+$AA$165-$Z$298-$AA$298)*(L298)</f>
        <v>108136.4046475738</v>
      </c>
      <c r="AF298" s="4" t="s">
        <v>561</v>
      </c>
    </row>
    <row r="299" spans="1:32" ht="11.25" customHeight="1" x14ac:dyDescent="0.25">
      <c r="A299" s="4" t="s">
        <v>27</v>
      </c>
      <c r="B299" s="4" t="s">
        <v>40</v>
      </c>
      <c r="C299" s="4" t="s">
        <v>23</v>
      </c>
      <c r="D299" s="4" t="s">
        <v>41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44378</v>
      </c>
      <c r="J299" s="6">
        <v>0</v>
      </c>
      <c r="K299" s="6">
        <v>0</v>
      </c>
      <c r="L299" s="6">
        <v>-8.2919999999999998</v>
      </c>
      <c r="M299" s="6">
        <v>-8.2919999999999998</v>
      </c>
      <c r="N299" s="6">
        <v>-8.2919999999999998</v>
      </c>
      <c r="O299" s="6">
        <v>-8.2919999999999998</v>
      </c>
      <c r="P299" s="6">
        <v>0</v>
      </c>
      <c r="Q299" s="4" t="s">
        <v>26</v>
      </c>
      <c r="R299" s="4">
        <v>0</v>
      </c>
      <c r="S299" s="4">
        <v>0</v>
      </c>
      <c r="T299" s="4">
        <v>61</v>
      </c>
      <c r="U299" s="4">
        <v>72</v>
      </c>
      <c r="V299" s="6">
        <f>IF(ISERROR(VLOOKUP($S$299,'TAR FIN'!$A$1:$O$88,15,0)),0,VLOOKUP($S$299,'TAR FIN'!$A$1:$O$88,15,0))</f>
        <v>0</v>
      </c>
      <c r="W299" s="6">
        <f>IF(ISERROR(VLOOKUP($T$299,'TAR FIN'!$A$1:$O$88,15,0)),0,VLOOKUP($T$299,'TAR FIN'!$A$1:$O$88,15,0))</f>
        <v>374.66</v>
      </c>
      <c r="X299" s="6">
        <f>IF(ISERROR(VLOOKUP($U$299,'TAR FIN'!$A$1:$O$88,15,0)),0,VLOOKUP($U$299,'TAR FIN'!$A$1:$O$88,15,0))</f>
        <v>221.96</v>
      </c>
      <c r="Y299" s="6"/>
      <c r="Z299" s="6">
        <f ca="1">('TUSD BE'!$AM$33+'TUSD BF'!$AM$33+'TUSD CVA'!$AM$33)*(1-CUSTOS!$M$38)</f>
        <v>458.58557094695544</v>
      </c>
      <c r="AA299" s="6">
        <f>('TE BE'!$AB$23+'TE BF'!$AB$23+'TE CVA'!$AB$23)*(1-CUSTOS!$M$38)</f>
        <v>236.80902583286482</v>
      </c>
      <c r="AB299" s="6">
        <f t="shared" si="14"/>
        <v>0</v>
      </c>
      <c r="AC299" s="6">
        <f>(L299-M299)*(W299+X299)+($W$165+$X$165-$W$299-$X$299)*(L299)</f>
        <v>-674.55419999999992</v>
      </c>
      <c r="AD299" s="6">
        <f t="shared" si="15"/>
        <v>0</v>
      </c>
      <c r="AE299" s="6">
        <f ca="1">(L299-M299)*(Z299+AA299)+($Z$165+$AA$165-$Z$299-$AA$299)*(L299)</f>
        <v>-368.05608488286867</v>
      </c>
      <c r="AF299" s="4" t="s">
        <v>561</v>
      </c>
    </row>
    <row r="300" spans="1:32" ht="11.25" customHeight="1" x14ac:dyDescent="0.25">
      <c r="A300" s="4" t="s">
        <v>28</v>
      </c>
      <c r="B300" s="4" t="s">
        <v>40</v>
      </c>
      <c r="C300" s="4" t="s">
        <v>23</v>
      </c>
      <c r="D300" s="4" t="s">
        <v>41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44378</v>
      </c>
      <c r="J300" s="6">
        <v>0</v>
      </c>
      <c r="K300" s="6">
        <v>0</v>
      </c>
      <c r="L300" s="6">
        <v>119.592</v>
      </c>
      <c r="M300" s="6">
        <v>119.592</v>
      </c>
      <c r="N300" s="6">
        <v>119.592</v>
      </c>
      <c r="O300" s="6">
        <v>119.592</v>
      </c>
      <c r="P300" s="6">
        <v>747</v>
      </c>
      <c r="Q300" s="4" t="s">
        <v>26</v>
      </c>
      <c r="R300" s="4">
        <v>0</v>
      </c>
      <c r="S300" s="4">
        <v>0</v>
      </c>
      <c r="T300" s="4">
        <v>61</v>
      </c>
      <c r="U300" s="4">
        <v>72</v>
      </c>
      <c r="V300" s="6">
        <f>IF(ISERROR(VLOOKUP($S$300,'TAR FIN'!$A$1:$O$88,15,0)),0,VLOOKUP($S$300,'TAR FIN'!$A$1:$O$88,15,0))</f>
        <v>0</v>
      </c>
      <c r="W300" s="6">
        <f>IF(ISERROR(VLOOKUP($T$300,'TAR FIN'!$A$1:$O$88,15,0)),0,VLOOKUP($T$300,'TAR FIN'!$A$1:$O$88,15,0))</f>
        <v>374.66</v>
      </c>
      <c r="X300" s="6">
        <f>IF(ISERROR(VLOOKUP($U$300,'TAR FIN'!$A$1:$O$88,15,0)),0,VLOOKUP($U$300,'TAR FIN'!$A$1:$O$88,15,0))</f>
        <v>221.96</v>
      </c>
      <c r="Y300" s="6"/>
      <c r="Z300" s="6">
        <f ca="1">('TUSD BE'!$AM$33+'TUSD BF'!$AM$33+'TUSD CVA'!$AM$33)*(1-CUSTOS!$M$38)</f>
        <v>458.58557094695544</v>
      </c>
      <c r="AA300" s="6">
        <f>('TE BE'!$AB$23+'TE BF'!$AB$23+'TE CVA'!$AB$23)*(1-CUSTOS!$M$38)</f>
        <v>236.80902583286482</v>
      </c>
      <c r="AB300" s="6">
        <f t="shared" si="14"/>
        <v>0</v>
      </c>
      <c r="AC300" s="6">
        <f>(L300-M300)*(W300+X300)+($W$165+$X$165-$W$300-$X$300)*(L300)</f>
        <v>9728.8091999999997</v>
      </c>
      <c r="AD300" s="6">
        <f t="shared" si="15"/>
        <v>0</v>
      </c>
      <c r="AE300" s="6">
        <f ca="1">(L300-M300)*(Z300+AA300)+($Z$165+$AA$165-$Z$300-$AA$300)*(L300)</f>
        <v>5308.3168479633414</v>
      </c>
      <c r="AF300" s="4" t="s">
        <v>561</v>
      </c>
    </row>
    <row r="301" spans="1:32" ht="11.25" customHeight="1" x14ac:dyDescent="0.25">
      <c r="A301" s="4" t="s">
        <v>21</v>
      </c>
      <c r="B301" s="4" t="s">
        <v>40</v>
      </c>
      <c r="C301" s="4" t="s">
        <v>23</v>
      </c>
      <c r="D301" s="4" t="s">
        <v>41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44409</v>
      </c>
      <c r="J301" s="6">
        <v>0</v>
      </c>
      <c r="K301" s="6">
        <v>0</v>
      </c>
      <c r="L301" s="6">
        <v>2560.5230000000001</v>
      </c>
      <c r="M301" s="6">
        <v>2560.5230000000001</v>
      </c>
      <c r="N301" s="6">
        <v>2560.5230000000001</v>
      </c>
      <c r="O301" s="6">
        <v>2560.5230000000001</v>
      </c>
      <c r="P301" s="6">
        <v>12097</v>
      </c>
      <c r="Q301" s="4" t="s">
        <v>26</v>
      </c>
      <c r="R301" s="4">
        <v>0</v>
      </c>
      <c r="S301" s="4">
        <v>0</v>
      </c>
      <c r="T301" s="4">
        <v>61</v>
      </c>
      <c r="U301" s="4">
        <v>72</v>
      </c>
      <c r="V301" s="6">
        <f>IF(ISERROR(VLOOKUP($S$301,'TAR FIN'!$A$1:$O$88,15,0)),0,VLOOKUP($S$301,'TAR FIN'!$A$1:$O$88,15,0))</f>
        <v>0</v>
      </c>
      <c r="W301" s="6">
        <f>IF(ISERROR(VLOOKUP($T$301,'TAR FIN'!$A$1:$O$88,15,0)),0,VLOOKUP($T$301,'TAR FIN'!$A$1:$O$88,15,0))</f>
        <v>374.66</v>
      </c>
      <c r="X301" s="6">
        <f>IF(ISERROR(VLOOKUP($U$301,'TAR FIN'!$A$1:$O$88,15,0)),0,VLOOKUP($U$301,'TAR FIN'!$A$1:$O$88,15,0))</f>
        <v>221.96</v>
      </c>
      <c r="Y301" s="6"/>
      <c r="Z301" s="6">
        <f ca="1">('TUSD BE'!$AM$33+'TUSD BF'!$AM$33+'TUSD CVA'!$AM$33)*(1-CUSTOS!$M$38)</f>
        <v>458.58557094695544</v>
      </c>
      <c r="AA301" s="6">
        <f>('TE BE'!$AB$23+'TE BF'!$AB$23+'TE CVA'!$AB$23)*(1-CUSTOS!$M$38)</f>
        <v>236.80902583286482</v>
      </c>
      <c r="AB301" s="6">
        <f t="shared" si="14"/>
        <v>0</v>
      </c>
      <c r="AC301" s="6">
        <f>(L301-M301)*(W301+X301)+($W$165+$X$165-$W$301-$X$301)*(L301)</f>
        <v>208298.54605</v>
      </c>
      <c r="AD301" s="6">
        <f t="shared" si="15"/>
        <v>0</v>
      </c>
      <c r="AE301" s="6">
        <f ca="1">(L301-M301)*(Z301+AA301)+($Z$165+$AA$165-$Z$301-$AA$301)*(L301)</f>
        <v>113653.65058279518</v>
      </c>
      <c r="AF301" s="4" t="s">
        <v>561</v>
      </c>
    </row>
    <row r="302" spans="1:32" ht="11.25" customHeight="1" x14ac:dyDescent="0.25">
      <c r="A302" s="4" t="s">
        <v>27</v>
      </c>
      <c r="B302" s="4" t="s">
        <v>40</v>
      </c>
      <c r="C302" s="4" t="s">
        <v>23</v>
      </c>
      <c r="D302" s="4" t="s">
        <v>41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44409</v>
      </c>
      <c r="J302" s="6">
        <v>0</v>
      </c>
      <c r="K302" s="6">
        <v>0</v>
      </c>
      <c r="L302" s="6">
        <v>-2.149</v>
      </c>
      <c r="M302" s="6">
        <v>-2.149</v>
      </c>
      <c r="N302" s="6">
        <v>-2.149</v>
      </c>
      <c r="O302" s="6">
        <v>-2.149</v>
      </c>
      <c r="P302" s="6">
        <v>0</v>
      </c>
      <c r="Q302" s="4" t="s">
        <v>26</v>
      </c>
      <c r="R302" s="4">
        <v>0</v>
      </c>
      <c r="S302" s="4">
        <v>0</v>
      </c>
      <c r="T302" s="4">
        <v>61</v>
      </c>
      <c r="U302" s="4">
        <v>72</v>
      </c>
      <c r="V302" s="6">
        <f>IF(ISERROR(VLOOKUP($S$302,'TAR FIN'!$A$1:$O$88,15,0)),0,VLOOKUP($S$302,'TAR FIN'!$A$1:$O$88,15,0))</f>
        <v>0</v>
      </c>
      <c r="W302" s="6">
        <f>IF(ISERROR(VLOOKUP($T$302,'TAR FIN'!$A$1:$O$88,15,0)),0,VLOOKUP($T$302,'TAR FIN'!$A$1:$O$88,15,0))</f>
        <v>374.66</v>
      </c>
      <c r="X302" s="6">
        <f>IF(ISERROR(VLOOKUP($U$302,'TAR FIN'!$A$1:$O$88,15,0)),0,VLOOKUP($U$302,'TAR FIN'!$A$1:$O$88,15,0))</f>
        <v>221.96</v>
      </c>
      <c r="Y302" s="6"/>
      <c r="Z302" s="6">
        <f ca="1">('TUSD BE'!$AM$33+'TUSD BF'!$AM$33+'TUSD CVA'!$AM$33)*(1-CUSTOS!$M$38)</f>
        <v>458.58557094695544</v>
      </c>
      <c r="AA302" s="6">
        <f>('TE BE'!$AB$23+'TE BF'!$AB$23+'TE CVA'!$AB$23)*(1-CUSTOS!$M$38)</f>
        <v>236.80902583286482</v>
      </c>
      <c r="AB302" s="6">
        <f t="shared" si="14"/>
        <v>0</v>
      </c>
      <c r="AC302" s="6">
        <f>(L302-M302)*(W302+X302)+($W$165+$X$165-$W$302-$X$302)*(L302)</f>
        <v>-174.82114999999999</v>
      </c>
      <c r="AD302" s="6">
        <f t="shared" si="15"/>
        <v>0</v>
      </c>
      <c r="AE302" s="6">
        <f ca="1">(L302-M302)*(Z302+AA302)+($Z$165+$AA$165-$Z$302-$AA$302)*(L302)</f>
        <v>-95.387424796585236</v>
      </c>
      <c r="AF302" s="4" t="s">
        <v>561</v>
      </c>
    </row>
    <row r="303" spans="1:32" ht="11.25" customHeight="1" x14ac:dyDescent="0.25">
      <c r="A303" s="4" t="s">
        <v>28</v>
      </c>
      <c r="B303" s="4" t="s">
        <v>40</v>
      </c>
      <c r="C303" s="4" t="s">
        <v>23</v>
      </c>
      <c r="D303" s="4" t="s">
        <v>41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44409</v>
      </c>
      <c r="J303" s="6">
        <v>0</v>
      </c>
      <c r="K303" s="6">
        <v>0</v>
      </c>
      <c r="L303" s="6">
        <v>102.249</v>
      </c>
      <c r="M303" s="6">
        <v>102.249</v>
      </c>
      <c r="N303" s="6">
        <v>102.249</v>
      </c>
      <c r="O303" s="6">
        <v>102.249</v>
      </c>
      <c r="P303" s="6">
        <v>775</v>
      </c>
      <c r="Q303" s="4" t="s">
        <v>26</v>
      </c>
      <c r="R303" s="4">
        <v>0</v>
      </c>
      <c r="S303" s="4">
        <v>0</v>
      </c>
      <c r="T303" s="4">
        <v>61</v>
      </c>
      <c r="U303" s="4">
        <v>72</v>
      </c>
      <c r="V303" s="6">
        <f>IF(ISERROR(VLOOKUP($S$303,'TAR FIN'!$A$1:$O$88,15,0)),0,VLOOKUP($S$303,'TAR FIN'!$A$1:$O$88,15,0))</f>
        <v>0</v>
      </c>
      <c r="W303" s="6">
        <f>IF(ISERROR(VLOOKUP($T$303,'TAR FIN'!$A$1:$O$88,15,0)),0,VLOOKUP($T$303,'TAR FIN'!$A$1:$O$88,15,0))</f>
        <v>374.66</v>
      </c>
      <c r="X303" s="6">
        <f>IF(ISERROR(VLOOKUP($U$303,'TAR FIN'!$A$1:$O$88,15,0)),0,VLOOKUP($U$303,'TAR FIN'!$A$1:$O$88,15,0))</f>
        <v>221.96</v>
      </c>
      <c r="Y303" s="6"/>
      <c r="Z303" s="6">
        <f ca="1">('TUSD BE'!$AM$33+'TUSD BF'!$AM$33+'TUSD CVA'!$AM$33)*(1-CUSTOS!$M$38)</f>
        <v>458.58557094695544</v>
      </c>
      <c r="AA303" s="6">
        <f>('TE BE'!$AB$23+'TE BF'!$AB$23+'TE CVA'!$AB$23)*(1-CUSTOS!$M$38)</f>
        <v>236.80902583286482</v>
      </c>
      <c r="AB303" s="6">
        <f t="shared" si="14"/>
        <v>0</v>
      </c>
      <c r="AC303" s="6">
        <f>(L303-M303)*(W303+X303)+($W$165+$X$165-$W$303-$X$303)*(L303)</f>
        <v>8317.9561499999982</v>
      </c>
      <c r="AD303" s="6">
        <f t="shared" si="15"/>
        <v>0</v>
      </c>
      <c r="AE303" s="6">
        <f ca="1">(L303-M303)*(Z303+AA303)+($Z$165+$AA$165-$Z$303-$AA$303)*(L303)</f>
        <v>4538.5150293280794</v>
      </c>
      <c r="AF303" s="4" t="s">
        <v>561</v>
      </c>
    </row>
    <row r="304" spans="1:32" ht="11.25" customHeight="1" x14ac:dyDescent="0.25">
      <c r="A304" s="4" t="s">
        <v>28</v>
      </c>
      <c r="B304" s="4" t="s">
        <v>40</v>
      </c>
      <c r="C304" s="4" t="s">
        <v>23</v>
      </c>
      <c r="D304" s="4" t="s">
        <v>41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44409</v>
      </c>
      <c r="J304" s="6">
        <v>0</v>
      </c>
      <c r="K304" s="6">
        <v>0</v>
      </c>
      <c r="L304" s="6">
        <v>-0.85499999999999998</v>
      </c>
      <c r="M304" s="6">
        <v>-0.85499999999999998</v>
      </c>
      <c r="N304" s="6">
        <v>-0.85499999999999998</v>
      </c>
      <c r="O304" s="6">
        <v>-0.85499999999999998</v>
      </c>
      <c r="P304" s="6">
        <v>2</v>
      </c>
      <c r="Q304" s="4" t="s">
        <v>26</v>
      </c>
      <c r="R304" s="4">
        <v>0</v>
      </c>
      <c r="S304" s="4">
        <v>0</v>
      </c>
      <c r="T304" s="4">
        <v>61</v>
      </c>
      <c r="U304" s="4">
        <v>72</v>
      </c>
      <c r="V304" s="6">
        <f>IF(ISERROR(VLOOKUP($S$304,'TAR FIN'!$A$1:$O$88,15,0)),0,VLOOKUP($S$304,'TAR FIN'!$A$1:$O$88,15,0))</f>
        <v>0</v>
      </c>
      <c r="W304" s="6">
        <f>IF(ISERROR(VLOOKUP($T$304,'TAR FIN'!$A$1:$O$88,15,0)),0,VLOOKUP($T$304,'TAR FIN'!$A$1:$O$88,15,0))</f>
        <v>374.66</v>
      </c>
      <c r="X304" s="6">
        <f>IF(ISERROR(VLOOKUP($U$304,'TAR FIN'!$A$1:$O$88,15,0)),0,VLOOKUP($U$304,'TAR FIN'!$A$1:$O$88,15,0))</f>
        <v>221.96</v>
      </c>
      <c r="Y304" s="6"/>
      <c r="Z304" s="6">
        <f ca="1">('TUSD BE'!$AM$33+'TUSD BF'!$AM$33+'TUSD CVA'!$AM$33)*(1-CUSTOS!$M$38)</f>
        <v>458.58557094695544</v>
      </c>
      <c r="AA304" s="6">
        <f>('TE BE'!$AB$23+'TE BF'!$AB$23+'TE CVA'!$AB$23)*(1-CUSTOS!$M$38)</f>
        <v>236.80902583286482</v>
      </c>
      <c r="AB304" s="6">
        <f t="shared" si="14"/>
        <v>0</v>
      </c>
      <c r="AC304" s="6">
        <f>(L304-M304)*(W304+X304)+($W$165+$X$165-$W$304-$X$304)*(L304)</f>
        <v>-69.554249999999996</v>
      </c>
      <c r="AD304" s="6">
        <f t="shared" si="15"/>
        <v>0</v>
      </c>
      <c r="AE304" s="6">
        <f ca="1">(L304-M304)*(Z304+AA304)+($Z$165+$AA$165-$Z$304-$AA$304)*(L304)</f>
        <v>-37.950790228515764</v>
      </c>
      <c r="AF304" s="4" t="s">
        <v>561</v>
      </c>
    </row>
    <row r="305" spans="1:32" ht="11.25" customHeight="1" x14ac:dyDescent="0.25">
      <c r="A305" s="4" t="s">
        <v>21</v>
      </c>
      <c r="B305" s="4" t="s">
        <v>40</v>
      </c>
      <c r="C305" s="4" t="s">
        <v>23</v>
      </c>
      <c r="D305" s="4" t="s">
        <v>41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44440</v>
      </c>
      <c r="J305" s="6">
        <v>0</v>
      </c>
      <c r="K305" s="6">
        <v>0</v>
      </c>
      <c r="L305" s="6">
        <v>2550.3969999999999</v>
      </c>
      <c r="M305" s="6">
        <v>2550.3969999999999</v>
      </c>
      <c r="N305" s="6">
        <v>2550.3969999999999</v>
      </c>
      <c r="O305" s="6">
        <v>2550.3969999999999</v>
      </c>
      <c r="P305" s="6">
        <v>12093</v>
      </c>
      <c r="Q305" s="4" t="s">
        <v>26</v>
      </c>
      <c r="R305" s="4">
        <v>0</v>
      </c>
      <c r="S305" s="4">
        <v>0</v>
      </c>
      <c r="T305" s="4">
        <v>61</v>
      </c>
      <c r="U305" s="4">
        <v>72</v>
      </c>
      <c r="V305" s="6">
        <f>IF(ISERROR(VLOOKUP($S$305,'TAR FIN'!$A$1:$O$88,15,0)),0,VLOOKUP($S$305,'TAR FIN'!$A$1:$O$88,15,0))</f>
        <v>0</v>
      </c>
      <c r="W305" s="6">
        <f>IF(ISERROR(VLOOKUP($T$305,'TAR FIN'!$A$1:$O$88,15,0)),0,VLOOKUP($T$305,'TAR FIN'!$A$1:$O$88,15,0))</f>
        <v>374.66</v>
      </c>
      <c r="X305" s="6">
        <f>IF(ISERROR(VLOOKUP($U$305,'TAR FIN'!$A$1:$O$88,15,0)),0,VLOOKUP($U$305,'TAR FIN'!$A$1:$O$88,15,0))</f>
        <v>221.96</v>
      </c>
      <c r="Y305" s="6"/>
      <c r="Z305" s="6">
        <f ca="1">('TUSD BE'!$AM$33+'TUSD BF'!$AM$33+'TUSD CVA'!$AM$33)*(1-CUSTOS!$M$38)</f>
        <v>458.58557094695544</v>
      </c>
      <c r="AA305" s="6">
        <f>('TE BE'!$AB$23+'TE BF'!$AB$23+'TE CVA'!$AB$23)*(1-CUSTOS!$M$38)</f>
        <v>236.80902583286482</v>
      </c>
      <c r="AB305" s="6">
        <f t="shared" si="14"/>
        <v>0</v>
      </c>
      <c r="AC305" s="6">
        <f>(L305-M305)*(W305+X305)+($W$165+$X$165-$W$305-$X$305)*(L305)</f>
        <v>207474.79594999997</v>
      </c>
      <c r="AD305" s="6">
        <f t="shared" si="15"/>
        <v>0</v>
      </c>
      <c r="AE305" s="6">
        <f ca="1">(L305-M305)*(Z305+AA305)+($Z$165+$AA$165-$Z$305-$AA$305)*(L305)</f>
        <v>113204.1889431999</v>
      </c>
      <c r="AF305" s="4" t="s">
        <v>561</v>
      </c>
    </row>
    <row r="306" spans="1:32" ht="11.25" customHeight="1" x14ac:dyDescent="0.25">
      <c r="A306" s="4" t="s">
        <v>27</v>
      </c>
      <c r="B306" s="4" t="s">
        <v>40</v>
      </c>
      <c r="C306" s="4" t="s">
        <v>23</v>
      </c>
      <c r="D306" s="4" t="s">
        <v>41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44440</v>
      </c>
      <c r="J306" s="6">
        <v>0</v>
      </c>
      <c r="K306" s="6">
        <v>0</v>
      </c>
      <c r="L306" s="6">
        <v>-0.878</v>
      </c>
      <c r="M306" s="6">
        <v>-0.878</v>
      </c>
      <c r="N306" s="6">
        <v>-0.878</v>
      </c>
      <c r="O306" s="6">
        <v>-0.878</v>
      </c>
      <c r="P306" s="6">
        <v>0</v>
      </c>
      <c r="Q306" s="4" t="s">
        <v>26</v>
      </c>
      <c r="R306" s="4">
        <v>0</v>
      </c>
      <c r="S306" s="4">
        <v>0</v>
      </c>
      <c r="T306" s="4">
        <v>61</v>
      </c>
      <c r="U306" s="4">
        <v>72</v>
      </c>
      <c r="V306" s="6">
        <f>IF(ISERROR(VLOOKUP($S$306,'TAR FIN'!$A$1:$O$88,15,0)),0,VLOOKUP($S$306,'TAR FIN'!$A$1:$O$88,15,0))</f>
        <v>0</v>
      </c>
      <c r="W306" s="6">
        <f>IF(ISERROR(VLOOKUP($T$306,'TAR FIN'!$A$1:$O$88,15,0)),0,VLOOKUP($T$306,'TAR FIN'!$A$1:$O$88,15,0))</f>
        <v>374.66</v>
      </c>
      <c r="X306" s="6">
        <f>IF(ISERROR(VLOOKUP($U$306,'TAR FIN'!$A$1:$O$88,15,0)),0,VLOOKUP($U$306,'TAR FIN'!$A$1:$O$88,15,0))</f>
        <v>221.96</v>
      </c>
      <c r="Y306" s="6"/>
      <c r="Z306" s="6">
        <f ca="1">('TUSD BE'!$AM$33+'TUSD BF'!$AM$33+'TUSD CVA'!$AM$33)*(1-CUSTOS!$M$38)</f>
        <v>458.58557094695544</v>
      </c>
      <c r="AA306" s="6">
        <f>('TE BE'!$AB$23+'TE BF'!$AB$23+'TE CVA'!$AB$23)*(1-CUSTOS!$M$38)</f>
        <v>236.80902583286482</v>
      </c>
      <c r="AB306" s="6">
        <f t="shared" si="14"/>
        <v>0</v>
      </c>
      <c r="AC306" s="6">
        <f>(L306-M306)*(W306+X306)+($W$165+$X$165-$W$306-$X$306)*(L306)</f>
        <v>-71.425299999999993</v>
      </c>
      <c r="AD306" s="6">
        <f t="shared" si="15"/>
        <v>0</v>
      </c>
      <c r="AE306" s="6">
        <f ca="1">(L306-M306)*(Z306+AA306)+($Z$165+$AA$165-$Z$306-$AA$306)*(L306)</f>
        <v>-38.971688679107416</v>
      </c>
      <c r="AF306" s="4" t="s">
        <v>561</v>
      </c>
    </row>
    <row r="307" spans="1:32" ht="11.25" customHeight="1" x14ac:dyDescent="0.25">
      <c r="A307" s="4" t="s">
        <v>28</v>
      </c>
      <c r="B307" s="4" t="s">
        <v>40</v>
      </c>
      <c r="C307" s="4" t="s">
        <v>23</v>
      </c>
      <c r="D307" s="4" t="s">
        <v>41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44440</v>
      </c>
      <c r="J307" s="6">
        <v>0</v>
      </c>
      <c r="K307" s="6">
        <v>0</v>
      </c>
      <c r="L307" s="6">
        <v>96.396000000000001</v>
      </c>
      <c r="M307" s="6">
        <v>96.396000000000001</v>
      </c>
      <c r="N307" s="6">
        <v>96.396000000000001</v>
      </c>
      <c r="O307" s="6">
        <v>96.396000000000001</v>
      </c>
      <c r="P307" s="6">
        <v>816</v>
      </c>
      <c r="Q307" s="4" t="s">
        <v>26</v>
      </c>
      <c r="R307" s="4">
        <v>0</v>
      </c>
      <c r="S307" s="4">
        <v>0</v>
      </c>
      <c r="T307" s="4">
        <v>61</v>
      </c>
      <c r="U307" s="4">
        <v>72</v>
      </c>
      <c r="V307" s="6">
        <f>IF(ISERROR(VLOOKUP($S$307,'TAR FIN'!$A$1:$O$88,15,0)),0,VLOOKUP($S$307,'TAR FIN'!$A$1:$O$88,15,0))</f>
        <v>0</v>
      </c>
      <c r="W307" s="6">
        <f>IF(ISERROR(VLOOKUP($T$307,'TAR FIN'!$A$1:$O$88,15,0)),0,VLOOKUP($T$307,'TAR FIN'!$A$1:$O$88,15,0))</f>
        <v>374.66</v>
      </c>
      <c r="X307" s="6">
        <f>IF(ISERROR(VLOOKUP($U$307,'TAR FIN'!$A$1:$O$88,15,0)),0,VLOOKUP($U$307,'TAR FIN'!$A$1:$O$88,15,0))</f>
        <v>221.96</v>
      </c>
      <c r="Y307" s="6"/>
      <c r="Z307" s="6">
        <f ca="1">('TUSD BE'!$AM$33+'TUSD BF'!$AM$33+'TUSD CVA'!$AM$33)*(1-CUSTOS!$M$38)</f>
        <v>458.58557094695544</v>
      </c>
      <c r="AA307" s="6">
        <f>('TE BE'!$AB$23+'TE BF'!$AB$23+'TE CVA'!$AB$23)*(1-CUSTOS!$M$38)</f>
        <v>236.80902583286482</v>
      </c>
      <c r="AB307" s="6">
        <f t="shared" si="14"/>
        <v>0</v>
      </c>
      <c r="AC307" s="6">
        <f>(L307-M307)*(W307+X307)+($W$165+$X$165-$W$307-$X$307)*(L307)</f>
        <v>7841.8145999999997</v>
      </c>
      <c r="AD307" s="6">
        <f t="shared" si="15"/>
        <v>0</v>
      </c>
      <c r="AE307" s="6">
        <f ca="1">(L307-M307)*(Z307+AA307)+($Z$165+$AA$165-$Z$307-$AA$307)*(L307)</f>
        <v>4278.7185670970821</v>
      </c>
      <c r="AF307" s="4" t="s">
        <v>561</v>
      </c>
    </row>
    <row r="308" spans="1:32" ht="11.25" customHeight="1" x14ac:dyDescent="0.25">
      <c r="A308" s="4" t="s">
        <v>28</v>
      </c>
      <c r="B308" s="4" t="s">
        <v>40</v>
      </c>
      <c r="C308" s="4" t="s">
        <v>23</v>
      </c>
      <c r="D308" s="4" t="s">
        <v>41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44440</v>
      </c>
      <c r="J308" s="6">
        <v>0</v>
      </c>
      <c r="K308" s="6">
        <v>0</v>
      </c>
      <c r="L308" s="6">
        <v>-0.71099999999999997</v>
      </c>
      <c r="M308" s="6">
        <v>-0.71099999999999997</v>
      </c>
      <c r="N308" s="6">
        <v>-0.71099999999999997</v>
      </c>
      <c r="O308" s="6">
        <v>-0.71099999999999997</v>
      </c>
      <c r="P308" s="6">
        <v>4</v>
      </c>
      <c r="Q308" s="4" t="s">
        <v>26</v>
      </c>
      <c r="R308" s="4">
        <v>0</v>
      </c>
      <c r="S308" s="4">
        <v>0</v>
      </c>
      <c r="T308" s="4">
        <v>61</v>
      </c>
      <c r="U308" s="4">
        <v>72</v>
      </c>
      <c r="V308" s="6">
        <f>IF(ISERROR(VLOOKUP($S$308,'TAR FIN'!$A$1:$O$88,15,0)),0,VLOOKUP($S$308,'TAR FIN'!$A$1:$O$88,15,0))</f>
        <v>0</v>
      </c>
      <c r="W308" s="6">
        <f>IF(ISERROR(VLOOKUP($T$308,'TAR FIN'!$A$1:$O$88,15,0)),0,VLOOKUP($T$308,'TAR FIN'!$A$1:$O$88,15,0))</f>
        <v>374.66</v>
      </c>
      <c r="X308" s="6">
        <f>IF(ISERROR(VLOOKUP($U$308,'TAR FIN'!$A$1:$O$88,15,0)),0,VLOOKUP($U$308,'TAR FIN'!$A$1:$O$88,15,0))</f>
        <v>221.96</v>
      </c>
      <c r="Y308" s="6"/>
      <c r="Z308" s="6">
        <f ca="1">('TUSD BE'!$AM$33+'TUSD BF'!$AM$33+'TUSD CVA'!$AM$33)*(1-CUSTOS!$M$38)</f>
        <v>458.58557094695544</v>
      </c>
      <c r="AA308" s="6">
        <f>('TE BE'!$AB$23+'TE BF'!$AB$23+'TE CVA'!$AB$23)*(1-CUSTOS!$M$38)</f>
        <v>236.80902583286482</v>
      </c>
      <c r="AB308" s="6">
        <f t="shared" si="14"/>
        <v>0</v>
      </c>
      <c r="AC308" s="6">
        <f>(L308-M308)*(W308+X308)+($W$165+$X$165-$W$308-$X$308)*(L308)</f>
        <v>-57.839849999999991</v>
      </c>
      <c r="AD308" s="6">
        <f t="shared" si="15"/>
        <v>0</v>
      </c>
      <c r="AE308" s="6">
        <f ca="1">(L308-M308)*(Z308+AA308)+($Z$165+$AA$165-$Z$308-$AA$308)*(L308)</f>
        <v>-31.559078190028895</v>
      </c>
      <c r="AF308" s="4" t="s">
        <v>561</v>
      </c>
    </row>
    <row r="309" spans="1:32" ht="11.25" customHeight="1" x14ac:dyDescent="0.25">
      <c r="A309" s="4" t="s">
        <v>21</v>
      </c>
      <c r="B309" s="4" t="s">
        <v>40</v>
      </c>
      <c r="C309" s="4" t="s">
        <v>23</v>
      </c>
      <c r="D309" s="4" t="s">
        <v>41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44470</v>
      </c>
      <c r="J309" s="6">
        <v>0</v>
      </c>
      <c r="K309" s="6">
        <v>0</v>
      </c>
      <c r="L309" s="6">
        <v>2682.5039999999999</v>
      </c>
      <c r="M309" s="6">
        <v>2682.5039999999999</v>
      </c>
      <c r="N309" s="6">
        <v>2682.5039999999999</v>
      </c>
      <c r="O309" s="6">
        <v>2682.5039999999999</v>
      </c>
      <c r="P309" s="6">
        <v>12094</v>
      </c>
      <c r="Q309" s="4" t="s">
        <v>26</v>
      </c>
      <c r="R309" s="4">
        <v>0</v>
      </c>
      <c r="S309" s="4">
        <v>0</v>
      </c>
      <c r="T309" s="4">
        <v>61</v>
      </c>
      <c r="U309" s="4">
        <v>72</v>
      </c>
      <c r="V309" s="6">
        <f>IF(ISERROR(VLOOKUP($S$309,'TAR FIN'!$A$1:$O$88,15,0)),0,VLOOKUP($S$309,'TAR FIN'!$A$1:$O$88,15,0))</f>
        <v>0</v>
      </c>
      <c r="W309" s="6">
        <f>IF(ISERROR(VLOOKUP($T$309,'TAR FIN'!$A$1:$O$88,15,0)),0,VLOOKUP($T$309,'TAR FIN'!$A$1:$O$88,15,0))</f>
        <v>374.66</v>
      </c>
      <c r="X309" s="6">
        <f>IF(ISERROR(VLOOKUP($U$309,'TAR FIN'!$A$1:$O$88,15,0)),0,VLOOKUP($U$309,'TAR FIN'!$A$1:$O$88,15,0))</f>
        <v>221.96</v>
      </c>
      <c r="Y309" s="6"/>
      <c r="Z309" s="6">
        <f ca="1">('TUSD BE'!$AM$33+'TUSD BF'!$AM$33+'TUSD CVA'!$AM$33)*(1-CUSTOS!$M$38)</f>
        <v>458.58557094695544</v>
      </c>
      <c r="AA309" s="6">
        <f>('TE BE'!$AB$23+'TE BF'!$AB$23+'TE CVA'!$AB$23)*(1-CUSTOS!$M$38)</f>
        <v>236.80902583286482</v>
      </c>
      <c r="AB309" s="6">
        <f t="shared" si="14"/>
        <v>0</v>
      </c>
      <c r="AC309" s="6">
        <f>(L309-M309)*(W309+X309)+($W$165+$X$165-$W$309-$X$309)*(L309)</f>
        <v>218221.70039999997</v>
      </c>
      <c r="AD309" s="6">
        <f t="shared" si="15"/>
        <v>0</v>
      </c>
      <c r="AE309" s="6">
        <f ca="1">(L309-M309)*(Z309+AA309)+($Z$165+$AA$165-$Z$309-$AA$309)*(L309)</f>
        <v>119068.00770895257</v>
      </c>
      <c r="AF309" s="4" t="s">
        <v>561</v>
      </c>
    </row>
    <row r="310" spans="1:32" ht="11.25" customHeight="1" x14ac:dyDescent="0.25">
      <c r="A310" s="4" t="s">
        <v>27</v>
      </c>
      <c r="B310" s="4" t="s">
        <v>40</v>
      </c>
      <c r="C310" s="4" t="s">
        <v>23</v>
      </c>
      <c r="D310" s="4" t="s">
        <v>41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44470</v>
      </c>
      <c r="J310" s="6">
        <v>0</v>
      </c>
      <c r="K310" s="6">
        <v>0</v>
      </c>
      <c r="L310" s="6">
        <v>-3.08</v>
      </c>
      <c r="M310" s="6">
        <v>-3.08</v>
      </c>
      <c r="N310" s="6">
        <v>-3.08</v>
      </c>
      <c r="O310" s="6">
        <v>-3.08</v>
      </c>
      <c r="P310" s="6">
        <v>0</v>
      </c>
      <c r="Q310" s="4" t="s">
        <v>26</v>
      </c>
      <c r="R310" s="4">
        <v>0</v>
      </c>
      <c r="S310" s="4">
        <v>0</v>
      </c>
      <c r="T310" s="4">
        <v>61</v>
      </c>
      <c r="U310" s="4">
        <v>72</v>
      </c>
      <c r="V310" s="6">
        <f>IF(ISERROR(VLOOKUP($S$310,'TAR FIN'!$A$1:$O$88,15,0)),0,VLOOKUP($S$310,'TAR FIN'!$A$1:$O$88,15,0))</f>
        <v>0</v>
      </c>
      <c r="W310" s="6">
        <f>IF(ISERROR(VLOOKUP($T$310,'TAR FIN'!$A$1:$O$88,15,0)),0,VLOOKUP($T$310,'TAR FIN'!$A$1:$O$88,15,0))</f>
        <v>374.66</v>
      </c>
      <c r="X310" s="6">
        <f>IF(ISERROR(VLOOKUP($U$310,'TAR FIN'!$A$1:$O$88,15,0)),0,VLOOKUP($U$310,'TAR FIN'!$A$1:$O$88,15,0))</f>
        <v>221.96</v>
      </c>
      <c r="Y310" s="6"/>
      <c r="Z310" s="6">
        <f ca="1">('TUSD BE'!$AM$33+'TUSD BF'!$AM$33+'TUSD CVA'!$AM$33)*(1-CUSTOS!$M$38)</f>
        <v>458.58557094695544</v>
      </c>
      <c r="AA310" s="6">
        <f>('TE BE'!$AB$23+'TE BF'!$AB$23+'TE CVA'!$AB$23)*(1-CUSTOS!$M$38)</f>
        <v>236.80902583286482</v>
      </c>
      <c r="AB310" s="6">
        <f t="shared" si="14"/>
        <v>0</v>
      </c>
      <c r="AC310" s="6">
        <f>(L310-M310)*(W310+X310)+($W$165+$X$165-$W$310-$X$310)*(L310)</f>
        <v>-250.55799999999999</v>
      </c>
      <c r="AD310" s="6">
        <f t="shared" si="15"/>
        <v>0</v>
      </c>
      <c r="AE310" s="6">
        <f ca="1">(L310-M310)*(Z310+AA310)+($Z$165+$AA$165-$Z$310-$AA$310)*(L310)</f>
        <v>-136.71161860096908</v>
      </c>
      <c r="AF310" s="4" t="s">
        <v>561</v>
      </c>
    </row>
    <row r="311" spans="1:32" ht="11.25" customHeight="1" x14ac:dyDescent="0.25">
      <c r="A311" s="4" t="s">
        <v>28</v>
      </c>
      <c r="B311" s="4" t="s">
        <v>40</v>
      </c>
      <c r="C311" s="4" t="s">
        <v>23</v>
      </c>
      <c r="D311" s="4" t="s">
        <v>41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44470</v>
      </c>
      <c r="J311" s="6">
        <v>0</v>
      </c>
      <c r="K311" s="6">
        <v>0</v>
      </c>
      <c r="L311" s="6">
        <v>83.722999999999999</v>
      </c>
      <c r="M311" s="6">
        <v>83.722999999999999</v>
      </c>
      <c r="N311" s="6">
        <v>83.722999999999999</v>
      </c>
      <c r="O311" s="6">
        <v>83.722999999999999</v>
      </c>
      <c r="P311" s="6">
        <v>843</v>
      </c>
      <c r="Q311" s="4" t="s">
        <v>26</v>
      </c>
      <c r="R311" s="4">
        <v>0</v>
      </c>
      <c r="S311" s="4">
        <v>0</v>
      </c>
      <c r="T311" s="4">
        <v>61</v>
      </c>
      <c r="U311" s="4">
        <v>72</v>
      </c>
      <c r="V311" s="6">
        <f>IF(ISERROR(VLOOKUP($S$311,'TAR FIN'!$A$1:$O$88,15,0)),0,VLOOKUP($S$311,'TAR FIN'!$A$1:$O$88,15,0))</f>
        <v>0</v>
      </c>
      <c r="W311" s="6">
        <f>IF(ISERROR(VLOOKUP($T$311,'TAR FIN'!$A$1:$O$88,15,0)),0,VLOOKUP($T$311,'TAR FIN'!$A$1:$O$88,15,0))</f>
        <v>374.66</v>
      </c>
      <c r="X311" s="6">
        <f>IF(ISERROR(VLOOKUP($U$311,'TAR FIN'!$A$1:$O$88,15,0)),0,VLOOKUP($U$311,'TAR FIN'!$A$1:$O$88,15,0))</f>
        <v>221.96</v>
      </c>
      <c r="Y311" s="6"/>
      <c r="Z311" s="6">
        <f ca="1">('TUSD BE'!$AM$33+'TUSD BF'!$AM$33+'TUSD CVA'!$AM$33)*(1-CUSTOS!$M$38)</f>
        <v>458.58557094695544</v>
      </c>
      <c r="AA311" s="6">
        <f>('TE BE'!$AB$23+'TE BF'!$AB$23+'TE CVA'!$AB$23)*(1-CUSTOS!$M$38)</f>
        <v>236.80902583286482</v>
      </c>
      <c r="AB311" s="6">
        <f t="shared" si="14"/>
        <v>0</v>
      </c>
      <c r="AC311" s="6">
        <f>(L311-M311)*(W311+X311)+($W$165+$X$165-$W$311-$X$311)*(L311)</f>
        <v>6810.8660499999996</v>
      </c>
      <c r="AD311" s="6">
        <f t="shared" si="15"/>
        <v>0</v>
      </c>
      <c r="AE311" s="6">
        <f ca="1">(L311-M311)*(Z311+AA311)+($Z$165+$AA$165-$Z$311-$AA$311)*(L311)</f>
        <v>3716.2035208210823</v>
      </c>
      <c r="AF311" s="4" t="s">
        <v>561</v>
      </c>
    </row>
    <row r="312" spans="1:32" ht="11.25" customHeight="1" x14ac:dyDescent="0.25">
      <c r="A312" s="4" t="s">
        <v>21</v>
      </c>
      <c r="B312" s="4" t="s">
        <v>40</v>
      </c>
      <c r="C312" s="4" t="s">
        <v>23</v>
      </c>
      <c r="D312" s="4" t="s">
        <v>41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44501</v>
      </c>
      <c r="J312" s="6">
        <v>0</v>
      </c>
      <c r="K312" s="6">
        <v>0</v>
      </c>
      <c r="L312" s="6">
        <v>3795.2049999999999</v>
      </c>
      <c r="M312" s="6">
        <v>3795.2049999999999</v>
      </c>
      <c r="N312" s="6">
        <v>3795.2049999999999</v>
      </c>
      <c r="O312" s="6">
        <v>3795.2049999999999</v>
      </c>
      <c r="P312" s="6">
        <v>12103</v>
      </c>
      <c r="Q312" s="4" t="s">
        <v>26</v>
      </c>
      <c r="R312" s="4">
        <v>0</v>
      </c>
      <c r="S312" s="4">
        <v>0</v>
      </c>
      <c r="T312" s="4">
        <v>61</v>
      </c>
      <c r="U312" s="4">
        <v>72</v>
      </c>
      <c r="V312" s="6">
        <f>IF(ISERROR(VLOOKUP($S$312,'TAR FIN'!$A$1:$O$88,15,0)),0,VLOOKUP($S$312,'TAR FIN'!$A$1:$O$88,15,0))</f>
        <v>0</v>
      </c>
      <c r="W312" s="6">
        <f>IF(ISERROR(VLOOKUP($T$312,'TAR FIN'!$A$1:$O$88,15,0)),0,VLOOKUP($T$312,'TAR FIN'!$A$1:$O$88,15,0))</f>
        <v>374.66</v>
      </c>
      <c r="X312" s="6">
        <f>IF(ISERROR(VLOOKUP($U$312,'TAR FIN'!$A$1:$O$88,15,0)),0,VLOOKUP($U$312,'TAR FIN'!$A$1:$O$88,15,0))</f>
        <v>221.96</v>
      </c>
      <c r="Y312" s="6"/>
      <c r="Z312" s="6">
        <f ca="1">('TUSD BE'!$AM$33+'TUSD BF'!$AM$33+'TUSD CVA'!$AM$33)*(1-CUSTOS!$M$38)</f>
        <v>458.58557094695544</v>
      </c>
      <c r="AA312" s="6">
        <f>('TE BE'!$AB$23+'TE BF'!$AB$23+'TE CVA'!$AB$23)*(1-CUSTOS!$M$38)</f>
        <v>236.80902583286482</v>
      </c>
      <c r="AB312" s="6">
        <f t="shared" si="14"/>
        <v>0</v>
      </c>
      <c r="AC312" s="6">
        <f>(L312-M312)*(W312+X312)+($W$165+$X$165-$W$312-$X$312)*(L312)</f>
        <v>308739.92674999998</v>
      </c>
      <c r="AD312" s="6">
        <f t="shared" si="15"/>
        <v>0</v>
      </c>
      <c r="AE312" s="6">
        <f ca="1">(L312-M312)*(Z312+AA312)+($Z$165+$AA$165-$Z$312-$AA$312)*(L312)</f>
        <v>168457.3436598996</v>
      </c>
      <c r="AF312" s="4" t="s">
        <v>561</v>
      </c>
    </row>
    <row r="313" spans="1:32" ht="11.25" customHeight="1" x14ac:dyDescent="0.25">
      <c r="A313" s="4" t="s">
        <v>27</v>
      </c>
      <c r="B313" s="4" t="s">
        <v>40</v>
      </c>
      <c r="C313" s="4" t="s">
        <v>23</v>
      </c>
      <c r="D313" s="4" t="s">
        <v>41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44501</v>
      </c>
      <c r="J313" s="6">
        <v>0</v>
      </c>
      <c r="K313" s="6">
        <v>0</v>
      </c>
      <c r="L313" s="6">
        <v>-8.1120000000000001</v>
      </c>
      <c r="M313" s="6">
        <v>-8.1120000000000001</v>
      </c>
      <c r="N313" s="6">
        <v>-8.1120000000000001</v>
      </c>
      <c r="O313" s="6">
        <v>-8.1120000000000001</v>
      </c>
      <c r="P313" s="6">
        <v>0</v>
      </c>
      <c r="Q313" s="4" t="s">
        <v>26</v>
      </c>
      <c r="R313" s="4">
        <v>0</v>
      </c>
      <c r="S313" s="4">
        <v>0</v>
      </c>
      <c r="T313" s="4">
        <v>61</v>
      </c>
      <c r="U313" s="4">
        <v>72</v>
      </c>
      <c r="V313" s="6">
        <f>IF(ISERROR(VLOOKUP($S$313,'TAR FIN'!$A$1:$O$88,15,0)),0,VLOOKUP($S$313,'TAR FIN'!$A$1:$O$88,15,0))</f>
        <v>0</v>
      </c>
      <c r="W313" s="6">
        <f>IF(ISERROR(VLOOKUP($T$313,'TAR FIN'!$A$1:$O$88,15,0)),0,VLOOKUP($T$313,'TAR FIN'!$A$1:$O$88,15,0))</f>
        <v>374.66</v>
      </c>
      <c r="X313" s="6">
        <f>IF(ISERROR(VLOOKUP($U$313,'TAR FIN'!$A$1:$O$88,15,0)),0,VLOOKUP($U$313,'TAR FIN'!$A$1:$O$88,15,0))</f>
        <v>221.96</v>
      </c>
      <c r="Y313" s="6"/>
      <c r="Z313" s="6">
        <f ca="1">('TUSD BE'!$AM$33+'TUSD BF'!$AM$33+'TUSD CVA'!$AM$33)*(1-CUSTOS!$M$38)</f>
        <v>458.58557094695544</v>
      </c>
      <c r="AA313" s="6">
        <f>('TE BE'!$AB$23+'TE BF'!$AB$23+'TE CVA'!$AB$23)*(1-CUSTOS!$M$38)</f>
        <v>236.80902583286482</v>
      </c>
      <c r="AB313" s="6">
        <f t="shared" si="14"/>
        <v>0</v>
      </c>
      <c r="AC313" s="6">
        <f>(L313-M313)*(W313+X313)+($W$165+$X$165-$W$313-$X$313)*(L313)</f>
        <v>-659.91120000000001</v>
      </c>
      <c r="AD313" s="6">
        <f t="shared" si="15"/>
        <v>0</v>
      </c>
      <c r="AE313" s="6">
        <f ca="1">(L313-M313)*(Z313+AA313)+($Z$165+$AA$165-$Z$313-$AA$313)*(L313)</f>
        <v>-360.06644483476009</v>
      </c>
      <c r="AF313" s="4" t="s">
        <v>561</v>
      </c>
    </row>
    <row r="314" spans="1:32" ht="11.25" customHeight="1" x14ac:dyDescent="0.25">
      <c r="A314" s="4" t="s">
        <v>28</v>
      </c>
      <c r="B314" s="4" t="s">
        <v>40</v>
      </c>
      <c r="C314" s="4" t="s">
        <v>23</v>
      </c>
      <c r="D314" s="4" t="s">
        <v>41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44501</v>
      </c>
      <c r="J314" s="6">
        <v>0</v>
      </c>
      <c r="K314" s="6">
        <v>0</v>
      </c>
      <c r="L314" s="6">
        <v>108.008</v>
      </c>
      <c r="M314" s="6">
        <v>108.008</v>
      </c>
      <c r="N314" s="6">
        <v>108.008</v>
      </c>
      <c r="O314" s="6">
        <v>108.008</v>
      </c>
      <c r="P314" s="6">
        <v>878</v>
      </c>
      <c r="Q314" s="4" t="s">
        <v>26</v>
      </c>
      <c r="R314" s="4">
        <v>0</v>
      </c>
      <c r="S314" s="4">
        <v>0</v>
      </c>
      <c r="T314" s="4">
        <v>61</v>
      </c>
      <c r="U314" s="4">
        <v>72</v>
      </c>
      <c r="V314" s="6">
        <f>IF(ISERROR(VLOOKUP($S$314,'TAR FIN'!$A$1:$O$88,15,0)),0,VLOOKUP($S$314,'TAR FIN'!$A$1:$O$88,15,0))</f>
        <v>0</v>
      </c>
      <c r="W314" s="6">
        <f>IF(ISERROR(VLOOKUP($T$314,'TAR FIN'!$A$1:$O$88,15,0)),0,VLOOKUP($T$314,'TAR FIN'!$A$1:$O$88,15,0))</f>
        <v>374.66</v>
      </c>
      <c r="X314" s="6">
        <f>IF(ISERROR(VLOOKUP($U$314,'TAR FIN'!$A$1:$O$88,15,0)),0,VLOOKUP($U$314,'TAR FIN'!$A$1:$O$88,15,0))</f>
        <v>221.96</v>
      </c>
      <c r="Y314" s="6"/>
      <c r="Z314" s="6">
        <f ca="1">('TUSD BE'!$AM$33+'TUSD BF'!$AM$33+'TUSD CVA'!$AM$33)*(1-CUSTOS!$M$38)</f>
        <v>458.58557094695544</v>
      </c>
      <c r="AA314" s="6">
        <f>('TE BE'!$AB$23+'TE BF'!$AB$23+'TE CVA'!$AB$23)*(1-CUSTOS!$M$38)</f>
        <v>236.80902583286482</v>
      </c>
      <c r="AB314" s="6">
        <f t="shared" si="14"/>
        <v>0</v>
      </c>
      <c r="AC314" s="6">
        <f>(L314-M314)*(W314+X314)+($W$165+$X$165-$W$314-$X$314)*(L314)</f>
        <v>8786.4507999999987</v>
      </c>
      <c r="AD314" s="6">
        <f t="shared" si="15"/>
        <v>0</v>
      </c>
      <c r="AE314" s="6">
        <f ca="1">(L314-M314)*(Z314+AA314)+($Z$165+$AA$165-$Z$314-$AA$314)*(L314)</f>
        <v>4794.1391239783979</v>
      </c>
      <c r="AF314" s="4" t="s">
        <v>561</v>
      </c>
    </row>
    <row r="315" spans="1:32" ht="11.25" customHeight="1" x14ac:dyDescent="0.25">
      <c r="A315" s="4" t="s">
        <v>21</v>
      </c>
      <c r="B315" s="4" t="s">
        <v>40</v>
      </c>
      <c r="C315" s="4" t="s">
        <v>23</v>
      </c>
      <c r="D315" s="4" t="s">
        <v>41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44531</v>
      </c>
      <c r="J315" s="6">
        <v>0</v>
      </c>
      <c r="K315" s="6">
        <v>0</v>
      </c>
      <c r="L315" s="6">
        <v>4691.0370000000003</v>
      </c>
      <c r="M315" s="6">
        <v>4691.0370000000003</v>
      </c>
      <c r="N315" s="6">
        <v>4691.0370000000003</v>
      </c>
      <c r="O315" s="6">
        <v>4691.0370000000003</v>
      </c>
      <c r="P315" s="6">
        <v>12147</v>
      </c>
      <c r="Q315" s="4" t="s">
        <v>26</v>
      </c>
      <c r="R315" s="4">
        <v>0</v>
      </c>
      <c r="S315" s="4">
        <v>0</v>
      </c>
      <c r="T315" s="4">
        <v>61</v>
      </c>
      <c r="U315" s="4">
        <v>72</v>
      </c>
      <c r="V315" s="6">
        <f>IF(ISERROR(VLOOKUP($S$315,'TAR FIN'!$A$1:$O$88,15,0)),0,VLOOKUP($S$315,'TAR FIN'!$A$1:$O$88,15,0))</f>
        <v>0</v>
      </c>
      <c r="W315" s="6">
        <f>IF(ISERROR(VLOOKUP($T$315,'TAR FIN'!$A$1:$O$88,15,0)),0,VLOOKUP($T$315,'TAR FIN'!$A$1:$O$88,15,0))</f>
        <v>374.66</v>
      </c>
      <c r="X315" s="6">
        <f>IF(ISERROR(VLOOKUP($U$315,'TAR FIN'!$A$1:$O$88,15,0)),0,VLOOKUP($U$315,'TAR FIN'!$A$1:$O$88,15,0))</f>
        <v>221.96</v>
      </c>
      <c r="Y315" s="6"/>
      <c r="Z315" s="6">
        <f ca="1">('TUSD BE'!$AM$33+'TUSD BF'!$AM$33+'TUSD CVA'!$AM$33)*(1-CUSTOS!$M$38)</f>
        <v>458.58557094695544</v>
      </c>
      <c r="AA315" s="6">
        <f>('TE BE'!$AB$23+'TE BF'!$AB$23+'TE CVA'!$AB$23)*(1-CUSTOS!$M$38)</f>
        <v>236.80902583286482</v>
      </c>
      <c r="AB315" s="6">
        <f t="shared" si="14"/>
        <v>0</v>
      </c>
      <c r="AC315" s="6">
        <f>(L315-M315)*(W315+X315)+($W$165+$X$165-$W$315-$X$315)*(L315)</f>
        <v>381615.85995000001</v>
      </c>
      <c r="AD315" s="6">
        <f t="shared" si="15"/>
        <v>0</v>
      </c>
      <c r="AE315" s="6">
        <f ca="1">(L315-M315)*(Z315+AA315)+($Z$165+$AA$165-$Z$315-$AA$315)*(L315)</f>
        <v>208220.53934643965</v>
      </c>
      <c r="AF315" s="4" t="s">
        <v>561</v>
      </c>
    </row>
    <row r="316" spans="1:32" ht="11.25" customHeight="1" x14ac:dyDescent="0.25">
      <c r="A316" s="4" t="s">
        <v>27</v>
      </c>
      <c r="B316" s="4" t="s">
        <v>40</v>
      </c>
      <c r="C316" s="4" t="s">
        <v>23</v>
      </c>
      <c r="D316" s="4" t="s">
        <v>41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44531</v>
      </c>
      <c r="J316" s="6">
        <v>0</v>
      </c>
      <c r="K316" s="6">
        <v>0</v>
      </c>
      <c r="L316" s="6">
        <v>-2.028</v>
      </c>
      <c r="M316" s="6">
        <v>-2.028</v>
      </c>
      <c r="N316" s="6">
        <v>-2.028</v>
      </c>
      <c r="O316" s="6">
        <v>-2.028</v>
      </c>
      <c r="P316" s="6">
        <v>0</v>
      </c>
      <c r="Q316" s="4" t="s">
        <v>26</v>
      </c>
      <c r="R316" s="4">
        <v>0</v>
      </c>
      <c r="S316" s="4">
        <v>0</v>
      </c>
      <c r="T316" s="4">
        <v>61</v>
      </c>
      <c r="U316" s="4">
        <v>72</v>
      </c>
      <c r="V316" s="6">
        <f>IF(ISERROR(VLOOKUP($S$316,'TAR FIN'!$A$1:$O$88,15,0)),0,VLOOKUP($S$316,'TAR FIN'!$A$1:$O$88,15,0))</f>
        <v>0</v>
      </c>
      <c r="W316" s="6">
        <f>IF(ISERROR(VLOOKUP($T$316,'TAR FIN'!$A$1:$O$88,15,0)),0,VLOOKUP($T$316,'TAR FIN'!$A$1:$O$88,15,0))</f>
        <v>374.66</v>
      </c>
      <c r="X316" s="6">
        <f>IF(ISERROR(VLOOKUP($U$316,'TAR FIN'!$A$1:$O$88,15,0)),0,VLOOKUP($U$316,'TAR FIN'!$A$1:$O$88,15,0))</f>
        <v>221.96</v>
      </c>
      <c r="Y316" s="6"/>
      <c r="Z316" s="6">
        <f ca="1">('TUSD BE'!$AM$33+'TUSD BF'!$AM$33+'TUSD CVA'!$AM$33)*(1-CUSTOS!$M$38)</f>
        <v>458.58557094695544</v>
      </c>
      <c r="AA316" s="6">
        <f>('TE BE'!$AB$23+'TE BF'!$AB$23+'TE CVA'!$AB$23)*(1-CUSTOS!$M$38)</f>
        <v>236.80902583286482</v>
      </c>
      <c r="AB316" s="6">
        <f t="shared" si="14"/>
        <v>0</v>
      </c>
      <c r="AC316" s="6">
        <f>(L316-M316)*(W316+X316)+($W$165+$X$165-$W$316-$X$316)*(L316)</f>
        <v>-164.9778</v>
      </c>
      <c r="AD316" s="6">
        <f t="shared" si="15"/>
        <v>0</v>
      </c>
      <c r="AE316" s="6">
        <f ca="1">(L316-M316)*(Z316+AA316)+($Z$165+$AA$165-$Z$316-$AA$316)*(L316)</f>
        <v>-90.016611208690023</v>
      </c>
      <c r="AF316" s="4" t="s">
        <v>561</v>
      </c>
    </row>
    <row r="317" spans="1:32" ht="11.25" customHeight="1" x14ac:dyDescent="0.25">
      <c r="A317" s="4" t="s">
        <v>28</v>
      </c>
      <c r="B317" s="4" t="s">
        <v>40</v>
      </c>
      <c r="C317" s="4" t="s">
        <v>23</v>
      </c>
      <c r="D317" s="4" t="s">
        <v>41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44531</v>
      </c>
      <c r="J317" s="6">
        <v>0</v>
      </c>
      <c r="K317" s="6">
        <v>0</v>
      </c>
      <c r="L317" s="6">
        <v>162.435</v>
      </c>
      <c r="M317" s="6">
        <v>162.435</v>
      </c>
      <c r="N317" s="6">
        <v>162.435</v>
      </c>
      <c r="O317" s="6">
        <v>162.435</v>
      </c>
      <c r="P317" s="6">
        <v>895</v>
      </c>
      <c r="Q317" s="4" t="s">
        <v>26</v>
      </c>
      <c r="R317" s="4">
        <v>0</v>
      </c>
      <c r="S317" s="4">
        <v>0</v>
      </c>
      <c r="T317" s="4">
        <v>61</v>
      </c>
      <c r="U317" s="4">
        <v>72</v>
      </c>
      <c r="V317" s="6">
        <f>IF(ISERROR(VLOOKUP($S$317,'TAR FIN'!$A$1:$O$88,15,0)),0,VLOOKUP($S$317,'TAR FIN'!$A$1:$O$88,15,0))</f>
        <v>0</v>
      </c>
      <c r="W317" s="6">
        <f>IF(ISERROR(VLOOKUP($T$317,'TAR FIN'!$A$1:$O$88,15,0)),0,VLOOKUP($T$317,'TAR FIN'!$A$1:$O$88,15,0))</f>
        <v>374.66</v>
      </c>
      <c r="X317" s="6">
        <f>IF(ISERROR(VLOOKUP($U$317,'TAR FIN'!$A$1:$O$88,15,0)),0,VLOOKUP($U$317,'TAR FIN'!$A$1:$O$88,15,0))</f>
        <v>221.96</v>
      </c>
      <c r="Y317" s="6"/>
      <c r="Z317" s="6">
        <f ca="1">('TUSD BE'!$AM$33+'TUSD BF'!$AM$33+'TUSD CVA'!$AM$33)*(1-CUSTOS!$M$38)</f>
        <v>458.58557094695544</v>
      </c>
      <c r="AA317" s="6">
        <f>('TE BE'!$AB$23+'TE BF'!$AB$23+'TE CVA'!$AB$23)*(1-CUSTOS!$M$38)</f>
        <v>236.80902583286482</v>
      </c>
      <c r="AB317" s="6">
        <f t="shared" si="14"/>
        <v>0</v>
      </c>
      <c r="AC317" s="6">
        <f>(L317-M317)*(W317+X317)+($W$165+$X$165-$W$317-$X$317)*(L317)</f>
        <v>13214.087249999999</v>
      </c>
      <c r="AD317" s="6">
        <f t="shared" si="15"/>
        <v>0</v>
      </c>
      <c r="AE317" s="6">
        <f ca="1">(L317-M317)*(Z317+AA317)+($Z$165+$AA$165-$Z$317-$AA$317)*(L317)</f>
        <v>7209.9843400806531</v>
      </c>
      <c r="AF317" s="4" t="s">
        <v>561</v>
      </c>
    </row>
    <row r="318" spans="1:32" ht="11.25" customHeight="1" x14ac:dyDescent="0.25">
      <c r="A318" s="4" t="s">
        <v>21</v>
      </c>
      <c r="B318" s="4" t="s">
        <v>40</v>
      </c>
      <c r="C318" s="4" t="s">
        <v>23</v>
      </c>
      <c r="D318" s="4" t="s">
        <v>41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44562</v>
      </c>
      <c r="J318" s="6">
        <v>0</v>
      </c>
      <c r="K318" s="6">
        <v>0</v>
      </c>
      <c r="L318" s="6">
        <v>6116.61</v>
      </c>
      <c r="M318" s="6">
        <v>6116.61</v>
      </c>
      <c r="N318" s="6">
        <v>6116.61</v>
      </c>
      <c r="O318" s="6">
        <v>6116.61</v>
      </c>
      <c r="P318" s="6">
        <v>12138</v>
      </c>
      <c r="Q318" s="4" t="s">
        <v>26</v>
      </c>
      <c r="R318" s="4">
        <v>0</v>
      </c>
      <c r="S318" s="4">
        <v>0</v>
      </c>
      <c r="T318" s="4">
        <v>61</v>
      </c>
      <c r="U318" s="4">
        <v>72</v>
      </c>
      <c r="V318" s="6">
        <f>IF(ISERROR(VLOOKUP($S$318,'TAR FIN'!$A$1:$O$88,15,0)),0,VLOOKUP($S$318,'TAR FIN'!$A$1:$O$88,15,0))</f>
        <v>0</v>
      </c>
      <c r="W318" s="6">
        <f>IF(ISERROR(VLOOKUP($T$318,'TAR FIN'!$A$1:$O$88,15,0)),0,VLOOKUP($T$318,'TAR FIN'!$A$1:$O$88,15,0))</f>
        <v>374.66</v>
      </c>
      <c r="X318" s="6">
        <f>IF(ISERROR(VLOOKUP($U$318,'TAR FIN'!$A$1:$O$88,15,0)),0,VLOOKUP($U$318,'TAR FIN'!$A$1:$O$88,15,0))</f>
        <v>221.96</v>
      </c>
      <c r="Y318" s="6"/>
      <c r="Z318" s="6">
        <f ca="1">('TUSD BE'!$AM$33+'TUSD BF'!$AM$33+'TUSD CVA'!$AM$33)*(1-CUSTOS!$M$38)</f>
        <v>458.58557094695544</v>
      </c>
      <c r="AA318" s="6">
        <f>('TE BE'!$AB$23+'TE BF'!$AB$23+'TE CVA'!$AB$23)*(1-CUSTOS!$M$38)</f>
        <v>236.80902583286482</v>
      </c>
      <c r="AB318" s="6">
        <f t="shared" si="14"/>
        <v>0</v>
      </c>
      <c r="AC318" s="6">
        <f>(L318-M318)*(W318+X318)+($W$165+$X$165-$W$318-$X$318)*(L318)</f>
        <v>497586.22349999996</v>
      </c>
      <c r="AD318" s="6">
        <f t="shared" si="15"/>
        <v>0</v>
      </c>
      <c r="AE318" s="6">
        <f ca="1">(L318-M318)*(Z318+AA318)+($Z$165+$AA$165-$Z$318-$AA$318)*(L318)</f>
        <v>271497.2900814524</v>
      </c>
      <c r="AF318" s="4" t="s">
        <v>561</v>
      </c>
    </row>
    <row r="319" spans="1:32" ht="11.25" customHeight="1" x14ac:dyDescent="0.25">
      <c r="A319" s="4" t="s">
        <v>27</v>
      </c>
      <c r="B319" s="4" t="s">
        <v>40</v>
      </c>
      <c r="C319" s="4" t="s">
        <v>23</v>
      </c>
      <c r="D319" s="4" t="s">
        <v>41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44562</v>
      </c>
      <c r="J319" s="6">
        <v>0</v>
      </c>
      <c r="K319" s="6">
        <v>0</v>
      </c>
      <c r="L319" s="6">
        <v>-0.21199999999999999</v>
      </c>
      <c r="M319" s="6">
        <v>-0.21199999999999999</v>
      </c>
      <c r="N319" s="6">
        <v>-0.21199999999999999</v>
      </c>
      <c r="O319" s="6">
        <v>-0.21199999999999999</v>
      </c>
      <c r="P319" s="6">
        <v>0</v>
      </c>
      <c r="Q319" s="4" t="s">
        <v>26</v>
      </c>
      <c r="R319" s="4">
        <v>0</v>
      </c>
      <c r="S319" s="4">
        <v>0</v>
      </c>
      <c r="T319" s="4">
        <v>61</v>
      </c>
      <c r="U319" s="4">
        <v>72</v>
      </c>
      <c r="V319" s="6">
        <f>IF(ISERROR(VLOOKUP($S$319,'TAR FIN'!$A$1:$O$88,15,0)),0,VLOOKUP($S$319,'TAR FIN'!$A$1:$O$88,15,0))</f>
        <v>0</v>
      </c>
      <c r="W319" s="6">
        <f>IF(ISERROR(VLOOKUP($T$319,'TAR FIN'!$A$1:$O$88,15,0)),0,VLOOKUP($T$319,'TAR FIN'!$A$1:$O$88,15,0))</f>
        <v>374.66</v>
      </c>
      <c r="X319" s="6">
        <f>IF(ISERROR(VLOOKUP($U$319,'TAR FIN'!$A$1:$O$88,15,0)),0,VLOOKUP($U$319,'TAR FIN'!$A$1:$O$88,15,0))</f>
        <v>221.96</v>
      </c>
      <c r="Y319" s="6"/>
      <c r="Z319" s="6">
        <f ca="1">('TUSD BE'!$AM$33+'TUSD BF'!$AM$33+'TUSD CVA'!$AM$33)*(1-CUSTOS!$M$38)</f>
        <v>458.58557094695544</v>
      </c>
      <c r="AA319" s="6">
        <f>('TE BE'!$AB$23+'TE BF'!$AB$23+'TE CVA'!$AB$23)*(1-CUSTOS!$M$38)</f>
        <v>236.80902583286482</v>
      </c>
      <c r="AB319" s="6">
        <f t="shared" si="14"/>
        <v>0</v>
      </c>
      <c r="AC319" s="6">
        <f>(L319-M319)*(W319+X319)+($W$165+$X$165-$W$319-$X$319)*(L319)</f>
        <v>-17.246199999999998</v>
      </c>
      <c r="AD319" s="6">
        <f t="shared" si="15"/>
        <v>0</v>
      </c>
      <c r="AE319" s="6">
        <f ca="1">(L319-M319)*(Z319+AA319)+($Z$165+$AA$165-$Z$319-$AA$319)*(L319)</f>
        <v>-9.410020501105663</v>
      </c>
      <c r="AF319" s="4" t="s">
        <v>561</v>
      </c>
    </row>
    <row r="320" spans="1:32" ht="11.25" customHeight="1" x14ac:dyDescent="0.25">
      <c r="A320" s="4" t="s">
        <v>28</v>
      </c>
      <c r="B320" s="4" t="s">
        <v>40</v>
      </c>
      <c r="C320" s="4" t="s">
        <v>23</v>
      </c>
      <c r="D320" s="4" t="s">
        <v>41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44562</v>
      </c>
      <c r="J320" s="6">
        <v>0</v>
      </c>
      <c r="K320" s="6">
        <v>0</v>
      </c>
      <c r="L320" s="6">
        <v>227.94</v>
      </c>
      <c r="M320" s="6">
        <v>227.94</v>
      </c>
      <c r="N320" s="6">
        <v>227.94</v>
      </c>
      <c r="O320" s="6">
        <v>227.94</v>
      </c>
      <c r="P320" s="6">
        <v>925</v>
      </c>
      <c r="Q320" s="4" t="s">
        <v>26</v>
      </c>
      <c r="R320" s="4">
        <v>0</v>
      </c>
      <c r="S320" s="4">
        <v>0</v>
      </c>
      <c r="T320" s="4">
        <v>61</v>
      </c>
      <c r="U320" s="4">
        <v>72</v>
      </c>
      <c r="V320" s="6">
        <f>IF(ISERROR(VLOOKUP($S$320,'TAR FIN'!$A$1:$O$88,15,0)),0,VLOOKUP($S$320,'TAR FIN'!$A$1:$O$88,15,0))</f>
        <v>0</v>
      </c>
      <c r="W320" s="6">
        <f>IF(ISERROR(VLOOKUP($T$320,'TAR FIN'!$A$1:$O$88,15,0)),0,VLOOKUP($T$320,'TAR FIN'!$A$1:$O$88,15,0))</f>
        <v>374.66</v>
      </c>
      <c r="X320" s="6">
        <f>IF(ISERROR(VLOOKUP($U$320,'TAR FIN'!$A$1:$O$88,15,0)),0,VLOOKUP($U$320,'TAR FIN'!$A$1:$O$88,15,0))</f>
        <v>221.96</v>
      </c>
      <c r="Y320" s="6"/>
      <c r="Z320" s="6">
        <f ca="1">('TUSD BE'!$AM$33+'TUSD BF'!$AM$33+'TUSD CVA'!$AM$33)*(1-CUSTOS!$M$38)</f>
        <v>458.58557094695544</v>
      </c>
      <c r="AA320" s="6">
        <f>('TE BE'!$AB$23+'TE BF'!$AB$23+'TE CVA'!$AB$23)*(1-CUSTOS!$M$38)</f>
        <v>236.80902583286482</v>
      </c>
      <c r="AB320" s="6">
        <f t="shared" si="14"/>
        <v>0</v>
      </c>
      <c r="AC320" s="6">
        <f>(L320-M320)*(W320+X320)+($W$165+$X$165-$W$320-$X$320)*(L320)</f>
        <v>18542.918999999998</v>
      </c>
      <c r="AD320" s="6">
        <f t="shared" si="15"/>
        <v>0</v>
      </c>
      <c r="AE320" s="6">
        <f ca="1">(L320-M320)*(Z320+AA320)+($Z$165+$AA$165-$Z$320-$AA$320)*(L320)</f>
        <v>10117.547514254833</v>
      </c>
      <c r="AF320" s="4" t="s">
        <v>561</v>
      </c>
    </row>
    <row r="321" spans="1:32" ht="11.25" customHeight="1" x14ac:dyDescent="0.25">
      <c r="A321" s="4" t="s">
        <v>21</v>
      </c>
      <c r="B321" s="4" t="s">
        <v>40</v>
      </c>
      <c r="C321" s="4" t="s">
        <v>23</v>
      </c>
      <c r="D321" s="4" t="s">
        <v>41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44593</v>
      </c>
      <c r="J321" s="6">
        <v>0</v>
      </c>
      <c r="K321" s="6">
        <v>0</v>
      </c>
      <c r="L321" s="6">
        <v>5582.9470000000001</v>
      </c>
      <c r="M321" s="6">
        <v>5582.9470000000001</v>
      </c>
      <c r="N321" s="6">
        <v>5582.9470000000001</v>
      </c>
      <c r="O321" s="6">
        <v>5582.9470000000001</v>
      </c>
      <c r="P321" s="6">
        <v>12170</v>
      </c>
      <c r="Q321" s="4" t="s">
        <v>26</v>
      </c>
      <c r="R321" s="4">
        <v>0</v>
      </c>
      <c r="S321" s="4">
        <v>0</v>
      </c>
      <c r="T321" s="4">
        <v>61</v>
      </c>
      <c r="U321" s="4">
        <v>72</v>
      </c>
      <c r="V321" s="6">
        <f>IF(ISERROR(VLOOKUP($S$321,'TAR FIN'!$A$1:$O$88,15,0)),0,VLOOKUP($S$321,'TAR FIN'!$A$1:$O$88,15,0))</f>
        <v>0</v>
      </c>
      <c r="W321" s="6">
        <f>IF(ISERROR(VLOOKUP($T$321,'TAR FIN'!$A$1:$O$88,15,0)),0,VLOOKUP($T$321,'TAR FIN'!$A$1:$O$88,15,0))</f>
        <v>374.66</v>
      </c>
      <c r="X321" s="6">
        <f>IF(ISERROR(VLOOKUP($U$321,'TAR FIN'!$A$1:$O$88,15,0)),0,VLOOKUP($U$321,'TAR FIN'!$A$1:$O$88,15,0))</f>
        <v>221.96</v>
      </c>
      <c r="Y321" s="6"/>
      <c r="Z321" s="6">
        <f ca="1">('TUSD BE'!$AM$33+'TUSD BF'!$AM$33+'TUSD CVA'!$AM$33)*(1-CUSTOS!$M$38)</f>
        <v>458.58557094695544</v>
      </c>
      <c r="AA321" s="6">
        <f>('TE BE'!$AB$23+'TE BF'!$AB$23+'TE CVA'!$AB$23)*(1-CUSTOS!$M$38)</f>
        <v>236.80902583286482</v>
      </c>
      <c r="AB321" s="6">
        <f t="shared" si="14"/>
        <v>0</v>
      </c>
      <c r="AC321" s="6">
        <f>(L321-M321)*(W321+X321)+($W$165+$X$165-$W$321-$X$321)*(L321)</f>
        <v>454172.73845</v>
      </c>
      <c r="AD321" s="6">
        <f t="shared" si="15"/>
        <v>0</v>
      </c>
      <c r="AE321" s="6">
        <f ca="1">(L321-M321)*(Z321+AA321)+($Z$165+$AA$165-$Z$321-$AA$321)*(L321)</f>
        <v>247809.64965370923</v>
      </c>
      <c r="AF321" s="4" t="s">
        <v>561</v>
      </c>
    </row>
    <row r="322" spans="1:32" ht="11.25" customHeight="1" x14ac:dyDescent="0.25">
      <c r="A322" s="4" t="s">
        <v>28</v>
      </c>
      <c r="B322" s="4" t="s">
        <v>40</v>
      </c>
      <c r="C322" s="4" t="s">
        <v>23</v>
      </c>
      <c r="D322" s="4" t="s">
        <v>41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44593</v>
      </c>
      <c r="J322" s="6">
        <v>0</v>
      </c>
      <c r="K322" s="6">
        <v>0</v>
      </c>
      <c r="L322" s="6">
        <v>167.898</v>
      </c>
      <c r="M322" s="6">
        <v>167.898</v>
      </c>
      <c r="N322" s="6">
        <v>167.898</v>
      </c>
      <c r="O322" s="6">
        <v>167.898</v>
      </c>
      <c r="P322" s="6">
        <v>889</v>
      </c>
      <c r="Q322" s="4" t="s">
        <v>26</v>
      </c>
      <c r="R322" s="4">
        <v>0</v>
      </c>
      <c r="S322" s="4">
        <v>0</v>
      </c>
      <c r="T322" s="4">
        <v>61</v>
      </c>
      <c r="U322" s="4">
        <v>72</v>
      </c>
      <c r="V322" s="6">
        <f>IF(ISERROR(VLOOKUP($S$322,'TAR FIN'!$A$1:$O$88,15,0)),0,VLOOKUP($S$322,'TAR FIN'!$A$1:$O$88,15,0))</f>
        <v>0</v>
      </c>
      <c r="W322" s="6">
        <f>IF(ISERROR(VLOOKUP($T$322,'TAR FIN'!$A$1:$O$88,15,0)),0,VLOOKUP($T$322,'TAR FIN'!$A$1:$O$88,15,0))</f>
        <v>374.66</v>
      </c>
      <c r="X322" s="6">
        <f>IF(ISERROR(VLOOKUP($U$322,'TAR FIN'!$A$1:$O$88,15,0)),0,VLOOKUP($U$322,'TAR FIN'!$A$1:$O$88,15,0))</f>
        <v>221.96</v>
      </c>
      <c r="Y322" s="6"/>
      <c r="Z322" s="6">
        <f ca="1">('TUSD BE'!$AM$33+'TUSD BF'!$AM$33+'TUSD CVA'!$AM$33)*(1-CUSTOS!$M$38)</f>
        <v>458.58557094695544</v>
      </c>
      <c r="AA322" s="6">
        <f>('TE BE'!$AB$23+'TE BF'!$AB$23+'TE CVA'!$AB$23)*(1-CUSTOS!$M$38)</f>
        <v>236.80902583286482</v>
      </c>
      <c r="AB322" s="6">
        <f t="shared" ref="AB322:AB338" si="16">(J322-K322)*V322</f>
        <v>0</v>
      </c>
      <c r="AC322" s="6">
        <f>(L322-M322)*(W322+X322)+($W$165+$X$165-$W$322-$X$322)*(L322)</f>
        <v>13658.502299999998</v>
      </c>
      <c r="AD322" s="6">
        <f t="shared" ref="AD322:AD338" si="17">(J322-K322)*Y322</f>
        <v>0</v>
      </c>
      <c r="AE322" s="6">
        <f ca="1">(L322-M322)*(Z322+AA322)+($Z$165+$AA$165-$Z$322-$AA$322)*(L322)</f>
        <v>7452.4699155407479</v>
      </c>
      <c r="AF322" s="4" t="s">
        <v>561</v>
      </c>
    </row>
    <row r="323" spans="1:32" ht="11.25" customHeight="1" x14ac:dyDescent="0.25">
      <c r="A323" s="4" t="s">
        <v>21</v>
      </c>
      <c r="B323" s="4" t="s">
        <v>40</v>
      </c>
      <c r="C323" s="4" t="s">
        <v>23</v>
      </c>
      <c r="D323" s="4" t="s">
        <v>41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44621</v>
      </c>
      <c r="J323" s="6">
        <v>0</v>
      </c>
      <c r="K323" s="6">
        <v>0</v>
      </c>
      <c r="L323" s="6">
        <v>4474.9430000000002</v>
      </c>
      <c r="M323" s="6">
        <v>4474.9430000000002</v>
      </c>
      <c r="N323" s="6">
        <v>4474.9430000000002</v>
      </c>
      <c r="O323" s="6">
        <v>4474.9430000000002</v>
      </c>
      <c r="P323" s="6">
        <v>12092</v>
      </c>
      <c r="Q323" s="4" t="s">
        <v>26</v>
      </c>
      <c r="R323" s="4">
        <v>0</v>
      </c>
      <c r="S323" s="4">
        <v>0</v>
      </c>
      <c r="T323" s="4">
        <v>61</v>
      </c>
      <c r="U323" s="4">
        <v>72</v>
      </c>
      <c r="V323" s="6">
        <f>IF(ISERROR(VLOOKUP($S$323,'TAR FIN'!$A$1:$O$88,15,0)),0,VLOOKUP($S$323,'TAR FIN'!$A$1:$O$88,15,0))</f>
        <v>0</v>
      </c>
      <c r="W323" s="6">
        <f>IF(ISERROR(VLOOKUP($T$323,'TAR FIN'!$A$1:$O$88,15,0)),0,VLOOKUP($T$323,'TAR FIN'!$A$1:$O$88,15,0))</f>
        <v>374.66</v>
      </c>
      <c r="X323" s="6">
        <f>IF(ISERROR(VLOOKUP($U$323,'TAR FIN'!$A$1:$O$88,15,0)),0,VLOOKUP($U$323,'TAR FIN'!$A$1:$O$88,15,0))</f>
        <v>221.96</v>
      </c>
      <c r="Y323" s="6"/>
      <c r="Z323" s="6">
        <f ca="1">('TUSD BE'!$AM$33+'TUSD BF'!$AM$33+'TUSD CVA'!$AM$33)*(1-CUSTOS!$M$38)</f>
        <v>458.58557094695544</v>
      </c>
      <c r="AA323" s="6">
        <f>('TE BE'!$AB$23+'TE BF'!$AB$23+'TE CVA'!$AB$23)*(1-CUSTOS!$M$38)</f>
        <v>236.80902583286482</v>
      </c>
      <c r="AB323" s="6">
        <f t="shared" si="16"/>
        <v>0</v>
      </c>
      <c r="AC323" s="6">
        <f>(L323-M323)*(W323+X323)+($W$165+$X$165-$W$323-$X$323)*(L323)</f>
        <v>364036.61304999999</v>
      </c>
      <c r="AD323" s="6">
        <f t="shared" si="17"/>
        <v>0</v>
      </c>
      <c r="AE323" s="6">
        <f ca="1">(L323-M323)*(Z323+AA323)+($Z$165+$AA$165-$Z$323-$AA$323)*(L323)</f>
        <v>198628.79892112868</v>
      </c>
      <c r="AF323" s="4" t="s">
        <v>561</v>
      </c>
    </row>
    <row r="324" spans="1:32" ht="11.25" customHeight="1" x14ac:dyDescent="0.25">
      <c r="A324" s="4" t="s">
        <v>27</v>
      </c>
      <c r="B324" s="4" t="s">
        <v>40</v>
      </c>
      <c r="C324" s="4" t="s">
        <v>23</v>
      </c>
      <c r="D324" s="4" t="s">
        <v>41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44621</v>
      </c>
      <c r="J324" s="6">
        <v>0</v>
      </c>
      <c r="K324" s="6">
        <v>0</v>
      </c>
      <c r="L324" s="6">
        <v>15.605</v>
      </c>
      <c r="M324" s="6">
        <v>15.605</v>
      </c>
      <c r="N324" s="6">
        <v>15.605</v>
      </c>
      <c r="O324" s="6">
        <v>15.605</v>
      </c>
      <c r="P324" s="6">
        <v>0</v>
      </c>
      <c r="Q324" s="4" t="s">
        <v>26</v>
      </c>
      <c r="R324" s="4">
        <v>0</v>
      </c>
      <c r="S324" s="4">
        <v>0</v>
      </c>
      <c r="T324" s="4">
        <v>61</v>
      </c>
      <c r="U324" s="4">
        <v>72</v>
      </c>
      <c r="V324" s="6">
        <f>IF(ISERROR(VLOOKUP($S$324,'TAR FIN'!$A$1:$O$88,15,0)),0,VLOOKUP($S$324,'TAR FIN'!$A$1:$O$88,15,0))</f>
        <v>0</v>
      </c>
      <c r="W324" s="6">
        <f>IF(ISERROR(VLOOKUP($T$324,'TAR FIN'!$A$1:$O$88,15,0)),0,VLOOKUP($T$324,'TAR FIN'!$A$1:$O$88,15,0))</f>
        <v>374.66</v>
      </c>
      <c r="X324" s="6">
        <f>IF(ISERROR(VLOOKUP($U$324,'TAR FIN'!$A$1:$O$88,15,0)),0,VLOOKUP($U$324,'TAR FIN'!$A$1:$O$88,15,0))</f>
        <v>221.96</v>
      </c>
      <c r="Y324" s="6"/>
      <c r="Z324" s="6">
        <f ca="1">('TUSD BE'!$AM$33+'TUSD BF'!$AM$33+'TUSD CVA'!$AM$33)*(1-CUSTOS!$M$38)</f>
        <v>458.58557094695544</v>
      </c>
      <c r="AA324" s="6">
        <f>('TE BE'!$AB$23+'TE BF'!$AB$23+'TE CVA'!$AB$23)*(1-CUSTOS!$M$38)</f>
        <v>236.80902583286482</v>
      </c>
      <c r="AB324" s="6">
        <f t="shared" si="16"/>
        <v>0</v>
      </c>
      <c r="AC324" s="6">
        <f>(L324-M324)*(W324+X324)+($W$165+$X$165-$W$324-$X$324)*(L324)</f>
        <v>1269.46675</v>
      </c>
      <c r="AD324" s="6">
        <f t="shared" si="17"/>
        <v>0</v>
      </c>
      <c r="AE324" s="6">
        <f ca="1">(L324-M324)*(Z324+AA324)+($Z$165+$AA$165-$Z$324-$AA$324)*(L324)</f>
        <v>692.6574052818579</v>
      </c>
      <c r="AF324" s="4" t="s">
        <v>561</v>
      </c>
    </row>
    <row r="325" spans="1:32" ht="11.25" customHeight="1" x14ac:dyDescent="0.25">
      <c r="A325" s="4" t="s">
        <v>28</v>
      </c>
      <c r="B325" s="4" t="s">
        <v>40</v>
      </c>
      <c r="C325" s="4" t="s">
        <v>23</v>
      </c>
      <c r="D325" s="4" t="s">
        <v>41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44621</v>
      </c>
      <c r="J325" s="6">
        <v>0</v>
      </c>
      <c r="K325" s="6">
        <v>0</v>
      </c>
      <c r="L325" s="6">
        <v>194.76499999999999</v>
      </c>
      <c r="M325" s="6">
        <v>194.76499999999999</v>
      </c>
      <c r="N325" s="6">
        <v>194.76499999999999</v>
      </c>
      <c r="O325" s="6">
        <v>194.76499999999999</v>
      </c>
      <c r="P325" s="6">
        <v>968</v>
      </c>
      <c r="Q325" s="4" t="s">
        <v>26</v>
      </c>
      <c r="R325" s="4">
        <v>0</v>
      </c>
      <c r="S325" s="4">
        <v>0</v>
      </c>
      <c r="T325" s="4">
        <v>61</v>
      </c>
      <c r="U325" s="4">
        <v>72</v>
      </c>
      <c r="V325" s="6">
        <f>IF(ISERROR(VLOOKUP($S$325,'TAR FIN'!$A$1:$O$88,15,0)),0,VLOOKUP($S$325,'TAR FIN'!$A$1:$O$88,15,0))</f>
        <v>0</v>
      </c>
      <c r="W325" s="6">
        <f>IF(ISERROR(VLOOKUP($T$325,'TAR FIN'!$A$1:$O$88,15,0)),0,VLOOKUP($T$325,'TAR FIN'!$A$1:$O$88,15,0))</f>
        <v>374.66</v>
      </c>
      <c r="X325" s="6">
        <f>IF(ISERROR(VLOOKUP($U$325,'TAR FIN'!$A$1:$O$88,15,0)),0,VLOOKUP($U$325,'TAR FIN'!$A$1:$O$88,15,0))</f>
        <v>221.96</v>
      </c>
      <c r="Y325" s="6"/>
      <c r="Z325" s="6">
        <f ca="1">('TUSD BE'!$AM$33+'TUSD BF'!$AM$33+'TUSD CVA'!$AM$33)*(1-CUSTOS!$M$38)</f>
        <v>458.58557094695544</v>
      </c>
      <c r="AA325" s="6">
        <f>('TE BE'!$AB$23+'TE BF'!$AB$23+'TE CVA'!$AB$23)*(1-CUSTOS!$M$38)</f>
        <v>236.80902583286482</v>
      </c>
      <c r="AB325" s="6">
        <f t="shared" si="16"/>
        <v>0</v>
      </c>
      <c r="AC325" s="6">
        <f>(L325-M325)*(W325+X325)+($W$165+$X$165-$W$325-$X$325)*(L325)</f>
        <v>15844.132749999997</v>
      </c>
      <c r="AD325" s="6">
        <f t="shared" si="17"/>
        <v>0</v>
      </c>
      <c r="AE325" s="6">
        <f ca="1">(L325-M325)*(Z325+AA325)+($Z$165+$AA$165-$Z$325-$AA$325)*(L325)</f>
        <v>8645.0124664992654</v>
      </c>
      <c r="AF325" s="4" t="s">
        <v>561</v>
      </c>
    </row>
    <row r="326" spans="1:32" ht="11.25" customHeight="1" x14ac:dyDescent="0.25">
      <c r="A326" s="4" t="s">
        <v>28</v>
      </c>
      <c r="B326" s="4" t="s">
        <v>40</v>
      </c>
      <c r="C326" s="4" t="s">
        <v>23</v>
      </c>
      <c r="D326" s="4" t="s">
        <v>41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44621</v>
      </c>
      <c r="J326" s="6">
        <v>0</v>
      </c>
      <c r="K326" s="6">
        <v>0</v>
      </c>
      <c r="L326" s="6">
        <v>86.06</v>
      </c>
      <c r="M326" s="6">
        <v>86.06</v>
      </c>
      <c r="N326" s="6">
        <v>86.06</v>
      </c>
      <c r="O326" s="6">
        <v>86.06</v>
      </c>
      <c r="P326" s="6">
        <v>2</v>
      </c>
      <c r="Q326" s="4" t="s">
        <v>26</v>
      </c>
      <c r="R326" s="4">
        <v>0</v>
      </c>
      <c r="S326" s="4">
        <v>0</v>
      </c>
      <c r="T326" s="4">
        <v>61</v>
      </c>
      <c r="U326" s="4">
        <v>72</v>
      </c>
      <c r="V326" s="6">
        <f>IF(ISERROR(VLOOKUP($S$326,'TAR FIN'!$A$1:$O$88,15,0)),0,VLOOKUP($S$326,'TAR FIN'!$A$1:$O$88,15,0))</f>
        <v>0</v>
      </c>
      <c r="W326" s="6">
        <f>IF(ISERROR(VLOOKUP($T$326,'TAR FIN'!$A$1:$O$88,15,0)),0,VLOOKUP($T$326,'TAR FIN'!$A$1:$O$88,15,0))</f>
        <v>374.66</v>
      </c>
      <c r="X326" s="6">
        <f>IF(ISERROR(VLOOKUP($U$326,'TAR FIN'!$A$1:$O$88,15,0)),0,VLOOKUP($U$326,'TAR FIN'!$A$1:$O$88,15,0))</f>
        <v>221.96</v>
      </c>
      <c r="Y326" s="6"/>
      <c r="Z326" s="6">
        <f ca="1">('TUSD BE'!$AM$33+'TUSD BF'!$AM$33+'TUSD CVA'!$AM$33)*(1-CUSTOS!$M$38)</f>
        <v>458.58557094695544</v>
      </c>
      <c r="AA326" s="6">
        <f>('TE BE'!$AB$23+'TE BF'!$AB$23+'TE CVA'!$AB$23)*(1-CUSTOS!$M$38)</f>
        <v>236.80902583286482</v>
      </c>
      <c r="AB326" s="6">
        <f t="shared" si="16"/>
        <v>0</v>
      </c>
      <c r="AC326" s="6">
        <f>(L326-M326)*(W326+X326)+($W$165+$X$165-$W$326-$X$326)*(L326)</f>
        <v>7000.9809999999998</v>
      </c>
      <c r="AD326" s="6">
        <f t="shared" si="17"/>
        <v>0</v>
      </c>
      <c r="AE326" s="6">
        <f ca="1">(L326-M326)*(Z326+AA326)+($Z$165+$AA$165-$Z$326-$AA$326)*(L326)</f>
        <v>3819.9356807790255</v>
      </c>
      <c r="AF326" s="4" t="s">
        <v>561</v>
      </c>
    </row>
    <row r="327" spans="1:32" ht="11.25" customHeight="1" x14ac:dyDescent="0.25">
      <c r="A327" s="4" t="s">
        <v>21</v>
      </c>
      <c r="B327" s="4" t="s">
        <v>40</v>
      </c>
      <c r="C327" s="4" t="s">
        <v>23</v>
      </c>
      <c r="D327" s="4" t="s">
        <v>41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44652</v>
      </c>
      <c r="J327" s="6">
        <v>0</v>
      </c>
      <c r="K327" s="6">
        <v>0</v>
      </c>
      <c r="L327" s="6">
        <v>3507.4749999999999</v>
      </c>
      <c r="M327" s="6">
        <v>3507.4749999999999</v>
      </c>
      <c r="N327" s="6">
        <v>3507.4749999999999</v>
      </c>
      <c r="O327" s="6">
        <v>3507.4749999999999</v>
      </c>
      <c r="P327" s="6">
        <v>12048</v>
      </c>
      <c r="Q327" s="4" t="s">
        <v>26</v>
      </c>
      <c r="R327" s="4">
        <v>0</v>
      </c>
      <c r="S327" s="4">
        <v>0</v>
      </c>
      <c r="T327" s="4">
        <v>61</v>
      </c>
      <c r="U327" s="4">
        <v>72</v>
      </c>
      <c r="V327" s="6">
        <f>IF(ISERROR(VLOOKUP($S$327,'TAR FIN'!$A$1:$O$88,15,0)),0,VLOOKUP($S$327,'TAR FIN'!$A$1:$O$88,15,0))</f>
        <v>0</v>
      </c>
      <c r="W327" s="6">
        <f>IF(ISERROR(VLOOKUP($T$327,'TAR FIN'!$A$1:$O$88,15,0)),0,VLOOKUP($T$327,'TAR FIN'!$A$1:$O$88,15,0))</f>
        <v>374.66</v>
      </c>
      <c r="X327" s="6">
        <f>IF(ISERROR(VLOOKUP($U$327,'TAR FIN'!$A$1:$O$88,15,0)),0,VLOOKUP($U$327,'TAR FIN'!$A$1:$O$88,15,0))</f>
        <v>221.96</v>
      </c>
      <c r="Y327" s="6"/>
      <c r="Z327" s="6">
        <f ca="1">('TUSD BE'!$AM$33+'TUSD BF'!$AM$33+'TUSD CVA'!$AM$33)*(1-CUSTOS!$M$38)</f>
        <v>458.58557094695544</v>
      </c>
      <c r="AA327" s="6">
        <f>('TE BE'!$AB$23+'TE BF'!$AB$23+'TE CVA'!$AB$23)*(1-CUSTOS!$M$38)</f>
        <v>236.80902583286482</v>
      </c>
      <c r="AB327" s="6">
        <f t="shared" si="16"/>
        <v>0</v>
      </c>
      <c r="AC327" s="6">
        <f>(L327-M327)*(W327+X327)+($W$165+$X$165-$W$327-$X$327)*(L327)</f>
        <v>285333.09125</v>
      </c>
      <c r="AD327" s="6">
        <f t="shared" si="17"/>
        <v>0</v>
      </c>
      <c r="AE327" s="6">
        <f ca="1">(L327-M327)*(Z327+AA327)+($Z$165+$AA$165-$Z$327-$AA$327)*(L327)</f>
        <v>155685.90404299804</v>
      </c>
      <c r="AF327" s="4" t="s">
        <v>561</v>
      </c>
    </row>
    <row r="328" spans="1:32" ht="11.25" customHeight="1" x14ac:dyDescent="0.25">
      <c r="A328" s="4" t="s">
        <v>27</v>
      </c>
      <c r="B328" s="4" t="s">
        <v>40</v>
      </c>
      <c r="C328" s="4" t="s">
        <v>23</v>
      </c>
      <c r="D328" s="4" t="s">
        <v>41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44652</v>
      </c>
      <c r="J328" s="6">
        <v>0</v>
      </c>
      <c r="K328" s="6">
        <v>0</v>
      </c>
      <c r="L328" s="6">
        <v>-5.1719999999999997</v>
      </c>
      <c r="M328" s="6">
        <v>-5.1719999999999997</v>
      </c>
      <c r="N328" s="6">
        <v>-5.1719999999999997</v>
      </c>
      <c r="O328" s="6">
        <v>-5.1719999999999997</v>
      </c>
      <c r="P328" s="6">
        <v>0</v>
      </c>
      <c r="Q328" s="4" t="s">
        <v>26</v>
      </c>
      <c r="R328" s="4">
        <v>0</v>
      </c>
      <c r="S328" s="4">
        <v>0</v>
      </c>
      <c r="T328" s="4">
        <v>61</v>
      </c>
      <c r="U328" s="4">
        <v>72</v>
      </c>
      <c r="V328" s="6">
        <f>IF(ISERROR(VLOOKUP($S$328,'TAR FIN'!$A$1:$O$88,15,0)),0,VLOOKUP($S$328,'TAR FIN'!$A$1:$O$88,15,0))</f>
        <v>0</v>
      </c>
      <c r="W328" s="6">
        <f>IF(ISERROR(VLOOKUP($T$328,'TAR FIN'!$A$1:$O$88,15,0)),0,VLOOKUP($T$328,'TAR FIN'!$A$1:$O$88,15,0))</f>
        <v>374.66</v>
      </c>
      <c r="X328" s="6">
        <f>IF(ISERROR(VLOOKUP($U$328,'TAR FIN'!$A$1:$O$88,15,0)),0,VLOOKUP($U$328,'TAR FIN'!$A$1:$O$88,15,0))</f>
        <v>221.96</v>
      </c>
      <c r="Y328" s="6"/>
      <c r="Z328" s="6">
        <f ca="1">('TUSD BE'!$AM$33+'TUSD BF'!$AM$33+'TUSD CVA'!$AM$33)*(1-CUSTOS!$M$38)</f>
        <v>458.58557094695544</v>
      </c>
      <c r="AA328" s="6">
        <f>('TE BE'!$AB$23+'TE BF'!$AB$23+'TE CVA'!$AB$23)*(1-CUSTOS!$M$38)</f>
        <v>236.80902583286482</v>
      </c>
      <c r="AB328" s="6">
        <f t="shared" si="16"/>
        <v>0</v>
      </c>
      <c r="AC328" s="6">
        <f>(L328-M328)*(W328+X328)+($W$165+$X$165-$W$328-$X$328)*(L328)</f>
        <v>-420.74219999999997</v>
      </c>
      <c r="AD328" s="6">
        <f t="shared" si="17"/>
        <v>0</v>
      </c>
      <c r="AE328" s="6">
        <f ca="1">(L328-M328)*(Z328+AA328)+($Z$165+$AA$165-$Z$328-$AA$328)*(L328)</f>
        <v>-229.56899071565323</v>
      </c>
      <c r="AF328" s="4" t="s">
        <v>561</v>
      </c>
    </row>
    <row r="329" spans="1:32" ht="11.25" customHeight="1" x14ac:dyDescent="0.25">
      <c r="A329" s="4" t="s">
        <v>28</v>
      </c>
      <c r="B329" s="4" t="s">
        <v>40</v>
      </c>
      <c r="C329" s="4" t="s">
        <v>23</v>
      </c>
      <c r="D329" s="4" t="s">
        <v>41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44652</v>
      </c>
      <c r="J329" s="6">
        <v>0</v>
      </c>
      <c r="K329" s="6">
        <v>0</v>
      </c>
      <c r="L329" s="6">
        <v>178.11600000000001</v>
      </c>
      <c r="M329" s="6">
        <v>178.11600000000001</v>
      </c>
      <c r="N329" s="6">
        <v>178.11600000000001</v>
      </c>
      <c r="O329" s="6">
        <v>178.11600000000001</v>
      </c>
      <c r="P329" s="6">
        <v>957</v>
      </c>
      <c r="Q329" s="4" t="s">
        <v>26</v>
      </c>
      <c r="R329" s="4">
        <v>0</v>
      </c>
      <c r="S329" s="4">
        <v>0</v>
      </c>
      <c r="T329" s="4">
        <v>61</v>
      </c>
      <c r="U329" s="4">
        <v>72</v>
      </c>
      <c r="V329" s="6">
        <f>IF(ISERROR(VLOOKUP($S$329,'TAR FIN'!$A$1:$O$88,15,0)),0,VLOOKUP($S$329,'TAR FIN'!$A$1:$O$88,15,0))</f>
        <v>0</v>
      </c>
      <c r="W329" s="6">
        <f>IF(ISERROR(VLOOKUP($T$329,'TAR FIN'!$A$1:$O$88,15,0)),0,VLOOKUP($T$329,'TAR FIN'!$A$1:$O$88,15,0))</f>
        <v>374.66</v>
      </c>
      <c r="X329" s="6">
        <f>IF(ISERROR(VLOOKUP($U$329,'TAR FIN'!$A$1:$O$88,15,0)),0,VLOOKUP($U$329,'TAR FIN'!$A$1:$O$88,15,0))</f>
        <v>221.96</v>
      </c>
      <c r="Y329" s="6"/>
      <c r="Z329" s="6">
        <f ca="1">('TUSD BE'!$AM$33+'TUSD BF'!$AM$33+'TUSD CVA'!$AM$33)*(1-CUSTOS!$M$38)</f>
        <v>458.58557094695544</v>
      </c>
      <c r="AA329" s="6">
        <f>('TE BE'!$AB$23+'TE BF'!$AB$23+'TE CVA'!$AB$23)*(1-CUSTOS!$M$38)</f>
        <v>236.80902583286482</v>
      </c>
      <c r="AB329" s="6">
        <f t="shared" si="16"/>
        <v>0</v>
      </c>
      <c r="AC329" s="6">
        <f>(L329-M329)*(W329+X329)+($W$165+$X$165-$W$329-$X$329)*(L329)</f>
        <v>14489.7366</v>
      </c>
      <c r="AD329" s="6">
        <f t="shared" si="17"/>
        <v>0</v>
      </c>
      <c r="AE329" s="6">
        <f ca="1">(L329-M329)*(Z329+AA329)+($Z$165+$AA$165-$Z$329-$AA$329)*(L329)</f>
        <v>7906.0151489383788</v>
      </c>
      <c r="AF329" s="4" t="s">
        <v>561</v>
      </c>
    </row>
    <row r="330" spans="1:32" ht="11.25" customHeight="1" x14ac:dyDescent="0.25">
      <c r="A330" s="4" t="s">
        <v>28</v>
      </c>
      <c r="B330" s="4" t="s">
        <v>40</v>
      </c>
      <c r="C330" s="4" t="s">
        <v>23</v>
      </c>
      <c r="D330" s="4" t="s">
        <v>41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44652</v>
      </c>
      <c r="J330" s="6">
        <v>0</v>
      </c>
      <c r="K330" s="6">
        <v>0</v>
      </c>
      <c r="L330" s="6">
        <v>-0.439</v>
      </c>
      <c r="M330" s="6">
        <v>-0.439</v>
      </c>
      <c r="N330" s="6">
        <v>-0.439</v>
      </c>
      <c r="O330" s="6">
        <v>-0.439</v>
      </c>
      <c r="P330" s="6">
        <v>2</v>
      </c>
      <c r="Q330" s="4" t="s">
        <v>26</v>
      </c>
      <c r="R330" s="4">
        <v>0</v>
      </c>
      <c r="S330" s="4">
        <v>0</v>
      </c>
      <c r="T330" s="4">
        <v>61</v>
      </c>
      <c r="U330" s="4">
        <v>72</v>
      </c>
      <c r="V330" s="6">
        <f>IF(ISERROR(VLOOKUP($S$330,'TAR FIN'!$A$1:$O$88,15,0)),0,VLOOKUP($S$330,'TAR FIN'!$A$1:$O$88,15,0))</f>
        <v>0</v>
      </c>
      <c r="W330" s="6">
        <f>IF(ISERROR(VLOOKUP($T$330,'TAR FIN'!$A$1:$O$88,15,0)),0,VLOOKUP($T$330,'TAR FIN'!$A$1:$O$88,15,0))</f>
        <v>374.66</v>
      </c>
      <c r="X330" s="6">
        <f>IF(ISERROR(VLOOKUP($U$330,'TAR FIN'!$A$1:$O$88,15,0)),0,VLOOKUP($U$330,'TAR FIN'!$A$1:$O$88,15,0))</f>
        <v>221.96</v>
      </c>
      <c r="Y330" s="6"/>
      <c r="Z330" s="6">
        <f ca="1">('TUSD BE'!$AM$33+'TUSD BF'!$AM$33+'TUSD CVA'!$AM$33)*(1-CUSTOS!$M$38)</f>
        <v>458.58557094695544</v>
      </c>
      <c r="AA330" s="6">
        <f>('TE BE'!$AB$23+'TE BF'!$AB$23+'TE CVA'!$AB$23)*(1-CUSTOS!$M$38)</f>
        <v>236.80902583286482</v>
      </c>
      <c r="AB330" s="6">
        <f t="shared" si="16"/>
        <v>0</v>
      </c>
      <c r="AC330" s="6">
        <f>(L330-M330)*(W330+X330)+($W$165+$X$165-$W$330-$X$330)*(L330)</f>
        <v>-35.712649999999996</v>
      </c>
      <c r="AD330" s="6">
        <f t="shared" si="17"/>
        <v>0</v>
      </c>
      <c r="AE330" s="6">
        <f ca="1">(L330-M330)*(Z330+AA330)+($Z$165+$AA$165-$Z$330-$AA$330)*(L330)</f>
        <v>-19.485844339553708</v>
      </c>
      <c r="AF330" s="4" t="s">
        <v>561</v>
      </c>
    </row>
    <row r="331" spans="1:32" ht="11.25" customHeight="1" x14ac:dyDescent="0.25">
      <c r="A331" s="4" t="s">
        <v>21</v>
      </c>
      <c r="B331" s="4" t="s">
        <v>40</v>
      </c>
      <c r="C331" s="4" t="s">
        <v>23</v>
      </c>
      <c r="D331" s="4" t="s">
        <v>41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44682</v>
      </c>
      <c r="J331" s="6">
        <v>0</v>
      </c>
      <c r="K331" s="6">
        <v>0</v>
      </c>
      <c r="L331" s="6">
        <v>2998.78</v>
      </c>
      <c r="M331" s="6">
        <v>2998.78</v>
      </c>
      <c r="N331" s="6">
        <v>2998.78</v>
      </c>
      <c r="O331" s="6">
        <v>2998.78</v>
      </c>
      <c r="P331" s="6">
        <v>12028</v>
      </c>
      <c r="Q331" s="4" t="s">
        <v>26</v>
      </c>
      <c r="R331" s="4">
        <v>0</v>
      </c>
      <c r="S331" s="4">
        <v>0</v>
      </c>
      <c r="T331" s="4">
        <v>61</v>
      </c>
      <c r="U331" s="4">
        <v>72</v>
      </c>
      <c r="V331" s="6">
        <f>IF(ISERROR(VLOOKUP($S$331,'TAR FIN'!$A$1:$O$88,15,0)),0,VLOOKUP($S$331,'TAR FIN'!$A$1:$O$88,15,0))</f>
        <v>0</v>
      </c>
      <c r="W331" s="6">
        <f>IF(ISERROR(VLOOKUP($T$331,'TAR FIN'!$A$1:$O$88,15,0)),0,VLOOKUP($T$331,'TAR FIN'!$A$1:$O$88,15,0))</f>
        <v>374.66</v>
      </c>
      <c r="X331" s="6">
        <f>IF(ISERROR(VLOOKUP($U$331,'TAR FIN'!$A$1:$O$88,15,0)),0,VLOOKUP($U$331,'TAR FIN'!$A$1:$O$88,15,0))</f>
        <v>221.96</v>
      </c>
      <c r="Y331" s="6"/>
      <c r="Z331" s="6">
        <f ca="1">('TUSD BE'!$AM$33+'TUSD BF'!$AM$33+'TUSD CVA'!$AM$33)*(1-CUSTOS!$M$38)</f>
        <v>458.58557094695544</v>
      </c>
      <c r="AA331" s="6">
        <f>('TE BE'!$AB$23+'TE BF'!$AB$23+'TE CVA'!$AB$23)*(1-CUSTOS!$M$38)</f>
        <v>236.80902583286482</v>
      </c>
      <c r="AB331" s="6">
        <f t="shared" si="16"/>
        <v>0</v>
      </c>
      <c r="AC331" s="6">
        <f>(L331-M331)*(W331+X331)+($W$165+$X$165-$W$331-$X$331)*(L331)</f>
        <v>243950.753</v>
      </c>
      <c r="AD331" s="6">
        <f t="shared" si="17"/>
        <v>0</v>
      </c>
      <c r="AE331" s="6">
        <f ca="1">(L331-M331)*(Z331+AA331)+($Z$165+$AA$165-$Z$331-$AA$331)*(L331)</f>
        <v>133106.51546370584</v>
      </c>
      <c r="AF331" s="4" t="s">
        <v>561</v>
      </c>
    </row>
    <row r="332" spans="1:32" ht="11.25" customHeight="1" x14ac:dyDescent="0.25">
      <c r="A332" s="4" t="s">
        <v>27</v>
      </c>
      <c r="B332" s="4" t="s">
        <v>40</v>
      </c>
      <c r="C332" s="4" t="s">
        <v>23</v>
      </c>
      <c r="D332" s="4" t="s">
        <v>41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44682</v>
      </c>
      <c r="J332" s="6">
        <v>0</v>
      </c>
      <c r="K332" s="6">
        <v>0</v>
      </c>
      <c r="L332" s="6">
        <v>-3.1880000000000002</v>
      </c>
      <c r="M332" s="6">
        <v>-3.1880000000000002</v>
      </c>
      <c r="N332" s="6">
        <v>-3.1880000000000002</v>
      </c>
      <c r="O332" s="6">
        <v>-3.1880000000000002</v>
      </c>
      <c r="P332" s="6">
        <v>0</v>
      </c>
      <c r="Q332" s="4" t="s">
        <v>26</v>
      </c>
      <c r="R332" s="4">
        <v>0</v>
      </c>
      <c r="S332" s="4">
        <v>0</v>
      </c>
      <c r="T332" s="4">
        <v>61</v>
      </c>
      <c r="U332" s="4">
        <v>72</v>
      </c>
      <c r="V332" s="6">
        <f>IF(ISERROR(VLOOKUP($S$332,'TAR FIN'!$A$1:$O$88,15,0)),0,VLOOKUP($S$332,'TAR FIN'!$A$1:$O$88,15,0))</f>
        <v>0</v>
      </c>
      <c r="W332" s="6">
        <f>IF(ISERROR(VLOOKUP($T$332,'TAR FIN'!$A$1:$O$88,15,0)),0,VLOOKUP($T$332,'TAR FIN'!$A$1:$O$88,15,0))</f>
        <v>374.66</v>
      </c>
      <c r="X332" s="6">
        <f>IF(ISERROR(VLOOKUP($U$332,'TAR FIN'!$A$1:$O$88,15,0)),0,VLOOKUP($U$332,'TAR FIN'!$A$1:$O$88,15,0))</f>
        <v>221.96</v>
      </c>
      <c r="Y332" s="6"/>
      <c r="Z332" s="6">
        <f ca="1">('TUSD BE'!$AM$33+'TUSD BF'!$AM$33+'TUSD CVA'!$AM$33)*(1-CUSTOS!$M$38)</f>
        <v>458.58557094695544</v>
      </c>
      <c r="AA332" s="6">
        <f>('TE BE'!$AB$23+'TE BF'!$AB$23+'TE CVA'!$AB$23)*(1-CUSTOS!$M$38)</f>
        <v>236.80902583286482</v>
      </c>
      <c r="AB332" s="6">
        <f t="shared" si="16"/>
        <v>0</v>
      </c>
      <c r="AC332" s="6">
        <f>(L332-M332)*(W332+X332)+($W$165+$X$165-$W$332-$X$332)*(L332)</f>
        <v>-259.34379999999999</v>
      </c>
      <c r="AD332" s="6">
        <f t="shared" si="17"/>
        <v>0</v>
      </c>
      <c r="AE332" s="6">
        <f ca="1">(L332-M332)*(Z332+AA332)+($Z$165+$AA$165-$Z$332-$AA$332)*(L332)</f>
        <v>-141.50540262983421</v>
      </c>
      <c r="AF332" s="4" t="s">
        <v>561</v>
      </c>
    </row>
    <row r="333" spans="1:32" ht="11.25" customHeight="1" x14ac:dyDescent="0.25">
      <c r="A333" s="4" t="s">
        <v>28</v>
      </c>
      <c r="B333" s="4" t="s">
        <v>40</v>
      </c>
      <c r="C333" s="4" t="s">
        <v>23</v>
      </c>
      <c r="D333" s="4" t="s">
        <v>41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44682</v>
      </c>
      <c r="J333" s="6">
        <v>0</v>
      </c>
      <c r="K333" s="6">
        <v>0</v>
      </c>
      <c r="L333" s="6">
        <v>168.28399999999999</v>
      </c>
      <c r="M333" s="6">
        <v>168.28399999999999</v>
      </c>
      <c r="N333" s="6">
        <v>168.28399999999999</v>
      </c>
      <c r="O333" s="6">
        <v>168.28399999999999</v>
      </c>
      <c r="P333" s="6">
        <v>954</v>
      </c>
      <c r="Q333" s="4" t="s">
        <v>26</v>
      </c>
      <c r="R333" s="4">
        <v>0</v>
      </c>
      <c r="S333" s="4">
        <v>0</v>
      </c>
      <c r="T333" s="4">
        <v>61</v>
      </c>
      <c r="U333" s="4">
        <v>72</v>
      </c>
      <c r="V333" s="6">
        <f>IF(ISERROR(VLOOKUP($S$333,'TAR FIN'!$A$1:$O$88,15,0)),0,VLOOKUP($S$333,'TAR FIN'!$A$1:$O$88,15,0))</f>
        <v>0</v>
      </c>
      <c r="W333" s="6">
        <f>IF(ISERROR(VLOOKUP($T$333,'TAR FIN'!$A$1:$O$88,15,0)),0,VLOOKUP($T$333,'TAR FIN'!$A$1:$O$88,15,0))</f>
        <v>374.66</v>
      </c>
      <c r="X333" s="6">
        <f>IF(ISERROR(VLOOKUP($U$333,'TAR FIN'!$A$1:$O$88,15,0)),0,VLOOKUP($U$333,'TAR FIN'!$A$1:$O$88,15,0))</f>
        <v>221.96</v>
      </c>
      <c r="Y333" s="6"/>
      <c r="Z333" s="6">
        <f ca="1">('TUSD BE'!$AM$33+'TUSD BF'!$AM$33+'TUSD CVA'!$AM$33)*(1-CUSTOS!$M$38)</f>
        <v>458.58557094695544</v>
      </c>
      <c r="AA333" s="6">
        <f>('TE BE'!$AB$23+'TE BF'!$AB$23+'TE CVA'!$AB$23)*(1-CUSTOS!$M$38)</f>
        <v>236.80902583286482</v>
      </c>
      <c r="AB333" s="6">
        <f t="shared" si="16"/>
        <v>0</v>
      </c>
      <c r="AC333" s="6">
        <f>(L333-M333)*(W333+X333)+($W$165+$X$165-$W$333-$X$333)*(L333)</f>
        <v>13689.903399999999</v>
      </c>
      <c r="AD333" s="6">
        <f t="shared" si="17"/>
        <v>0</v>
      </c>
      <c r="AE333" s="6">
        <f ca="1">(L333-M333)*(Z333+AA333)+($Z$165+$AA$165-$Z$333-$AA$333)*(L333)</f>
        <v>7469.6032547550249</v>
      </c>
      <c r="AF333" s="4" t="s">
        <v>561</v>
      </c>
    </row>
    <row r="334" spans="1:32" ht="11.25" customHeight="1" x14ac:dyDescent="0.25">
      <c r="A334" s="4" t="s">
        <v>28</v>
      </c>
      <c r="B334" s="4" t="s">
        <v>40</v>
      </c>
      <c r="C334" s="4" t="s">
        <v>23</v>
      </c>
      <c r="D334" s="4" t="s">
        <v>41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44682</v>
      </c>
      <c r="J334" s="6">
        <v>0</v>
      </c>
      <c r="K334" s="6">
        <v>0</v>
      </c>
      <c r="L334" s="6">
        <v>-0.61499999999999999</v>
      </c>
      <c r="M334" s="6">
        <v>-0.61499999999999999</v>
      </c>
      <c r="N334" s="6">
        <v>-0.61499999999999999</v>
      </c>
      <c r="O334" s="6">
        <v>-0.61499999999999999</v>
      </c>
      <c r="P334" s="6">
        <v>6</v>
      </c>
      <c r="Q334" s="4" t="s">
        <v>26</v>
      </c>
      <c r="R334" s="4">
        <v>0</v>
      </c>
      <c r="S334" s="4">
        <v>0</v>
      </c>
      <c r="T334" s="4">
        <v>61</v>
      </c>
      <c r="U334" s="4">
        <v>72</v>
      </c>
      <c r="V334" s="6">
        <f>IF(ISERROR(VLOOKUP($S$334,'TAR FIN'!$A$1:$O$88,15,0)),0,VLOOKUP($S$334,'TAR FIN'!$A$1:$O$88,15,0))</f>
        <v>0</v>
      </c>
      <c r="W334" s="6">
        <f>IF(ISERROR(VLOOKUP($T$334,'TAR FIN'!$A$1:$O$88,15,0)),0,VLOOKUP($T$334,'TAR FIN'!$A$1:$O$88,15,0))</f>
        <v>374.66</v>
      </c>
      <c r="X334" s="6">
        <f>IF(ISERROR(VLOOKUP($U$334,'TAR FIN'!$A$1:$O$88,15,0)),0,VLOOKUP($U$334,'TAR FIN'!$A$1:$O$88,15,0))</f>
        <v>221.96</v>
      </c>
      <c r="Y334" s="6"/>
      <c r="Z334" s="6">
        <f ca="1">('TUSD BE'!$AM$33+'TUSD BF'!$AM$33+'TUSD CVA'!$AM$33)*(1-CUSTOS!$M$38)</f>
        <v>458.58557094695544</v>
      </c>
      <c r="AA334" s="6">
        <f>('TE BE'!$AB$23+'TE BF'!$AB$23+'TE CVA'!$AB$23)*(1-CUSTOS!$M$38)</f>
        <v>236.80902583286482</v>
      </c>
      <c r="AB334" s="6">
        <f t="shared" si="16"/>
        <v>0</v>
      </c>
      <c r="AC334" s="6">
        <f>(L334-M334)*(W334+X334)+($W$165+$X$165-$W$334-$X$334)*(L334)</f>
        <v>-50.030249999999995</v>
      </c>
      <c r="AD334" s="6">
        <f t="shared" si="17"/>
        <v>0</v>
      </c>
      <c r="AE334" s="6">
        <f ca="1">(L334-M334)*(Z334+AA334)+($Z$165+$AA$165-$Z$334-$AA$334)*(L334)</f>
        <v>-27.297936831037653</v>
      </c>
      <c r="AF334" s="4" t="s">
        <v>561</v>
      </c>
    </row>
    <row r="335" spans="1:32" ht="11.25" customHeight="1" x14ac:dyDescent="0.25">
      <c r="A335" s="4" t="s">
        <v>21</v>
      </c>
      <c r="B335" s="4" t="s">
        <v>40</v>
      </c>
      <c r="C335" s="4" t="s">
        <v>23</v>
      </c>
      <c r="D335" s="4" t="s">
        <v>41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44713</v>
      </c>
      <c r="J335" s="6">
        <v>0</v>
      </c>
      <c r="K335" s="6">
        <v>0</v>
      </c>
      <c r="L335" s="6">
        <v>2641.9630000000002</v>
      </c>
      <c r="M335" s="6">
        <v>2641.9630000000002</v>
      </c>
      <c r="N335" s="6">
        <v>2641.9630000000002</v>
      </c>
      <c r="O335" s="6">
        <v>2641.9630000000002</v>
      </c>
      <c r="P335" s="6">
        <v>11940</v>
      </c>
      <c r="Q335" s="4" t="s">
        <v>26</v>
      </c>
      <c r="R335" s="4">
        <v>0</v>
      </c>
      <c r="S335" s="4">
        <v>0</v>
      </c>
      <c r="T335" s="4">
        <v>61</v>
      </c>
      <c r="U335" s="4">
        <v>72</v>
      </c>
      <c r="V335" s="6">
        <f>IF(ISERROR(VLOOKUP($S$335,'TAR FIN'!$A$1:$O$88,15,0)),0,VLOOKUP($S$335,'TAR FIN'!$A$1:$O$88,15,0))</f>
        <v>0</v>
      </c>
      <c r="W335" s="6">
        <f>IF(ISERROR(VLOOKUP($T$335,'TAR FIN'!$A$1:$O$88,15,0)),0,VLOOKUP($T$335,'TAR FIN'!$A$1:$O$88,15,0))</f>
        <v>374.66</v>
      </c>
      <c r="X335" s="6">
        <f>IF(ISERROR(VLOOKUP($U$335,'TAR FIN'!$A$1:$O$88,15,0)),0,VLOOKUP($U$335,'TAR FIN'!$A$1:$O$88,15,0))</f>
        <v>221.96</v>
      </c>
      <c r="Y335" s="6"/>
      <c r="Z335" s="6">
        <f ca="1">('TUSD BE'!$AM$33+'TUSD BF'!$AM$33+'TUSD CVA'!$AM$33)*(1-CUSTOS!$M$38)</f>
        <v>458.58557094695544</v>
      </c>
      <c r="AA335" s="6">
        <f>('TE BE'!$AB$23+'TE BF'!$AB$23+'TE CVA'!$AB$23)*(1-CUSTOS!$M$38)</f>
        <v>236.80902583286482</v>
      </c>
      <c r="AB335" s="6">
        <f t="shared" si="16"/>
        <v>0</v>
      </c>
      <c r="AC335" s="6">
        <f>(L335-M335)*(W335+X335)+($W$165+$X$165-$W$335-$X$335)*(L335)</f>
        <v>214923.69005</v>
      </c>
      <c r="AD335" s="6">
        <f t="shared" si="17"/>
        <v>0</v>
      </c>
      <c r="AE335" s="6">
        <f ca="1">(L335-M335)*(Z335+AA335)+($Z$165+$AA$165-$Z$335-$AA$335)*(L335)</f>
        <v>117268.51883567274</v>
      </c>
      <c r="AF335" s="4" t="s">
        <v>561</v>
      </c>
    </row>
    <row r="336" spans="1:32" ht="11.25" customHeight="1" x14ac:dyDescent="0.25">
      <c r="A336" s="4" t="s">
        <v>27</v>
      </c>
      <c r="B336" s="4" t="s">
        <v>40</v>
      </c>
      <c r="C336" s="4" t="s">
        <v>23</v>
      </c>
      <c r="D336" s="4" t="s">
        <v>41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44713</v>
      </c>
      <c r="J336" s="6">
        <v>0</v>
      </c>
      <c r="K336" s="6">
        <v>0</v>
      </c>
      <c r="L336" s="6">
        <v>-0.71799999999999997</v>
      </c>
      <c r="M336" s="6">
        <v>-0.71799999999999997</v>
      </c>
      <c r="N336" s="6">
        <v>-0.71799999999999997</v>
      </c>
      <c r="O336" s="6">
        <v>-0.71799999999999997</v>
      </c>
      <c r="P336" s="6">
        <v>0</v>
      </c>
      <c r="Q336" s="4" t="s">
        <v>26</v>
      </c>
      <c r="R336" s="4">
        <v>0</v>
      </c>
      <c r="S336" s="4">
        <v>0</v>
      </c>
      <c r="T336" s="4">
        <v>61</v>
      </c>
      <c r="U336" s="4">
        <v>72</v>
      </c>
      <c r="V336" s="6">
        <f>IF(ISERROR(VLOOKUP($S$336,'TAR FIN'!$A$1:$O$88,15,0)),0,VLOOKUP($S$336,'TAR FIN'!$A$1:$O$88,15,0))</f>
        <v>0</v>
      </c>
      <c r="W336" s="6">
        <f>IF(ISERROR(VLOOKUP($T$336,'TAR FIN'!$A$1:$O$88,15,0)),0,VLOOKUP($T$336,'TAR FIN'!$A$1:$O$88,15,0))</f>
        <v>374.66</v>
      </c>
      <c r="X336" s="6">
        <f>IF(ISERROR(VLOOKUP($U$336,'TAR FIN'!$A$1:$O$88,15,0)),0,VLOOKUP($U$336,'TAR FIN'!$A$1:$O$88,15,0))</f>
        <v>221.96</v>
      </c>
      <c r="Y336" s="6"/>
      <c r="Z336" s="6">
        <f ca="1">('TUSD BE'!$AM$33+'TUSD BF'!$AM$33+'TUSD CVA'!$AM$33)*(1-CUSTOS!$M$38)</f>
        <v>458.58557094695544</v>
      </c>
      <c r="AA336" s="6">
        <f>('TE BE'!$AB$23+'TE BF'!$AB$23+'TE CVA'!$AB$23)*(1-CUSTOS!$M$38)</f>
        <v>236.80902583286482</v>
      </c>
      <c r="AB336" s="6">
        <f t="shared" si="16"/>
        <v>0</v>
      </c>
      <c r="AC336" s="6">
        <f>(L336-M336)*(W336+X336)+($W$165+$X$165-$W$336-$X$336)*(L336)</f>
        <v>-58.409299999999995</v>
      </c>
      <c r="AD336" s="6">
        <f t="shared" si="17"/>
        <v>0</v>
      </c>
      <c r="AE336" s="6">
        <f ca="1">(L336-M336)*(Z336+AA336)+($Z$165+$AA$165-$Z$336-$AA$336)*(L336)</f>
        <v>-31.869786414122007</v>
      </c>
      <c r="AF336" s="4" t="s">
        <v>561</v>
      </c>
    </row>
    <row r="337" spans="1:32" ht="11.25" customHeight="1" x14ac:dyDescent="0.25">
      <c r="A337" s="4" t="s">
        <v>28</v>
      </c>
      <c r="B337" s="4" t="s">
        <v>40</v>
      </c>
      <c r="C337" s="4" t="s">
        <v>23</v>
      </c>
      <c r="D337" s="4" t="s">
        <v>41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44713</v>
      </c>
      <c r="J337" s="6">
        <v>0</v>
      </c>
      <c r="K337" s="6">
        <v>0</v>
      </c>
      <c r="L337" s="6">
        <v>189.661</v>
      </c>
      <c r="M337" s="6">
        <v>189.661</v>
      </c>
      <c r="N337" s="6">
        <v>189.661</v>
      </c>
      <c r="O337" s="6">
        <v>189.661</v>
      </c>
      <c r="P337" s="6">
        <v>1027</v>
      </c>
      <c r="Q337" s="4" t="s">
        <v>26</v>
      </c>
      <c r="R337" s="4">
        <v>0</v>
      </c>
      <c r="S337" s="4">
        <v>0</v>
      </c>
      <c r="T337" s="4">
        <v>61</v>
      </c>
      <c r="U337" s="4">
        <v>72</v>
      </c>
      <c r="V337" s="6">
        <f>IF(ISERROR(VLOOKUP($S$337,'TAR FIN'!$A$1:$O$88,15,0)),0,VLOOKUP($S$337,'TAR FIN'!$A$1:$O$88,15,0))</f>
        <v>0</v>
      </c>
      <c r="W337" s="6">
        <f>IF(ISERROR(VLOOKUP($T$337,'TAR FIN'!$A$1:$O$88,15,0)),0,VLOOKUP($T$337,'TAR FIN'!$A$1:$O$88,15,0))</f>
        <v>374.66</v>
      </c>
      <c r="X337" s="6">
        <f>IF(ISERROR(VLOOKUP($U$337,'TAR FIN'!$A$1:$O$88,15,0)),0,VLOOKUP($U$337,'TAR FIN'!$A$1:$O$88,15,0))</f>
        <v>221.96</v>
      </c>
      <c r="Y337" s="6"/>
      <c r="Z337" s="6">
        <f ca="1">('TUSD BE'!$AM$33+'TUSD BF'!$AM$33+'TUSD CVA'!$AM$33)*(1-CUSTOS!$M$38)</f>
        <v>458.58557094695544</v>
      </c>
      <c r="AA337" s="6">
        <f>('TE BE'!$AB$23+'TE BF'!$AB$23+'TE CVA'!$AB$23)*(1-CUSTOS!$M$38)</f>
        <v>236.80902583286482</v>
      </c>
      <c r="AB337" s="6">
        <f t="shared" si="16"/>
        <v>0</v>
      </c>
      <c r="AC337" s="6">
        <f>(L337-M337)*(W337+X337)+($W$165+$X$165-$W$337-$X$337)*(L337)</f>
        <v>15428.922349999999</v>
      </c>
      <c r="AD337" s="6">
        <f t="shared" si="17"/>
        <v>0</v>
      </c>
      <c r="AE337" s="6">
        <f ca="1">(L337-M337)*(Z337+AA337)+($Z$165+$AA$165-$Z$337-$AA$337)*(L337)</f>
        <v>8418.4617842462321</v>
      </c>
      <c r="AF337" s="4" t="s">
        <v>561</v>
      </c>
    </row>
    <row r="338" spans="1:32" ht="11.25" customHeight="1" x14ac:dyDescent="0.25">
      <c r="A338" s="4" t="s">
        <v>28</v>
      </c>
      <c r="B338" s="4" t="s">
        <v>40</v>
      </c>
      <c r="C338" s="4" t="s">
        <v>23</v>
      </c>
      <c r="D338" s="4" t="s">
        <v>41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44713</v>
      </c>
      <c r="J338" s="6">
        <v>0</v>
      </c>
      <c r="K338" s="6">
        <v>0</v>
      </c>
      <c r="L338" s="6">
        <v>-2.3580000000000001</v>
      </c>
      <c r="M338" s="6">
        <v>-2.3580000000000001</v>
      </c>
      <c r="N338" s="6">
        <v>-2.3580000000000001</v>
      </c>
      <c r="O338" s="6">
        <v>-2.3580000000000001</v>
      </c>
      <c r="P338" s="6">
        <v>7</v>
      </c>
      <c r="Q338" s="4" t="s">
        <v>26</v>
      </c>
      <c r="R338" s="4">
        <v>0</v>
      </c>
      <c r="S338" s="4">
        <v>0</v>
      </c>
      <c r="T338" s="4">
        <v>61</v>
      </c>
      <c r="U338" s="4">
        <v>72</v>
      </c>
      <c r="V338" s="6">
        <f>IF(ISERROR(VLOOKUP($S$338,'TAR FIN'!$A$1:$O$88,15,0)),0,VLOOKUP($S$338,'TAR FIN'!$A$1:$O$88,15,0))</f>
        <v>0</v>
      </c>
      <c r="W338" s="6">
        <f>IF(ISERROR(VLOOKUP($T$338,'TAR FIN'!$A$1:$O$88,15,0)),0,VLOOKUP($T$338,'TAR FIN'!$A$1:$O$88,15,0))</f>
        <v>374.66</v>
      </c>
      <c r="X338" s="6">
        <f>IF(ISERROR(VLOOKUP($U$338,'TAR FIN'!$A$1:$O$88,15,0)),0,VLOOKUP($U$338,'TAR FIN'!$A$1:$O$88,15,0))</f>
        <v>221.96</v>
      </c>
      <c r="Y338" s="6"/>
      <c r="Z338" s="6">
        <f ca="1">('TUSD BE'!$AM$33+'TUSD BF'!$AM$33+'TUSD CVA'!$AM$33)*(1-CUSTOS!$M$38)</f>
        <v>458.58557094695544</v>
      </c>
      <c r="AA338" s="6">
        <f>('TE BE'!$AB$23+'TE BF'!$AB$23+'TE CVA'!$AB$23)*(1-CUSTOS!$M$38)</f>
        <v>236.80902583286482</v>
      </c>
      <c r="AB338" s="6">
        <f t="shared" si="16"/>
        <v>0</v>
      </c>
      <c r="AC338" s="6">
        <f>(L338-M338)*(W338+X338)+($W$165+$X$165-$W$338-$X$338)*(L338)</f>
        <v>-191.82329999999999</v>
      </c>
      <c r="AD338" s="6">
        <f t="shared" si="17"/>
        <v>0</v>
      </c>
      <c r="AE338" s="6">
        <f ca="1">(L338-M338)*(Z338+AA338)+($Z$165+$AA$165-$Z$338-$AA$338)*(L338)</f>
        <v>-104.66428463022243</v>
      </c>
      <c r="AF338" s="4" t="s">
        <v>561</v>
      </c>
    </row>
    <row r="339" spans="1:32" ht="11.25" customHeight="1" x14ac:dyDescent="0.25">
      <c r="A339" s="4" t="s">
        <v>21</v>
      </c>
      <c r="B339" s="4" t="s">
        <v>33</v>
      </c>
      <c r="C339" s="4" t="s">
        <v>23</v>
      </c>
      <c r="D339" s="4" t="s">
        <v>46</v>
      </c>
      <c r="E339" s="4" t="s">
        <v>47</v>
      </c>
      <c r="F339" s="4" t="s">
        <v>25</v>
      </c>
      <c r="G339" s="4" t="s">
        <v>25</v>
      </c>
      <c r="H339" s="4" t="s">
        <v>25</v>
      </c>
      <c r="I339" s="5">
        <v>44378</v>
      </c>
      <c r="J339" s="6">
        <v>0</v>
      </c>
      <c r="K339" s="52">
        <v>0</v>
      </c>
      <c r="L339" s="6">
        <v>79.802999999999997</v>
      </c>
      <c r="M339" s="52">
        <v>79.802999999999997</v>
      </c>
      <c r="N339" s="6">
        <v>79.802999999999997</v>
      </c>
      <c r="O339" s="52">
        <v>79.802999999999997</v>
      </c>
      <c r="P339" s="6">
        <v>28</v>
      </c>
      <c r="Q339" s="4" t="s">
        <v>26</v>
      </c>
      <c r="R339" s="4">
        <v>0</v>
      </c>
      <c r="S339" s="4">
        <v>0</v>
      </c>
      <c r="T339" s="4">
        <v>30</v>
      </c>
      <c r="U339" s="4">
        <v>79</v>
      </c>
      <c r="V339" s="52">
        <f>IF(ISERROR(VLOOKUP($S$339,'TAR FIN'!$A$1:$O$88,15,0)),0,VLOOKUP($S$339,'TAR FIN'!$A$1:$O$88,15,0))</f>
        <v>0</v>
      </c>
      <c r="W339" s="52">
        <f>IF(ISERROR(VLOOKUP($T$339,'TAR FIN'!$A$1:$O$88,15,0)),0,VLOOKUP($T$339,'TAR FIN'!$A$1:$O$88,15,0))*(1-0.06)</f>
        <v>400.20499999999998</v>
      </c>
      <c r="X339" s="52">
        <f>IF(ISERROR(VLOOKUP($U$339,'TAR FIN'!$A$1:$O$88,15,0)),0,VLOOKUP($U$339,'TAR FIN'!$A$1:$O$88,15,0))*(1-0.06)</f>
        <v>237.08679999999998</v>
      </c>
      <c r="Y339" s="52"/>
      <c r="Z339" s="52">
        <f ca="1">('TUSD BE'!$AM$48+'TUSD BF'!$AM$48+'TUSD CVA'!$AM$48)*1*(1-0.03)</f>
        <v>473.22128065802849</v>
      </c>
      <c r="AA339" s="52">
        <f>('TE BE'!$AB$38+'TE BF'!$AB$38+'TE CVA'!$AB$38)*1*(1-0.03)</f>
        <v>244.36676069987115</v>
      </c>
      <c r="AB339" s="52">
        <f>(SUBSIDIO!$J$339*SUBSIDIO!$V$339)*(0.06)/(1-0.06)</f>
        <v>0</v>
      </c>
      <c r="AC339" s="52">
        <f>((SUBSIDIO!$L$339*SUBSIDIO!$W$339)+(SUBSIDIO!$N$339*SUBSIDIO!$X$339))*(0.06)/(1-0.06)</f>
        <v>3246.2423945999999</v>
      </c>
      <c r="AD339" s="52">
        <f>(SUBSIDIO!$J$339*SUBSIDIO!$Y$339)*(0.03)/(1-0.03)</f>
        <v>0</v>
      </c>
      <c r="AE339" s="52">
        <f ca="1">((SUBSIDIO!$L$339*SUBSIDIO!$Z$339)+(SUBSIDIO!$N$339*SUBSIDIO!$AA$339))*(0.03)/(1-0.03)</f>
        <v>1771.1034576644679</v>
      </c>
      <c r="AF339" s="4" t="s">
        <v>565</v>
      </c>
    </row>
    <row r="340" spans="1:32" ht="11.25" customHeight="1" x14ac:dyDescent="0.25">
      <c r="A340" s="4" t="s">
        <v>21</v>
      </c>
      <c r="B340" s="4" t="s">
        <v>33</v>
      </c>
      <c r="C340" s="4" t="s">
        <v>23</v>
      </c>
      <c r="D340" s="4" t="s">
        <v>46</v>
      </c>
      <c r="E340" s="4" t="s">
        <v>47</v>
      </c>
      <c r="F340" s="4" t="s">
        <v>25</v>
      </c>
      <c r="G340" s="4" t="s">
        <v>25</v>
      </c>
      <c r="H340" s="4" t="s">
        <v>25</v>
      </c>
      <c r="I340" s="5">
        <v>44409</v>
      </c>
      <c r="J340" s="6">
        <v>0</v>
      </c>
      <c r="K340" s="52">
        <v>0</v>
      </c>
      <c r="L340" s="6">
        <v>78.555999999999997</v>
      </c>
      <c r="M340" s="52">
        <v>78.555999999999997</v>
      </c>
      <c r="N340" s="6">
        <v>78.555999999999997</v>
      </c>
      <c r="O340" s="52">
        <v>78.555999999999997</v>
      </c>
      <c r="P340" s="6">
        <v>28</v>
      </c>
      <c r="Q340" s="4" t="s">
        <v>26</v>
      </c>
      <c r="R340" s="4">
        <v>0</v>
      </c>
      <c r="S340" s="4">
        <v>0</v>
      </c>
      <c r="T340" s="4">
        <v>30</v>
      </c>
      <c r="U340" s="4">
        <v>79</v>
      </c>
      <c r="V340" s="52">
        <f>IF(ISERROR(VLOOKUP($S$340,'TAR FIN'!$A$1:$O$88,15,0)),0,VLOOKUP($S$340,'TAR FIN'!$A$1:$O$88,15,0))</f>
        <v>0</v>
      </c>
      <c r="W340" s="52">
        <f>IF(ISERROR(VLOOKUP($T$340,'TAR FIN'!$A$1:$O$88,15,0)),0,VLOOKUP($T$340,'TAR FIN'!$A$1:$O$88,15,0))*(1-0.06)</f>
        <v>400.20499999999998</v>
      </c>
      <c r="X340" s="52">
        <f>IF(ISERROR(VLOOKUP($U$340,'TAR FIN'!$A$1:$O$88,15,0)),0,VLOOKUP($U$340,'TAR FIN'!$A$1:$O$88,15,0))*(1-0.06)</f>
        <v>237.08679999999998</v>
      </c>
      <c r="Y340" s="52"/>
      <c r="Z340" s="52">
        <f ca="1">('TUSD BE'!$AM$48+'TUSD BF'!$AM$48+'TUSD CVA'!$AM$48)*1*(1-0.03)</f>
        <v>473.22128065802849</v>
      </c>
      <c r="AA340" s="52">
        <f>('TE BE'!$AB$38+'TE BF'!$AB$38+'TE CVA'!$AB$38)*1*(1-0.03)</f>
        <v>244.36676069987115</v>
      </c>
      <c r="AB340" s="52">
        <f>(SUBSIDIO!$J$340*SUBSIDIO!$V$340)*(0.06)/(1-0.06)</f>
        <v>0</v>
      </c>
      <c r="AC340" s="52">
        <f>((SUBSIDIO!$L$340*SUBSIDIO!$W$340)+(SUBSIDIO!$N$340*SUBSIDIO!$X$340))*(0.06)/(1-0.06)</f>
        <v>3195.5166791999995</v>
      </c>
      <c r="AD340" s="52">
        <f>(SUBSIDIO!$J$340*SUBSIDIO!$Y$340)*(0.03)/(1-0.03)</f>
        <v>0</v>
      </c>
      <c r="AE340" s="52">
        <f ca="1">((SUBSIDIO!$L$340*SUBSIDIO!$Z$340)+(SUBSIDIO!$N$340*SUBSIDIO!$AA$340))*(0.03)/(1-0.03)</f>
        <v>1743.4282322756028</v>
      </c>
      <c r="AF340" s="4" t="s">
        <v>565</v>
      </c>
    </row>
    <row r="341" spans="1:32" ht="11.25" customHeight="1" x14ac:dyDescent="0.25">
      <c r="A341" s="4" t="s">
        <v>21</v>
      </c>
      <c r="B341" s="4" t="s">
        <v>33</v>
      </c>
      <c r="C341" s="4" t="s">
        <v>23</v>
      </c>
      <c r="D341" s="4" t="s">
        <v>46</v>
      </c>
      <c r="E341" s="4" t="s">
        <v>47</v>
      </c>
      <c r="F341" s="4" t="s">
        <v>25</v>
      </c>
      <c r="G341" s="4" t="s">
        <v>25</v>
      </c>
      <c r="H341" s="4" t="s">
        <v>25</v>
      </c>
      <c r="I341" s="5">
        <v>44440</v>
      </c>
      <c r="J341" s="6">
        <v>0</v>
      </c>
      <c r="K341" s="52">
        <v>0</v>
      </c>
      <c r="L341" s="6">
        <v>79.253</v>
      </c>
      <c r="M341" s="52">
        <v>79.253</v>
      </c>
      <c r="N341" s="6">
        <v>79.253</v>
      </c>
      <c r="O341" s="52">
        <v>79.253</v>
      </c>
      <c r="P341" s="6">
        <v>28</v>
      </c>
      <c r="Q341" s="4" t="s">
        <v>26</v>
      </c>
      <c r="R341" s="4">
        <v>0</v>
      </c>
      <c r="S341" s="4">
        <v>0</v>
      </c>
      <c r="T341" s="4">
        <v>30</v>
      </c>
      <c r="U341" s="4">
        <v>79</v>
      </c>
      <c r="V341" s="52">
        <f>IF(ISERROR(VLOOKUP($S$341,'TAR FIN'!$A$1:$O$88,15,0)),0,VLOOKUP($S$341,'TAR FIN'!$A$1:$O$88,15,0))</f>
        <v>0</v>
      </c>
      <c r="W341" s="52">
        <f>IF(ISERROR(VLOOKUP($T$341,'TAR FIN'!$A$1:$O$88,15,0)),0,VLOOKUP($T$341,'TAR FIN'!$A$1:$O$88,15,0))*(1-0.06)</f>
        <v>400.20499999999998</v>
      </c>
      <c r="X341" s="52">
        <f>IF(ISERROR(VLOOKUP($U$341,'TAR FIN'!$A$1:$O$88,15,0)),0,VLOOKUP($U$341,'TAR FIN'!$A$1:$O$88,15,0))*(1-0.06)</f>
        <v>237.08679999999998</v>
      </c>
      <c r="Y341" s="52"/>
      <c r="Z341" s="52">
        <f ca="1">('TUSD BE'!$AM$48+'TUSD BF'!$AM$48+'TUSD CVA'!$AM$48)*1*(1-0.03)</f>
        <v>473.22128065802849</v>
      </c>
      <c r="AA341" s="52">
        <f>('TE BE'!$AB$38+'TE BF'!$AB$38+'TE CVA'!$AB$38)*1*(1-0.03)</f>
        <v>244.36676069987115</v>
      </c>
      <c r="AB341" s="52">
        <f>(SUBSIDIO!$J$341*SUBSIDIO!$V$341)*(0.06)/(1-0.06)</f>
        <v>0</v>
      </c>
      <c r="AC341" s="52">
        <f>((SUBSIDIO!$L$341*SUBSIDIO!$W$341)+(SUBSIDIO!$N$341*SUBSIDIO!$X$341))*(0.06)/(1-0.06)</f>
        <v>3223.8693846000001</v>
      </c>
      <c r="AD341" s="52">
        <f>(SUBSIDIO!$J$341*SUBSIDIO!$Y$341)*(0.03)/(1-0.03)</f>
        <v>0</v>
      </c>
      <c r="AE341" s="52">
        <f ca="1">((SUBSIDIO!$L$341*SUBSIDIO!$Z$341)+(SUBSIDIO!$N$341*SUBSIDIO!$AA$341))*(0.03)/(1-0.03)</f>
        <v>1758.8970631465245</v>
      </c>
      <c r="AF341" s="4" t="s">
        <v>565</v>
      </c>
    </row>
    <row r="342" spans="1:32" ht="11.25" customHeight="1" x14ac:dyDescent="0.25">
      <c r="A342" s="4" t="s">
        <v>21</v>
      </c>
      <c r="B342" s="4" t="s">
        <v>33</v>
      </c>
      <c r="C342" s="4" t="s">
        <v>23</v>
      </c>
      <c r="D342" s="4" t="s">
        <v>46</v>
      </c>
      <c r="E342" s="4" t="s">
        <v>47</v>
      </c>
      <c r="F342" s="4" t="s">
        <v>25</v>
      </c>
      <c r="G342" s="4" t="s">
        <v>25</v>
      </c>
      <c r="H342" s="4" t="s">
        <v>25</v>
      </c>
      <c r="I342" s="5">
        <v>44470</v>
      </c>
      <c r="J342" s="6">
        <v>0</v>
      </c>
      <c r="K342" s="52">
        <v>0</v>
      </c>
      <c r="L342" s="6">
        <v>77.802999999999997</v>
      </c>
      <c r="M342" s="52">
        <v>77.802999999999997</v>
      </c>
      <c r="N342" s="6">
        <v>77.802999999999997</v>
      </c>
      <c r="O342" s="52">
        <v>77.802999999999997</v>
      </c>
      <c r="P342" s="6">
        <v>28</v>
      </c>
      <c r="Q342" s="4" t="s">
        <v>26</v>
      </c>
      <c r="R342" s="4">
        <v>0</v>
      </c>
      <c r="S342" s="4">
        <v>0</v>
      </c>
      <c r="T342" s="4">
        <v>30</v>
      </c>
      <c r="U342" s="4">
        <v>79</v>
      </c>
      <c r="V342" s="52">
        <f>IF(ISERROR(VLOOKUP($S$342,'TAR FIN'!$A$1:$O$88,15,0)),0,VLOOKUP($S$342,'TAR FIN'!$A$1:$O$88,15,0))</f>
        <v>0</v>
      </c>
      <c r="W342" s="52">
        <f>IF(ISERROR(VLOOKUP($T$342,'TAR FIN'!$A$1:$O$88,15,0)),0,VLOOKUP($T$342,'TAR FIN'!$A$1:$O$88,15,0))*(1-0.06)</f>
        <v>400.20499999999998</v>
      </c>
      <c r="X342" s="52">
        <f>IF(ISERROR(VLOOKUP($U$342,'TAR FIN'!$A$1:$O$88,15,0)),0,VLOOKUP($U$342,'TAR FIN'!$A$1:$O$88,15,0))*(1-0.06)</f>
        <v>237.08679999999998</v>
      </c>
      <c r="Y342" s="52"/>
      <c r="Z342" s="52">
        <f ca="1">('TUSD BE'!$AM$48+'TUSD BF'!$AM$48+'TUSD CVA'!$AM$48)*1*(1-0.03)</f>
        <v>473.22128065802849</v>
      </c>
      <c r="AA342" s="52">
        <f>('TE BE'!$AB$38+'TE BF'!$AB$38+'TE CVA'!$AB$38)*1*(1-0.03)</f>
        <v>244.36676069987115</v>
      </c>
      <c r="AB342" s="52">
        <f>(SUBSIDIO!$J$342*SUBSIDIO!$V$342)*(0.06)/(1-0.06)</f>
        <v>0</v>
      </c>
      <c r="AC342" s="52">
        <f>((SUBSIDIO!$L$342*SUBSIDIO!$W$342)+(SUBSIDIO!$N$342*SUBSIDIO!$X$342))*(0.06)/(1-0.06)</f>
        <v>3164.8859945999998</v>
      </c>
      <c r="AD342" s="52">
        <f>(SUBSIDIO!$J$342*SUBSIDIO!$Y$342)*(0.03)/(1-0.03)</f>
        <v>0</v>
      </c>
      <c r="AE342" s="52">
        <f ca="1">((SUBSIDIO!$L$342*SUBSIDIO!$Z$342)+(SUBSIDIO!$N$342*SUBSIDIO!$AA$342))*(0.03)/(1-0.03)</f>
        <v>1726.7165685083089</v>
      </c>
      <c r="AF342" s="4" t="s">
        <v>565</v>
      </c>
    </row>
    <row r="343" spans="1:32" ht="11.25" customHeight="1" x14ac:dyDescent="0.25">
      <c r="A343" s="4" t="s">
        <v>21</v>
      </c>
      <c r="B343" s="4" t="s">
        <v>33</v>
      </c>
      <c r="C343" s="4" t="s">
        <v>23</v>
      </c>
      <c r="D343" s="4" t="s">
        <v>46</v>
      </c>
      <c r="E343" s="4" t="s">
        <v>47</v>
      </c>
      <c r="F343" s="4" t="s">
        <v>25</v>
      </c>
      <c r="G343" s="4" t="s">
        <v>25</v>
      </c>
      <c r="H343" s="4" t="s">
        <v>25</v>
      </c>
      <c r="I343" s="5">
        <v>44501</v>
      </c>
      <c r="J343" s="6">
        <v>0</v>
      </c>
      <c r="K343" s="52">
        <v>0</v>
      </c>
      <c r="L343" s="6">
        <v>81.462000000000003</v>
      </c>
      <c r="M343" s="52">
        <v>81.462000000000003</v>
      </c>
      <c r="N343" s="6">
        <v>81.462000000000003</v>
      </c>
      <c r="O343" s="52">
        <v>81.462000000000003</v>
      </c>
      <c r="P343" s="6">
        <v>28</v>
      </c>
      <c r="Q343" s="4" t="s">
        <v>26</v>
      </c>
      <c r="R343" s="4">
        <v>0</v>
      </c>
      <c r="S343" s="4">
        <v>0</v>
      </c>
      <c r="T343" s="4">
        <v>30</v>
      </c>
      <c r="U343" s="4">
        <v>79</v>
      </c>
      <c r="V343" s="52">
        <f>IF(ISERROR(VLOOKUP($S$343,'TAR FIN'!$A$1:$O$88,15,0)),0,VLOOKUP($S$343,'TAR FIN'!$A$1:$O$88,15,0))</f>
        <v>0</v>
      </c>
      <c r="W343" s="52">
        <f>IF(ISERROR(VLOOKUP($T$343,'TAR FIN'!$A$1:$O$88,15,0)),0,VLOOKUP($T$343,'TAR FIN'!$A$1:$O$88,15,0))*(1-0.06)</f>
        <v>400.20499999999998</v>
      </c>
      <c r="X343" s="52">
        <f>IF(ISERROR(VLOOKUP($U$343,'TAR FIN'!$A$1:$O$88,15,0)),0,VLOOKUP($U$343,'TAR FIN'!$A$1:$O$88,15,0))*(1-0.06)</f>
        <v>237.08679999999998</v>
      </c>
      <c r="Y343" s="52"/>
      <c r="Z343" s="52">
        <f ca="1">('TUSD BE'!$AM$48+'TUSD BF'!$AM$48+'TUSD CVA'!$AM$48)*1*(1-0.03)</f>
        <v>473.22128065802849</v>
      </c>
      <c r="AA343" s="52">
        <f>('TE BE'!$AB$38+'TE BF'!$AB$38+'TE CVA'!$AB$38)*1*(1-0.03)</f>
        <v>244.36676069987115</v>
      </c>
      <c r="AB343" s="52">
        <f>(SUBSIDIO!$J$343*SUBSIDIO!$V$343)*(0.06)/(1-0.06)</f>
        <v>0</v>
      </c>
      <c r="AC343" s="52">
        <f>((SUBSIDIO!$L$343*SUBSIDIO!$W$343)+(SUBSIDIO!$N$343*SUBSIDIO!$X$343))*(0.06)/(1-0.06)</f>
        <v>3313.7275283999998</v>
      </c>
      <c r="AD343" s="52">
        <f>(SUBSIDIO!$J$343*SUBSIDIO!$Y$343)*(0.03)/(1-0.03)</f>
        <v>0</v>
      </c>
      <c r="AE343" s="52">
        <f ca="1">((SUBSIDIO!$L$343*SUBSIDIO!$Z$343)+(SUBSIDIO!$N$343*SUBSIDIO!$AA$343))*(0.03)/(1-0.03)</f>
        <v>1807.9223822195017</v>
      </c>
      <c r="AF343" s="4" t="s">
        <v>565</v>
      </c>
    </row>
    <row r="344" spans="1:32" ht="11.25" customHeight="1" x14ac:dyDescent="0.25">
      <c r="A344" s="4" t="s">
        <v>21</v>
      </c>
      <c r="B344" s="4" t="s">
        <v>33</v>
      </c>
      <c r="C344" s="4" t="s">
        <v>23</v>
      </c>
      <c r="D344" s="4" t="s">
        <v>46</v>
      </c>
      <c r="E344" s="4" t="s">
        <v>47</v>
      </c>
      <c r="F344" s="4" t="s">
        <v>25</v>
      </c>
      <c r="G344" s="4" t="s">
        <v>25</v>
      </c>
      <c r="H344" s="4" t="s">
        <v>25</v>
      </c>
      <c r="I344" s="5">
        <v>44531</v>
      </c>
      <c r="J344" s="6">
        <v>0</v>
      </c>
      <c r="K344" s="52">
        <v>0</v>
      </c>
      <c r="L344" s="6">
        <v>85.683000000000007</v>
      </c>
      <c r="M344" s="52">
        <v>85.683000000000007</v>
      </c>
      <c r="N344" s="6">
        <v>85.683000000000007</v>
      </c>
      <c r="O344" s="52">
        <v>85.683000000000007</v>
      </c>
      <c r="P344" s="6">
        <v>28</v>
      </c>
      <c r="Q344" s="4" t="s">
        <v>26</v>
      </c>
      <c r="R344" s="4">
        <v>0</v>
      </c>
      <c r="S344" s="4">
        <v>0</v>
      </c>
      <c r="T344" s="4">
        <v>30</v>
      </c>
      <c r="U344" s="4">
        <v>79</v>
      </c>
      <c r="V344" s="52">
        <f>IF(ISERROR(VLOOKUP($S$344,'TAR FIN'!$A$1:$O$88,15,0)),0,VLOOKUP($S$344,'TAR FIN'!$A$1:$O$88,15,0))</f>
        <v>0</v>
      </c>
      <c r="W344" s="52">
        <f>IF(ISERROR(VLOOKUP($T$344,'TAR FIN'!$A$1:$O$88,15,0)),0,VLOOKUP($T$344,'TAR FIN'!$A$1:$O$88,15,0))*(1-0.06)</f>
        <v>400.20499999999998</v>
      </c>
      <c r="X344" s="52">
        <f>IF(ISERROR(VLOOKUP($U$344,'TAR FIN'!$A$1:$O$88,15,0)),0,VLOOKUP($U$344,'TAR FIN'!$A$1:$O$88,15,0))*(1-0.06)</f>
        <v>237.08679999999998</v>
      </c>
      <c r="Y344" s="52"/>
      <c r="Z344" s="52">
        <f ca="1">('TUSD BE'!$AM$48+'TUSD BF'!$AM$48+'TUSD CVA'!$AM$48)*1*(1-0.03)</f>
        <v>473.22128065802849</v>
      </c>
      <c r="AA344" s="52">
        <f>('TE BE'!$AB$38+'TE BF'!$AB$38+'TE CVA'!$AB$38)*1*(1-0.03)</f>
        <v>244.36676069987115</v>
      </c>
      <c r="AB344" s="52">
        <f>(SUBSIDIO!$J$344*SUBSIDIO!$V$344)*(0.06)/(1-0.06)</f>
        <v>0</v>
      </c>
      <c r="AC344" s="52">
        <f>((SUBSIDIO!$L$344*SUBSIDIO!$W$344)+(SUBSIDIO!$N$344*SUBSIDIO!$X$344))*(0.06)/(1-0.06)</f>
        <v>3485.4302106000005</v>
      </c>
      <c r="AD344" s="52">
        <f>(SUBSIDIO!$J$344*SUBSIDIO!$Y$344)*(0.03)/(1-0.03)</f>
        <v>0</v>
      </c>
      <c r="AE344" s="52">
        <f ca="1">((SUBSIDIO!$L$344*SUBSIDIO!$Z$344)+(SUBSIDIO!$N$344*SUBSIDIO!$AA$344))*(0.03)/(1-0.03)</f>
        <v>1901.6009117835747</v>
      </c>
      <c r="AF344" s="4" t="s">
        <v>565</v>
      </c>
    </row>
    <row r="345" spans="1:32" ht="11.25" customHeight="1" x14ac:dyDescent="0.25">
      <c r="A345" s="4" t="s">
        <v>21</v>
      </c>
      <c r="B345" s="4" t="s">
        <v>33</v>
      </c>
      <c r="C345" s="4" t="s">
        <v>23</v>
      </c>
      <c r="D345" s="4" t="s">
        <v>46</v>
      </c>
      <c r="E345" s="4" t="s">
        <v>47</v>
      </c>
      <c r="F345" s="4" t="s">
        <v>25</v>
      </c>
      <c r="G345" s="4" t="s">
        <v>25</v>
      </c>
      <c r="H345" s="4" t="s">
        <v>25</v>
      </c>
      <c r="I345" s="5">
        <v>44562</v>
      </c>
      <c r="J345" s="6">
        <v>0</v>
      </c>
      <c r="K345" s="52">
        <v>0</v>
      </c>
      <c r="L345" s="6">
        <v>89</v>
      </c>
      <c r="M345" s="52">
        <v>89</v>
      </c>
      <c r="N345" s="6">
        <v>89</v>
      </c>
      <c r="O345" s="52">
        <v>89</v>
      </c>
      <c r="P345" s="6">
        <v>28</v>
      </c>
      <c r="Q345" s="4" t="s">
        <v>26</v>
      </c>
      <c r="R345" s="4">
        <v>0</v>
      </c>
      <c r="S345" s="4">
        <v>0</v>
      </c>
      <c r="T345" s="4">
        <v>30</v>
      </c>
      <c r="U345" s="4">
        <v>79</v>
      </c>
      <c r="V345" s="52">
        <f>IF(ISERROR(VLOOKUP($S$345,'TAR FIN'!$A$1:$O$88,15,0)),0,VLOOKUP($S$345,'TAR FIN'!$A$1:$O$88,15,0))</f>
        <v>0</v>
      </c>
      <c r="W345" s="52">
        <f>IF(ISERROR(VLOOKUP($T$345,'TAR FIN'!$A$1:$O$88,15,0)),0,VLOOKUP($T$345,'TAR FIN'!$A$1:$O$88,15,0))*(1-0.06)</f>
        <v>400.20499999999998</v>
      </c>
      <c r="X345" s="52">
        <f>IF(ISERROR(VLOOKUP($U$345,'TAR FIN'!$A$1:$O$88,15,0)),0,VLOOKUP($U$345,'TAR FIN'!$A$1:$O$88,15,0))*(1-0.06)</f>
        <v>237.08679999999998</v>
      </c>
      <c r="Y345" s="52"/>
      <c r="Z345" s="52">
        <f ca="1">('TUSD BE'!$AM$48+'TUSD BF'!$AM$48+'TUSD CVA'!$AM$48)*1*(1-0.03)</f>
        <v>473.22128065802849</v>
      </c>
      <c r="AA345" s="52">
        <f>('TE BE'!$AB$38+'TE BF'!$AB$38+'TE CVA'!$AB$38)*1*(1-0.03)</f>
        <v>244.36676069987115</v>
      </c>
      <c r="AB345" s="52">
        <f>(SUBSIDIO!$J$345*SUBSIDIO!$V$345)*(0.06)/(1-0.06)</f>
        <v>0</v>
      </c>
      <c r="AC345" s="52">
        <f>((SUBSIDIO!$L$345*SUBSIDIO!$W$345)+(SUBSIDIO!$N$345*SUBSIDIO!$X$345))*(0.06)/(1-0.06)</f>
        <v>3620.3598000000002</v>
      </c>
      <c r="AD345" s="52">
        <f>(SUBSIDIO!$J$345*SUBSIDIO!$Y$345)*(0.03)/(1-0.03)</f>
        <v>0</v>
      </c>
      <c r="AE345" s="52">
        <f ca="1">((SUBSIDIO!$L$345*SUBSIDIO!$Z$345)+(SUBSIDIO!$N$345*SUBSIDIO!$AA$345))*(0.03)/(1-0.03)</f>
        <v>1975.2165674490639</v>
      </c>
      <c r="AF345" s="4" t="s">
        <v>565</v>
      </c>
    </row>
    <row r="346" spans="1:32" ht="11.25" customHeight="1" x14ac:dyDescent="0.25">
      <c r="A346" s="4" t="s">
        <v>21</v>
      </c>
      <c r="B346" s="4" t="s">
        <v>33</v>
      </c>
      <c r="C346" s="4" t="s">
        <v>23</v>
      </c>
      <c r="D346" s="4" t="s">
        <v>46</v>
      </c>
      <c r="E346" s="4" t="s">
        <v>47</v>
      </c>
      <c r="F346" s="4" t="s">
        <v>25</v>
      </c>
      <c r="G346" s="4" t="s">
        <v>25</v>
      </c>
      <c r="H346" s="4" t="s">
        <v>25</v>
      </c>
      <c r="I346" s="5">
        <v>44593</v>
      </c>
      <c r="J346" s="6">
        <v>0</v>
      </c>
      <c r="K346" s="52">
        <v>0</v>
      </c>
      <c r="L346" s="6">
        <v>93.42</v>
      </c>
      <c r="M346" s="52">
        <v>93.42</v>
      </c>
      <c r="N346" s="6">
        <v>93.42</v>
      </c>
      <c r="O346" s="52">
        <v>93.42</v>
      </c>
      <c r="P346" s="6">
        <v>28</v>
      </c>
      <c r="Q346" s="4" t="s">
        <v>26</v>
      </c>
      <c r="R346" s="4">
        <v>0</v>
      </c>
      <c r="S346" s="4">
        <v>0</v>
      </c>
      <c r="T346" s="4">
        <v>30</v>
      </c>
      <c r="U346" s="4">
        <v>79</v>
      </c>
      <c r="V346" s="52">
        <f>IF(ISERROR(VLOOKUP($S$346,'TAR FIN'!$A$1:$O$88,15,0)),0,VLOOKUP($S$346,'TAR FIN'!$A$1:$O$88,15,0))</f>
        <v>0</v>
      </c>
      <c r="W346" s="52">
        <f>IF(ISERROR(VLOOKUP($T$346,'TAR FIN'!$A$1:$O$88,15,0)),0,VLOOKUP($T$346,'TAR FIN'!$A$1:$O$88,15,0))*(1-0.06)</f>
        <v>400.20499999999998</v>
      </c>
      <c r="X346" s="52">
        <f>IF(ISERROR(VLOOKUP($U$346,'TAR FIN'!$A$1:$O$88,15,0)),0,VLOOKUP($U$346,'TAR FIN'!$A$1:$O$88,15,0))*(1-0.06)</f>
        <v>237.08679999999998</v>
      </c>
      <c r="Y346" s="52"/>
      <c r="Z346" s="52">
        <f ca="1">('TUSD BE'!$AM$48+'TUSD BF'!$AM$48+'TUSD CVA'!$AM$48)*1*(1-0.03)</f>
        <v>473.22128065802849</v>
      </c>
      <c r="AA346" s="52">
        <f>('TE BE'!$AB$38+'TE BF'!$AB$38+'TE CVA'!$AB$38)*1*(1-0.03)</f>
        <v>244.36676069987115</v>
      </c>
      <c r="AB346" s="52">
        <f>(SUBSIDIO!$J$346*SUBSIDIO!$V$346)*(0.06)/(1-0.06)</f>
        <v>0</v>
      </c>
      <c r="AC346" s="52">
        <f>((SUBSIDIO!$L$346*SUBSIDIO!$W$346)+(SUBSIDIO!$N$346*SUBSIDIO!$X$346))*(0.06)/(1-0.06)</f>
        <v>3800.1574439999999</v>
      </c>
      <c r="AD346" s="52">
        <f>(SUBSIDIO!$J$346*SUBSIDIO!$Y$346)*(0.03)/(1-0.03)</f>
        <v>0</v>
      </c>
      <c r="AE346" s="52">
        <f ca="1">((SUBSIDIO!$L$346*SUBSIDIO!$Z$346)+(SUBSIDIO!$N$346*SUBSIDIO!$AA$346))*(0.03)/(1-0.03)</f>
        <v>2073.311592484175</v>
      </c>
      <c r="AF346" s="4" t="s">
        <v>565</v>
      </c>
    </row>
    <row r="347" spans="1:32" ht="11.25" customHeight="1" x14ac:dyDescent="0.25">
      <c r="A347" s="4" t="s">
        <v>21</v>
      </c>
      <c r="B347" s="4" t="s">
        <v>33</v>
      </c>
      <c r="C347" s="4" t="s">
        <v>23</v>
      </c>
      <c r="D347" s="4" t="s">
        <v>46</v>
      </c>
      <c r="E347" s="4" t="s">
        <v>47</v>
      </c>
      <c r="F347" s="4" t="s">
        <v>25</v>
      </c>
      <c r="G347" s="4" t="s">
        <v>25</v>
      </c>
      <c r="H347" s="4" t="s">
        <v>25</v>
      </c>
      <c r="I347" s="5">
        <v>44621</v>
      </c>
      <c r="J347" s="6">
        <v>0</v>
      </c>
      <c r="K347" s="52">
        <v>0</v>
      </c>
      <c r="L347" s="6">
        <v>84.638000000000005</v>
      </c>
      <c r="M347" s="52">
        <v>84.638000000000005</v>
      </c>
      <c r="N347" s="6">
        <v>84.638000000000005</v>
      </c>
      <c r="O347" s="52">
        <v>84.638000000000005</v>
      </c>
      <c r="P347" s="6">
        <v>28</v>
      </c>
      <c r="Q347" s="4" t="s">
        <v>26</v>
      </c>
      <c r="R347" s="4">
        <v>0</v>
      </c>
      <c r="S347" s="4">
        <v>0</v>
      </c>
      <c r="T347" s="4">
        <v>30</v>
      </c>
      <c r="U347" s="4">
        <v>79</v>
      </c>
      <c r="V347" s="52">
        <f>IF(ISERROR(VLOOKUP($S$347,'TAR FIN'!$A$1:$O$88,15,0)),0,VLOOKUP($S$347,'TAR FIN'!$A$1:$O$88,15,0))</f>
        <v>0</v>
      </c>
      <c r="W347" s="52">
        <f>IF(ISERROR(VLOOKUP($T$347,'TAR FIN'!$A$1:$O$88,15,0)),0,VLOOKUP($T$347,'TAR FIN'!$A$1:$O$88,15,0))*(1-0.06)</f>
        <v>400.20499999999998</v>
      </c>
      <c r="X347" s="52">
        <f>IF(ISERROR(VLOOKUP($U$347,'TAR FIN'!$A$1:$O$88,15,0)),0,VLOOKUP($U$347,'TAR FIN'!$A$1:$O$88,15,0))*(1-0.06)</f>
        <v>237.08679999999998</v>
      </c>
      <c r="Y347" s="52"/>
      <c r="Z347" s="52">
        <f ca="1">('TUSD BE'!$AM$48+'TUSD BF'!$AM$48+'TUSD CVA'!$AM$48)*1*(1-0.03)</f>
        <v>473.22128065802849</v>
      </c>
      <c r="AA347" s="52">
        <f>('TE BE'!$AB$38+'TE BF'!$AB$38+'TE CVA'!$AB$38)*1*(1-0.03)</f>
        <v>244.36676069987115</v>
      </c>
      <c r="AB347" s="52">
        <f>(SUBSIDIO!$J$347*SUBSIDIO!$V$347)*(0.06)/(1-0.06)</f>
        <v>0</v>
      </c>
      <c r="AC347" s="52">
        <f>((SUBSIDIO!$L$347*SUBSIDIO!$W$347)+(SUBSIDIO!$N$347*SUBSIDIO!$X$347))*(0.06)/(1-0.06)</f>
        <v>3442.9214916000001</v>
      </c>
      <c r="AD347" s="52">
        <f>(SUBSIDIO!$J$347*SUBSIDIO!$Y$347)*(0.03)/(1-0.03)</f>
        <v>0</v>
      </c>
      <c r="AE347" s="52">
        <f ca="1">((SUBSIDIO!$L$347*SUBSIDIO!$Z$347)+(SUBSIDIO!$N$347*SUBSIDIO!$AA$347))*(0.03)/(1-0.03)</f>
        <v>1878.408762199482</v>
      </c>
      <c r="AF347" s="4" t="s">
        <v>565</v>
      </c>
    </row>
    <row r="348" spans="1:32" ht="11.25" customHeight="1" x14ac:dyDescent="0.25">
      <c r="A348" s="4" t="s">
        <v>21</v>
      </c>
      <c r="B348" s="4" t="s">
        <v>33</v>
      </c>
      <c r="C348" s="4" t="s">
        <v>23</v>
      </c>
      <c r="D348" s="4" t="s">
        <v>46</v>
      </c>
      <c r="E348" s="4" t="s">
        <v>47</v>
      </c>
      <c r="F348" s="4" t="s">
        <v>25</v>
      </c>
      <c r="G348" s="4" t="s">
        <v>25</v>
      </c>
      <c r="H348" s="4" t="s">
        <v>25</v>
      </c>
      <c r="I348" s="5">
        <v>44652</v>
      </c>
      <c r="J348" s="6">
        <v>0</v>
      </c>
      <c r="K348" s="52">
        <v>0</v>
      </c>
      <c r="L348" s="6">
        <v>90.352999999999994</v>
      </c>
      <c r="M348" s="52">
        <v>90.352999999999994</v>
      </c>
      <c r="N348" s="6">
        <v>90.352999999999994</v>
      </c>
      <c r="O348" s="52">
        <v>90.352999999999994</v>
      </c>
      <c r="P348" s="6">
        <v>28</v>
      </c>
      <c r="Q348" s="4" t="s">
        <v>26</v>
      </c>
      <c r="R348" s="4">
        <v>0</v>
      </c>
      <c r="S348" s="4">
        <v>0</v>
      </c>
      <c r="T348" s="4">
        <v>30</v>
      </c>
      <c r="U348" s="4">
        <v>79</v>
      </c>
      <c r="V348" s="52">
        <f>IF(ISERROR(VLOOKUP($S$348,'TAR FIN'!$A$1:$O$88,15,0)),0,VLOOKUP($S$348,'TAR FIN'!$A$1:$O$88,15,0))</f>
        <v>0</v>
      </c>
      <c r="W348" s="52">
        <f>IF(ISERROR(VLOOKUP($T$348,'TAR FIN'!$A$1:$O$88,15,0)),0,VLOOKUP($T$348,'TAR FIN'!$A$1:$O$88,15,0))*(1-0.06)</f>
        <v>400.20499999999998</v>
      </c>
      <c r="X348" s="52">
        <f>IF(ISERROR(VLOOKUP($U$348,'TAR FIN'!$A$1:$O$88,15,0)),0,VLOOKUP($U$348,'TAR FIN'!$A$1:$O$88,15,0))*(1-0.06)</f>
        <v>237.08679999999998</v>
      </c>
      <c r="Y348" s="52"/>
      <c r="Z348" s="52">
        <f ca="1">('TUSD BE'!$AM$48+'TUSD BF'!$AM$48+'TUSD CVA'!$AM$48)*1*(1-0.03)</f>
        <v>473.22128065802849</v>
      </c>
      <c r="AA348" s="52">
        <f>('TE BE'!$AB$38+'TE BF'!$AB$38+'TE CVA'!$AB$38)*1*(1-0.03)</f>
        <v>244.36676069987115</v>
      </c>
      <c r="AB348" s="52">
        <f>(SUBSIDIO!$J$348*SUBSIDIO!$V$348)*(0.06)/(1-0.06)</f>
        <v>0</v>
      </c>
      <c r="AC348" s="52">
        <f>((SUBSIDIO!$L$348*SUBSIDIO!$W$348)+(SUBSIDIO!$N$348*SUBSIDIO!$X$348))*(0.06)/(1-0.06)</f>
        <v>3675.3974045999994</v>
      </c>
      <c r="AD348" s="52">
        <f>(SUBSIDIO!$J$348*SUBSIDIO!$Y$348)*(0.03)/(1-0.03)</f>
        <v>0</v>
      </c>
      <c r="AE348" s="52">
        <f ca="1">((SUBSIDIO!$L$348*SUBSIDIO!$Z$348)+(SUBSIDIO!$N$348*SUBSIDIO!$AA$348))*(0.03)/(1-0.03)</f>
        <v>2005.2442979632051</v>
      </c>
      <c r="AF348" s="4" t="s">
        <v>565</v>
      </c>
    </row>
    <row r="349" spans="1:32" ht="11.25" customHeight="1" x14ac:dyDescent="0.25">
      <c r="A349" s="4" t="s">
        <v>21</v>
      </c>
      <c r="B349" s="4" t="s">
        <v>33</v>
      </c>
      <c r="C349" s="4" t="s">
        <v>23</v>
      </c>
      <c r="D349" s="4" t="s">
        <v>46</v>
      </c>
      <c r="E349" s="4" t="s">
        <v>47</v>
      </c>
      <c r="F349" s="4" t="s">
        <v>25</v>
      </c>
      <c r="G349" s="4" t="s">
        <v>25</v>
      </c>
      <c r="H349" s="4" t="s">
        <v>25</v>
      </c>
      <c r="I349" s="5">
        <v>44682</v>
      </c>
      <c r="J349" s="6">
        <v>0</v>
      </c>
      <c r="K349" s="52">
        <v>0</v>
      </c>
      <c r="L349" s="6">
        <v>86.266000000000005</v>
      </c>
      <c r="M349" s="52">
        <v>86.266000000000005</v>
      </c>
      <c r="N349" s="6">
        <v>86.266000000000005</v>
      </c>
      <c r="O349" s="52">
        <v>86.266000000000005</v>
      </c>
      <c r="P349" s="6">
        <v>28</v>
      </c>
      <c r="Q349" s="4" t="s">
        <v>26</v>
      </c>
      <c r="R349" s="4">
        <v>0</v>
      </c>
      <c r="S349" s="4">
        <v>0</v>
      </c>
      <c r="T349" s="4">
        <v>30</v>
      </c>
      <c r="U349" s="4">
        <v>79</v>
      </c>
      <c r="V349" s="52">
        <f>IF(ISERROR(VLOOKUP($S$349,'TAR FIN'!$A$1:$O$88,15,0)),0,VLOOKUP($S$349,'TAR FIN'!$A$1:$O$88,15,0))</f>
        <v>0</v>
      </c>
      <c r="W349" s="52">
        <f>IF(ISERROR(VLOOKUP($T$349,'TAR FIN'!$A$1:$O$88,15,0)),0,VLOOKUP($T$349,'TAR FIN'!$A$1:$O$88,15,0))*(1-0.06)</f>
        <v>400.20499999999998</v>
      </c>
      <c r="X349" s="52">
        <f>IF(ISERROR(VLOOKUP($U$349,'TAR FIN'!$A$1:$O$88,15,0)),0,VLOOKUP($U$349,'TAR FIN'!$A$1:$O$88,15,0))*(1-0.06)</f>
        <v>237.08679999999998</v>
      </c>
      <c r="Y349" s="52"/>
      <c r="Z349" s="52">
        <f ca="1">('TUSD BE'!$AM$48+'TUSD BF'!$AM$48+'TUSD CVA'!$AM$48)*1*(1-0.03)</f>
        <v>473.22128065802849</v>
      </c>
      <c r="AA349" s="52">
        <f>('TE BE'!$AB$38+'TE BF'!$AB$38+'TE CVA'!$AB$38)*1*(1-0.03)</f>
        <v>244.36676069987115</v>
      </c>
      <c r="AB349" s="52">
        <f>(SUBSIDIO!$J$349*SUBSIDIO!$V$349)*(0.06)/(1-0.06)</f>
        <v>0</v>
      </c>
      <c r="AC349" s="52">
        <f>((SUBSIDIO!$L$349*SUBSIDIO!$W$349)+(SUBSIDIO!$N$349*SUBSIDIO!$X$349))*(0.06)/(1-0.06)</f>
        <v>3509.1456012000003</v>
      </c>
      <c r="AD349" s="52">
        <f>(SUBSIDIO!$J$349*SUBSIDIO!$Y$349)*(0.03)/(1-0.03)</f>
        <v>0</v>
      </c>
      <c r="AE349" s="52">
        <f ca="1">((SUBSIDIO!$L$349*SUBSIDIO!$Z$349)+(SUBSIDIO!$N$349*SUBSIDIO!$AA$349))*(0.03)/(1-0.03)</f>
        <v>1914.5396899725949</v>
      </c>
      <c r="AF349" s="4" t="s">
        <v>565</v>
      </c>
    </row>
    <row r="350" spans="1:32" ht="11.25" customHeight="1" x14ac:dyDescent="0.25">
      <c r="A350" s="4" t="s">
        <v>21</v>
      </c>
      <c r="B350" s="4" t="s">
        <v>33</v>
      </c>
      <c r="C350" s="4" t="s">
        <v>23</v>
      </c>
      <c r="D350" s="4" t="s">
        <v>46</v>
      </c>
      <c r="E350" s="4" t="s">
        <v>47</v>
      </c>
      <c r="F350" s="4" t="s">
        <v>25</v>
      </c>
      <c r="G350" s="4" t="s">
        <v>25</v>
      </c>
      <c r="H350" s="4" t="s">
        <v>25</v>
      </c>
      <c r="I350" s="5">
        <v>44713</v>
      </c>
      <c r="J350" s="6">
        <v>0</v>
      </c>
      <c r="K350" s="52">
        <v>0</v>
      </c>
      <c r="L350" s="6">
        <v>86.858999999999995</v>
      </c>
      <c r="M350" s="52">
        <v>86.858999999999995</v>
      </c>
      <c r="N350" s="6">
        <v>86.858999999999995</v>
      </c>
      <c r="O350" s="52">
        <v>86.858999999999995</v>
      </c>
      <c r="P350" s="6">
        <v>28</v>
      </c>
      <c r="Q350" s="4" t="s">
        <v>26</v>
      </c>
      <c r="R350" s="4">
        <v>0</v>
      </c>
      <c r="S350" s="4">
        <v>0</v>
      </c>
      <c r="T350" s="4">
        <v>30</v>
      </c>
      <c r="U350" s="4">
        <v>79</v>
      </c>
      <c r="V350" s="52">
        <f>IF(ISERROR(VLOOKUP($S$350,'TAR FIN'!$A$1:$O$88,15,0)),0,VLOOKUP($S$350,'TAR FIN'!$A$1:$O$88,15,0))</f>
        <v>0</v>
      </c>
      <c r="W350" s="52">
        <f>IF(ISERROR(VLOOKUP($T$350,'TAR FIN'!$A$1:$O$88,15,0)),0,VLOOKUP($T$350,'TAR FIN'!$A$1:$O$88,15,0))*(1-0.06)</f>
        <v>400.20499999999998</v>
      </c>
      <c r="X350" s="52">
        <f>IF(ISERROR(VLOOKUP($U$350,'TAR FIN'!$A$1:$O$88,15,0)),0,VLOOKUP($U$350,'TAR FIN'!$A$1:$O$88,15,0))*(1-0.06)</f>
        <v>237.08679999999998</v>
      </c>
      <c r="Y350" s="52"/>
      <c r="Z350" s="52">
        <f ca="1">('TUSD BE'!$AM$48+'TUSD BF'!$AM$48+'TUSD CVA'!$AM$48)*1*(1-0.03)</f>
        <v>473.22128065802849</v>
      </c>
      <c r="AA350" s="52">
        <f>('TE BE'!$AB$38+'TE BF'!$AB$38+'TE CVA'!$AB$38)*1*(1-0.03)</f>
        <v>244.36676069987115</v>
      </c>
      <c r="AB350" s="52">
        <f>(SUBSIDIO!$J$350*SUBSIDIO!$V$350)*(0.06)/(1-0.06)</f>
        <v>0</v>
      </c>
      <c r="AC350" s="52">
        <f>((SUBSIDIO!$L$350*SUBSIDIO!$W$350)+(SUBSIDIO!$N$350*SUBSIDIO!$X$350))*(0.06)/(1-0.06)</f>
        <v>3533.2677737999998</v>
      </c>
      <c r="AD350" s="52">
        <f>(SUBSIDIO!$J$350*SUBSIDIO!$Y$350)*(0.03)/(1-0.03)</f>
        <v>0</v>
      </c>
      <c r="AE350" s="52">
        <f ca="1">((SUBSIDIO!$L$350*SUBSIDIO!$Z$350)+(SUBSIDIO!$N$350*SUBSIDIO!$AA$350))*(0.03)/(1-0.03)</f>
        <v>1927.7004026073957</v>
      </c>
      <c r="AF350" s="4" t="s">
        <v>565</v>
      </c>
    </row>
    <row r="351" spans="1:32" ht="11.25" customHeight="1" x14ac:dyDescent="0.25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2" ht="11.25" customHeight="1" x14ac:dyDescent="0.25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25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25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25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25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25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25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25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25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25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25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25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25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25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25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25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25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25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25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25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25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25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25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25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25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25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25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25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25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25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25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25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25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25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25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25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25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25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25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25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25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25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25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25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25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25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25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25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25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25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25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25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25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25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25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25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25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25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25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25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25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25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25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25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25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25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25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25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2:31" ht="11.25" customHeight="1" x14ac:dyDescent="0.25"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2:31" ht="11.25" customHeight="1" x14ac:dyDescent="0.25"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2:31" ht="11.25" customHeight="1" x14ac:dyDescent="0.25"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2:31" ht="11.25" customHeight="1" x14ac:dyDescent="0.25"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2:31" ht="11.25" customHeight="1" x14ac:dyDescent="0.25"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2:31" ht="11.25" customHeight="1" x14ac:dyDescent="0.25"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2:31" ht="11.25" customHeight="1" x14ac:dyDescent="0.25"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2:31" ht="11.25" customHeight="1" x14ac:dyDescent="0.25"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2:31" ht="11.25" customHeight="1" x14ac:dyDescent="0.25"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2:31" ht="11.25" customHeight="1" x14ac:dyDescent="0.25"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2:31" ht="11.25" customHeight="1" x14ac:dyDescent="0.25"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2:31" ht="11.25" customHeight="1" x14ac:dyDescent="0.25"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2:31" ht="11.25" customHeight="1" x14ac:dyDescent="0.25"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2:31" ht="11.25" customHeight="1" x14ac:dyDescent="0.25"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2:31" ht="11.25" customHeight="1" x14ac:dyDescent="0.25"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2:31" ht="11.25" customHeight="1" x14ac:dyDescent="0.25"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2:31" ht="11.25" customHeight="1" x14ac:dyDescent="0.25"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2:31" ht="11.25" customHeight="1" x14ac:dyDescent="0.25"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2:31" ht="11.25" customHeight="1" x14ac:dyDescent="0.25"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2:31" ht="11.25" customHeight="1" x14ac:dyDescent="0.25"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2:31" ht="11.25" customHeight="1" x14ac:dyDescent="0.25"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2:31" ht="11.25" customHeight="1" x14ac:dyDescent="0.25"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2:31" ht="11.25" customHeight="1" x14ac:dyDescent="0.25"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2:31" ht="11.25" customHeight="1" x14ac:dyDescent="0.25"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2:31" ht="11.25" customHeight="1" x14ac:dyDescent="0.25"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2:31" ht="11.25" customHeight="1" x14ac:dyDescent="0.25"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2:31" ht="11.25" customHeight="1" x14ac:dyDescent="0.25"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2:31" ht="11.25" customHeight="1" x14ac:dyDescent="0.25"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2:31" ht="11.25" customHeight="1" x14ac:dyDescent="0.25"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2:31" ht="11.25" customHeight="1" x14ac:dyDescent="0.25"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2:31" ht="11.25" customHeight="1" x14ac:dyDescent="0.25"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2:31" ht="11.25" customHeight="1" x14ac:dyDescent="0.25"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2:31" ht="11.25" customHeight="1" x14ac:dyDescent="0.25"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2:31" ht="11.25" customHeight="1" x14ac:dyDescent="0.25"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2:31" ht="11.25" customHeight="1" x14ac:dyDescent="0.25"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2:31" ht="11.25" customHeight="1" x14ac:dyDescent="0.25"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2:31" ht="11.25" customHeight="1" x14ac:dyDescent="0.25"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2:31" ht="11.25" customHeight="1" x14ac:dyDescent="0.25"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2:31" ht="11.25" customHeight="1" x14ac:dyDescent="0.25"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2:31" ht="11.25" customHeight="1" x14ac:dyDescent="0.25"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2:31" ht="11.25" customHeight="1" x14ac:dyDescent="0.25"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2:31" ht="11.25" customHeight="1" x14ac:dyDescent="0.25"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2:31" ht="11.25" customHeight="1" x14ac:dyDescent="0.25"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2:31" ht="11.25" customHeight="1" x14ac:dyDescent="0.25"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2:31" ht="11.25" customHeight="1" x14ac:dyDescent="0.25"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2:31" ht="11.25" customHeight="1" x14ac:dyDescent="0.25"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2:31" ht="11.25" customHeight="1" x14ac:dyDescent="0.25"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2:31" ht="11.25" customHeight="1" x14ac:dyDescent="0.25"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2:31" ht="11.25" customHeight="1" x14ac:dyDescent="0.25"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2:31" ht="11.25" customHeight="1" x14ac:dyDescent="0.25"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2:31" ht="11.25" customHeight="1" x14ac:dyDescent="0.25"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2:31" ht="11.25" customHeight="1" x14ac:dyDescent="0.25"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2:31" ht="11.25" customHeight="1" x14ac:dyDescent="0.25"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2:31" ht="11.25" customHeight="1" x14ac:dyDescent="0.25"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2:31" ht="11.25" customHeight="1" x14ac:dyDescent="0.25"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2:31" ht="11.25" customHeight="1" x14ac:dyDescent="0.25"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2:31" ht="11.25" customHeight="1" x14ac:dyDescent="0.25"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22:31" ht="11.25" customHeight="1" x14ac:dyDescent="0.25"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22:31" ht="11.25" customHeight="1" x14ac:dyDescent="0.25"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22:31" ht="11.25" customHeight="1" x14ac:dyDescent="0.25"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22:31" ht="11.25" customHeight="1" x14ac:dyDescent="0.25"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22:31" ht="11.25" customHeight="1" x14ac:dyDescent="0.25"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22:31" ht="11.25" customHeight="1" x14ac:dyDescent="0.25"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22:31" ht="11.25" customHeight="1" x14ac:dyDescent="0.25"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22:31" ht="11.25" customHeight="1" x14ac:dyDescent="0.25"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22:31" ht="11.25" customHeight="1" x14ac:dyDescent="0.25"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22:31" ht="11.25" customHeight="1" x14ac:dyDescent="0.25"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22:31" ht="11.25" customHeight="1" x14ac:dyDescent="0.25"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22:31" ht="11.25" customHeight="1" x14ac:dyDescent="0.25"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22:31" ht="11.25" customHeight="1" x14ac:dyDescent="0.25"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22:31" ht="11.25" customHeight="1" x14ac:dyDescent="0.25"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22:31" ht="11.25" customHeight="1" x14ac:dyDescent="0.25"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22:31" ht="11.25" customHeight="1" x14ac:dyDescent="0.25"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22:31" ht="11.25" customHeight="1" x14ac:dyDescent="0.25"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22:31" ht="11.25" customHeight="1" x14ac:dyDescent="0.25"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22:31" ht="11.25" customHeight="1" x14ac:dyDescent="0.25"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22:31" ht="11.25" customHeight="1" x14ac:dyDescent="0.25"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22:31" ht="11.25" customHeight="1" x14ac:dyDescent="0.25"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22:31" ht="11.25" customHeight="1" x14ac:dyDescent="0.25"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22:31" ht="11.25" customHeight="1" x14ac:dyDescent="0.25"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22:31" ht="11.25" customHeight="1" x14ac:dyDescent="0.25"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22:31" ht="11.25" customHeight="1" x14ac:dyDescent="0.25"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22:31" ht="11.25" customHeight="1" x14ac:dyDescent="0.25"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22:31" ht="11.25" customHeight="1" x14ac:dyDescent="0.25"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22:31" ht="11.25" customHeight="1" x14ac:dyDescent="0.25"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22:31" ht="11.25" customHeight="1" x14ac:dyDescent="0.25"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22:31" ht="11.25" customHeight="1" x14ac:dyDescent="0.25"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22:31" ht="11.25" customHeight="1" x14ac:dyDescent="0.25"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22:31" ht="11.25" customHeight="1" x14ac:dyDescent="0.25"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22:31" ht="11.25" customHeight="1" x14ac:dyDescent="0.25"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22:31" ht="11.25" customHeight="1" x14ac:dyDescent="0.25"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22:31" ht="11.25" customHeight="1" x14ac:dyDescent="0.25"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22:31" ht="11.25" customHeight="1" x14ac:dyDescent="0.25"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22:31" ht="11.25" customHeight="1" x14ac:dyDescent="0.25"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22:31" ht="11.25" customHeight="1" x14ac:dyDescent="0.25"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22:31" ht="11.25" customHeight="1" x14ac:dyDescent="0.25"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22:31" ht="11.25" customHeight="1" x14ac:dyDescent="0.25"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22:31" ht="11.25" customHeight="1" x14ac:dyDescent="0.25"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22:31" ht="11.25" customHeight="1" x14ac:dyDescent="0.25"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22:31" ht="11.25" customHeight="1" x14ac:dyDescent="0.25"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22:31" ht="11.25" customHeight="1" x14ac:dyDescent="0.25"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22:31" ht="11.25" customHeight="1" x14ac:dyDescent="0.25"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22:31" ht="11.25" customHeight="1" x14ac:dyDescent="0.25"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22:31" ht="11.25" customHeight="1" x14ac:dyDescent="0.25"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22:31" ht="11.25" customHeight="1" x14ac:dyDescent="0.25"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22:31" ht="11.25" customHeight="1" x14ac:dyDescent="0.25"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22:31" ht="11.25" customHeight="1" x14ac:dyDescent="0.25"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22:31" ht="11.25" customHeight="1" x14ac:dyDescent="0.25"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22:31" ht="11.25" customHeight="1" x14ac:dyDescent="0.25"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22:31" ht="11.25" customHeight="1" x14ac:dyDescent="0.25"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22:31" ht="11.25" customHeight="1" x14ac:dyDescent="0.25"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22:31" ht="11.25" customHeight="1" x14ac:dyDescent="0.25"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22:31" ht="11.25" customHeight="1" x14ac:dyDescent="0.25"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22:31" ht="11.25" customHeight="1" x14ac:dyDescent="0.25"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22:31" ht="11.25" customHeight="1" x14ac:dyDescent="0.25"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22:31" ht="11.25" customHeight="1" x14ac:dyDescent="0.25"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22:31" ht="11.25" customHeight="1" x14ac:dyDescent="0.25"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22:31" ht="11.25" customHeight="1" x14ac:dyDescent="0.25"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22:31" ht="11.25" customHeight="1" x14ac:dyDescent="0.25"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22:31" ht="11.25" customHeight="1" x14ac:dyDescent="0.25"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22:31" ht="11.25" customHeight="1" x14ac:dyDescent="0.25"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22:31" ht="11.25" customHeight="1" x14ac:dyDescent="0.25"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22:31" ht="11.25" customHeight="1" x14ac:dyDescent="0.25"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22:31" ht="11.25" customHeight="1" x14ac:dyDescent="0.25"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22:31" ht="11.25" customHeight="1" x14ac:dyDescent="0.25"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22:31" ht="11.25" customHeight="1" x14ac:dyDescent="0.25"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22:31" ht="11.25" customHeight="1" x14ac:dyDescent="0.25"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22:31" ht="11.25" customHeight="1" x14ac:dyDescent="0.25"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22:31" ht="11.25" customHeight="1" x14ac:dyDescent="0.25"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22:31" ht="11.25" customHeight="1" x14ac:dyDescent="0.25"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22:31" ht="11.25" customHeight="1" x14ac:dyDescent="0.25"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22:31" ht="11.25" customHeight="1" x14ac:dyDescent="0.25"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22:31" ht="11.25" customHeight="1" x14ac:dyDescent="0.25"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22:31" ht="11.25" customHeight="1" x14ac:dyDescent="0.25"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22:31" ht="11.25" customHeight="1" x14ac:dyDescent="0.25"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22:31" ht="11.25" customHeight="1" x14ac:dyDescent="0.25"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22:31" ht="11.25" customHeight="1" x14ac:dyDescent="0.25"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22:31" ht="11.25" customHeight="1" x14ac:dyDescent="0.25"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22:31" ht="11.25" customHeight="1" x14ac:dyDescent="0.25"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22:31" ht="11.25" customHeight="1" x14ac:dyDescent="0.25"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22:31" ht="11.25" customHeight="1" x14ac:dyDescent="0.25"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22:31" ht="11.25" customHeight="1" x14ac:dyDescent="0.25"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22:31" ht="11.25" customHeight="1" x14ac:dyDescent="0.25"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22:31" ht="11.25" customHeight="1" x14ac:dyDescent="0.25"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22:31" ht="11.25" customHeight="1" x14ac:dyDescent="0.25"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22:31" ht="11.25" customHeight="1" x14ac:dyDescent="0.25"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22:31" ht="11.25" customHeight="1" x14ac:dyDescent="0.25"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22:31" ht="11.25" customHeight="1" x14ac:dyDescent="0.25"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22:31" ht="11.25" customHeight="1" x14ac:dyDescent="0.25"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22:31" ht="11.25" customHeight="1" x14ac:dyDescent="0.25"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22:31" ht="11.25" customHeight="1" x14ac:dyDescent="0.25"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22:31" ht="11.25" customHeight="1" x14ac:dyDescent="0.25"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22:31" ht="11.25" customHeight="1" x14ac:dyDescent="0.25"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22:31" ht="11.25" customHeight="1" x14ac:dyDescent="0.25"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22:31" ht="11.25" customHeight="1" x14ac:dyDescent="0.25"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22:31" ht="11.25" customHeight="1" x14ac:dyDescent="0.25"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22:31" ht="11.25" customHeight="1" x14ac:dyDescent="0.25"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22:31" ht="11.25" customHeight="1" x14ac:dyDescent="0.25"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22:31" ht="11.25" customHeight="1" x14ac:dyDescent="0.25"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22:31" ht="11.25" customHeight="1" x14ac:dyDescent="0.25"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22:31" ht="11.25" customHeight="1" x14ac:dyDescent="0.25"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22:31" ht="11.25" customHeight="1" x14ac:dyDescent="0.25"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22:31" ht="11.25" customHeight="1" x14ac:dyDescent="0.25"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22:31" ht="11.25" customHeight="1" x14ac:dyDescent="0.25"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22:31" ht="11.25" customHeight="1" x14ac:dyDescent="0.25"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22:31" ht="11.25" customHeight="1" x14ac:dyDescent="0.25"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22:31" ht="11.25" customHeight="1" x14ac:dyDescent="0.25"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22:31" ht="11.25" customHeight="1" x14ac:dyDescent="0.25"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22:31" ht="11.25" customHeight="1" x14ac:dyDescent="0.25"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22:31" ht="11.25" customHeight="1" x14ac:dyDescent="0.25"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22:31" ht="11.25" customHeight="1" x14ac:dyDescent="0.25"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22:31" ht="11.25" customHeight="1" x14ac:dyDescent="0.25"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22:31" ht="11.25" customHeight="1" x14ac:dyDescent="0.25"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22:31" ht="11.25" customHeight="1" x14ac:dyDescent="0.25"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22:31" ht="11.25" customHeight="1" x14ac:dyDescent="0.25"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22:31" ht="11.25" customHeight="1" x14ac:dyDescent="0.25"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22:31" ht="11.25" customHeight="1" x14ac:dyDescent="0.25"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22:31" ht="11.25" customHeight="1" x14ac:dyDescent="0.25"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22:31" ht="11.25" customHeight="1" x14ac:dyDescent="0.25"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22:31" ht="11.25" customHeight="1" x14ac:dyDescent="0.25"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22:31" ht="11.25" customHeight="1" x14ac:dyDescent="0.25"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22:31" ht="11.25" customHeight="1" x14ac:dyDescent="0.25"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22:31" ht="11.25" customHeight="1" x14ac:dyDescent="0.25"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6AFF-AE6D-4B3F-921E-1C941C7E7A75}">
  <sheetPr codeName="Planilha18"/>
  <dimension ref="A1:J496"/>
  <sheetViews>
    <sheetView showGridLines="0" workbookViewId="0"/>
  </sheetViews>
  <sheetFormatPr defaultColWidth="9.140625" defaultRowHeight="11.25" customHeight="1" x14ac:dyDescent="0.2"/>
  <cols>
    <col min="1" max="1" width="34.7109375" style="14" bestFit="1" customWidth="1"/>
    <col min="2" max="2" width="24.5703125" style="39" bestFit="1" customWidth="1"/>
    <col min="3" max="3" width="25.5703125" style="39" bestFit="1" customWidth="1"/>
    <col min="4" max="4" width="26" style="39" bestFit="1" customWidth="1"/>
    <col min="5" max="5" width="26.85546875" style="39" bestFit="1" customWidth="1"/>
    <col min="6" max="6" width="23.7109375" style="39" bestFit="1" customWidth="1"/>
    <col min="7" max="7" width="24.5703125" style="39" bestFit="1" customWidth="1"/>
    <col min="8" max="8" width="18.28515625" style="40" bestFit="1" customWidth="1"/>
    <col min="9" max="9" width="16" style="40" bestFit="1" customWidth="1"/>
    <col min="10" max="10" width="13.85546875" style="40" bestFit="1" customWidth="1"/>
    <col min="11" max="16384" width="9.140625" style="14"/>
  </cols>
  <sheetData>
    <row r="1" spans="1:10" ht="11.25" customHeight="1" x14ac:dyDescent="0.2">
      <c r="A1" s="38" t="s">
        <v>546</v>
      </c>
      <c r="B1" s="39" t="s">
        <v>547</v>
      </c>
      <c r="C1" s="39" t="s">
        <v>548</v>
      </c>
      <c r="D1" s="39" t="s">
        <v>549</v>
      </c>
      <c r="E1" s="39" t="s">
        <v>550</v>
      </c>
      <c r="F1" s="39" t="s">
        <v>551</v>
      </c>
      <c r="G1" s="39" t="s">
        <v>552</v>
      </c>
      <c r="H1" s="40" t="s">
        <v>553</v>
      </c>
      <c r="I1" s="40" t="s">
        <v>554</v>
      </c>
      <c r="J1" s="40" t="s">
        <v>555</v>
      </c>
    </row>
    <row r="2" spans="1:10" ht="11.25" customHeight="1" x14ac:dyDescent="0.2">
      <c r="A2" s="41" t="s">
        <v>26</v>
      </c>
      <c r="B2" s="39">
        <v>4607406.7495999997</v>
      </c>
      <c r="C2" s="39">
        <v>4653685.6083876826</v>
      </c>
      <c r="D2" s="39">
        <v>31263982.728115108</v>
      </c>
      <c r="E2" s="39">
        <v>33115592.604371514</v>
      </c>
      <c r="F2" s="39">
        <v>20669350.34774239</v>
      </c>
      <c r="G2" s="39">
        <v>21292907.804825302</v>
      </c>
      <c r="H2" s="40">
        <v>5.2908146650497256E-2</v>
      </c>
      <c r="I2" s="40">
        <v>3.0168217510086581E-2</v>
      </c>
      <c r="J2" s="40">
        <v>4.4595210460823154E-2</v>
      </c>
    </row>
    <row r="3" spans="1:10" ht="11.25" customHeight="1" x14ac:dyDescent="0.2">
      <c r="A3" s="42" t="s">
        <v>35</v>
      </c>
      <c r="B3" s="39">
        <v>4607406.7495999997</v>
      </c>
      <c r="C3" s="39">
        <v>4653685.6083876826</v>
      </c>
      <c r="D3" s="39">
        <v>2334116.0513655986</v>
      </c>
      <c r="E3" s="39">
        <v>2505172.854396414</v>
      </c>
      <c r="F3" s="39">
        <v>3512314.2720716</v>
      </c>
      <c r="G3" s="39">
        <v>3497260.9771528523</v>
      </c>
      <c r="H3" s="40">
        <v>3.1309507733413344E-2</v>
      </c>
      <c r="I3" s="40">
        <v>-4.2858621844983347E-3</v>
      </c>
      <c r="J3" s="40">
        <v>1.9350059264026997E-2</v>
      </c>
    </row>
    <row r="4" spans="1:10" ht="11.25" customHeight="1" x14ac:dyDescent="0.2">
      <c r="A4" s="43" t="s">
        <v>52</v>
      </c>
      <c r="B4" s="39">
        <v>68064.727999999988</v>
      </c>
      <c r="C4" s="39">
        <v>69049.4122872429</v>
      </c>
      <c r="D4" s="39">
        <v>20604.877079999998</v>
      </c>
      <c r="E4" s="39">
        <v>23306.437090914707</v>
      </c>
      <c r="F4" s="39">
        <v>65518.937179999994</v>
      </c>
      <c r="G4" s="39">
        <v>65238.132044771657</v>
      </c>
      <c r="H4" s="40">
        <v>4.1572806091014103E-2</v>
      </c>
      <c r="I4" s="40">
        <v>-4.2858621844991118E-3</v>
      </c>
      <c r="J4" s="40">
        <v>2.2086201173021625E-2</v>
      </c>
    </row>
    <row r="5" spans="1:10" ht="11.25" customHeight="1" x14ac:dyDescent="0.2">
      <c r="A5" s="44" t="s">
        <v>34</v>
      </c>
      <c r="B5" s="39">
        <v>41123.96</v>
      </c>
      <c r="C5" s="39">
        <v>41701.023516178218</v>
      </c>
      <c r="D5" s="39">
        <v>19049.570519999997</v>
      </c>
      <c r="E5" s="39">
        <v>21547.210168230882</v>
      </c>
      <c r="F5" s="39">
        <v>60573.407419999996</v>
      </c>
      <c r="G5" s="39">
        <v>60313.798143752356</v>
      </c>
      <c r="H5" s="40">
        <v>5.1097270474883549E-2</v>
      </c>
      <c r="I5" s="40">
        <v>-4.2858621844992228E-3</v>
      </c>
      <c r="J5" s="40">
        <v>2.331399815339652E-2</v>
      </c>
    </row>
    <row r="6" spans="1:10" ht="11.25" customHeight="1" x14ac:dyDescent="0.2">
      <c r="A6" s="45" t="s">
        <v>25</v>
      </c>
      <c r="B6" s="39">
        <v>41123.96</v>
      </c>
      <c r="C6" s="39">
        <v>41701.023516178218</v>
      </c>
      <c r="D6" s="39">
        <v>19049.570519999997</v>
      </c>
      <c r="E6" s="39">
        <v>21547.210168230882</v>
      </c>
      <c r="F6" s="39">
        <v>60573.407419999996</v>
      </c>
      <c r="G6" s="39">
        <v>60313.798143752356</v>
      </c>
      <c r="H6" s="40">
        <v>5.1097270474883549E-2</v>
      </c>
      <c r="I6" s="40">
        <v>-4.2858621844992228E-3</v>
      </c>
      <c r="J6" s="40">
        <v>2.331399815339652E-2</v>
      </c>
    </row>
    <row r="7" spans="1:10" ht="11.25" customHeight="1" x14ac:dyDescent="0.2">
      <c r="A7" s="46" t="s">
        <v>25</v>
      </c>
      <c r="B7" s="39">
        <v>41123.96</v>
      </c>
      <c r="C7" s="39">
        <v>41701.023516178218</v>
      </c>
      <c r="D7" s="39">
        <v>19049.570519999997</v>
      </c>
      <c r="E7" s="39">
        <v>21547.210168230882</v>
      </c>
      <c r="F7" s="39">
        <v>60573.407419999996</v>
      </c>
      <c r="G7" s="39">
        <v>60313.798143752356</v>
      </c>
      <c r="H7" s="40">
        <v>5.1097270474883549E-2</v>
      </c>
      <c r="I7" s="40">
        <v>-4.2858621844992228E-3</v>
      </c>
      <c r="J7" s="40">
        <v>2.331399815339652E-2</v>
      </c>
    </row>
    <row r="8" spans="1:10" ht="11.25" customHeight="1" x14ac:dyDescent="0.2">
      <c r="A8" s="47" t="s">
        <v>25</v>
      </c>
      <c r="B8" s="39">
        <v>41123.96</v>
      </c>
      <c r="C8" s="39">
        <v>41701.023516178218</v>
      </c>
      <c r="D8" s="39">
        <v>19049.570519999997</v>
      </c>
      <c r="E8" s="39">
        <v>21547.210168230882</v>
      </c>
      <c r="F8" s="39">
        <v>60573.407419999996</v>
      </c>
      <c r="G8" s="39">
        <v>60313.798143752356</v>
      </c>
      <c r="H8" s="40">
        <v>5.1097270474883549E-2</v>
      </c>
      <c r="I8" s="40">
        <v>-4.2858621844992228E-3</v>
      </c>
      <c r="J8" s="40">
        <v>2.331399815339652E-2</v>
      </c>
    </row>
    <row r="9" spans="1:10" ht="11.25" customHeight="1" x14ac:dyDescent="0.2">
      <c r="A9" s="48" t="s">
        <v>38</v>
      </c>
      <c r="B9" s="39">
        <v>27252</v>
      </c>
      <c r="C9" s="39">
        <v>27523.924177031047</v>
      </c>
      <c r="D9" s="39">
        <v>17887.135919999997</v>
      </c>
      <c r="E9" s="39">
        <v>20232.36568883821</v>
      </c>
      <c r="F9" s="39">
        <v>56877.123319999999</v>
      </c>
      <c r="G9" s="39">
        <v>56633.355807999709</v>
      </c>
      <c r="H9" s="40">
        <v>5.7979708572792221E-2</v>
      </c>
      <c r="I9" s="40">
        <v>-4.2858621844992228E-3</v>
      </c>
      <c r="J9" s="40">
        <v>2.3264785942458621E-2</v>
      </c>
    </row>
    <row r="10" spans="1:10" ht="11.25" customHeight="1" x14ac:dyDescent="0.2">
      <c r="A10" s="49">
        <v>44713</v>
      </c>
      <c r="B10" s="39">
        <v>27252</v>
      </c>
      <c r="C10" s="39">
        <v>27523.924177031047</v>
      </c>
      <c r="D10" s="39">
        <v>17887.135919999997</v>
      </c>
      <c r="E10" s="39">
        <v>20232.36568883821</v>
      </c>
      <c r="F10" s="39">
        <v>56877.123319999999</v>
      </c>
      <c r="G10" s="39">
        <v>56633.355807999709</v>
      </c>
      <c r="H10" s="40">
        <v>5.7979708572792221E-2</v>
      </c>
      <c r="I10" s="40">
        <v>-4.2858621844992228E-3</v>
      </c>
      <c r="J10" s="40">
        <v>2.3264785942458621E-2</v>
      </c>
    </row>
    <row r="11" spans="1:10" ht="11.25" customHeight="1" x14ac:dyDescent="0.2">
      <c r="A11" s="48" t="s">
        <v>37</v>
      </c>
      <c r="B11" s="39">
        <v>13871.960000000001</v>
      </c>
      <c r="C11" s="39">
        <v>14177.099339147173</v>
      </c>
      <c r="D11" s="39">
        <v>1162.4345999999998</v>
      </c>
      <c r="E11" s="39">
        <v>1314.8444793926722</v>
      </c>
      <c r="F11" s="39">
        <v>3696.2840999999999</v>
      </c>
      <c r="G11" s="39">
        <v>3680.4423357526439</v>
      </c>
      <c r="H11" s="40">
        <v>3.0433498036551709E-2</v>
      </c>
      <c r="I11" s="40">
        <v>-4.2858621844993339E-3</v>
      </c>
      <c r="J11" s="40">
        <v>2.3582031455832375E-2</v>
      </c>
    </row>
    <row r="12" spans="1:10" ht="11.25" customHeight="1" x14ac:dyDescent="0.2">
      <c r="A12" s="49">
        <v>44713</v>
      </c>
      <c r="B12" s="39">
        <v>13871.960000000001</v>
      </c>
      <c r="C12" s="39">
        <v>14177.099339147173</v>
      </c>
      <c r="D12" s="39">
        <v>1162.4345999999998</v>
      </c>
      <c r="E12" s="39">
        <v>1314.8444793926722</v>
      </c>
      <c r="F12" s="39">
        <v>3696.2840999999999</v>
      </c>
      <c r="G12" s="39">
        <v>3680.4423357526439</v>
      </c>
      <c r="H12" s="40">
        <v>3.0433498036551709E-2</v>
      </c>
      <c r="I12" s="40">
        <v>-4.2858621844993339E-3</v>
      </c>
      <c r="J12" s="40">
        <v>2.3582031455832375E-2</v>
      </c>
    </row>
    <row r="13" spans="1:10" ht="11.25" customHeight="1" x14ac:dyDescent="0.2">
      <c r="A13" s="44" t="s">
        <v>41</v>
      </c>
      <c r="B13" s="39">
        <v>26940.767999999996</v>
      </c>
      <c r="C13" s="39">
        <v>27348.388771064678</v>
      </c>
      <c r="D13" s="39">
        <v>1555.30656</v>
      </c>
      <c r="E13" s="39">
        <v>1759.2269226838293</v>
      </c>
      <c r="F13" s="39">
        <v>4945.5297600000004</v>
      </c>
      <c r="G13" s="39">
        <v>4924.3339010192994</v>
      </c>
      <c r="H13" s="40">
        <v>2.1460539502059284E-2</v>
      </c>
      <c r="I13" s="40">
        <v>-4.2858621844995559E-3</v>
      </c>
      <c r="J13" s="40">
        <v>1.7653018949654431E-2</v>
      </c>
    </row>
    <row r="14" spans="1:10" ht="11.25" customHeight="1" x14ac:dyDescent="0.2">
      <c r="A14" s="45" t="s">
        <v>25</v>
      </c>
      <c r="B14" s="39">
        <v>26940.767999999996</v>
      </c>
      <c r="C14" s="39">
        <v>27348.388771064678</v>
      </c>
      <c r="D14" s="39">
        <v>1555.30656</v>
      </c>
      <c r="E14" s="39">
        <v>1759.2269226838293</v>
      </c>
      <c r="F14" s="39">
        <v>4945.5297600000004</v>
      </c>
      <c r="G14" s="39">
        <v>4924.3339010192994</v>
      </c>
      <c r="H14" s="40">
        <v>2.1460539502059284E-2</v>
      </c>
      <c r="I14" s="40">
        <v>-4.2858621844995559E-3</v>
      </c>
      <c r="J14" s="40">
        <v>1.7653018949654431E-2</v>
      </c>
    </row>
    <row r="15" spans="1:10" ht="11.25" customHeight="1" x14ac:dyDescent="0.2">
      <c r="A15" s="46" t="s">
        <v>25</v>
      </c>
      <c r="B15" s="39">
        <v>26940.767999999996</v>
      </c>
      <c r="C15" s="39">
        <v>27348.388771064678</v>
      </c>
      <c r="D15" s="39">
        <v>1555.30656</v>
      </c>
      <c r="E15" s="39">
        <v>1759.2269226838293</v>
      </c>
      <c r="F15" s="39">
        <v>4945.5297600000004</v>
      </c>
      <c r="G15" s="39">
        <v>4924.3339010192994</v>
      </c>
      <c r="H15" s="40">
        <v>2.1460539502059284E-2</v>
      </c>
      <c r="I15" s="40">
        <v>-4.2858621844995559E-3</v>
      </c>
      <c r="J15" s="40">
        <v>1.7653018949654431E-2</v>
      </c>
    </row>
    <row r="16" spans="1:10" ht="11.25" customHeight="1" x14ac:dyDescent="0.2">
      <c r="A16" s="47" t="s">
        <v>25</v>
      </c>
      <c r="B16" s="39">
        <v>26940.767999999996</v>
      </c>
      <c r="C16" s="39">
        <v>27348.388771064678</v>
      </c>
      <c r="D16" s="39">
        <v>1555.30656</v>
      </c>
      <c r="E16" s="39">
        <v>1759.2269226838293</v>
      </c>
      <c r="F16" s="39">
        <v>4945.5297600000004</v>
      </c>
      <c r="G16" s="39">
        <v>4924.3339010192994</v>
      </c>
      <c r="H16" s="40">
        <v>2.1460539502059284E-2</v>
      </c>
      <c r="I16" s="40">
        <v>-4.2858621844995559E-3</v>
      </c>
      <c r="J16" s="40">
        <v>1.7653018949654431E-2</v>
      </c>
    </row>
    <row r="17" spans="1:10" ht="11.25" customHeight="1" x14ac:dyDescent="0.2">
      <c r="A17" s="48" t="s">
        <v>38</v>
      </c>
      <c r="B17" s="39">
        <v>15391.929599999999</v>
      </c>
      <c r="C17" s="39">
        <v>15545.512375187132</v>
      </c>
      <c r="D17" s="39">
        <v>1414.5865343999999</v>
      </c>
      <c r="E17" s="39">
        <v>1600.056721796695</v>
      </c>
      <c r="F17" s="39">
        <v>4498.0713023999997</v>
      </c>
      <c r="G17" s="39">
        <v>4478.7931887018622</v>
      </c>
      <c r="H17" s="40">
        <v>2.0173899211023416E-2</v>
      </c>
      <c r="I17" s="40">
        <v>-4.2858621844992228E-3</v>
      </c>
      <c r="J17" s="40">
        <v>1.5009671031382066E-2</v>
      </c>
    </row>
    <row r="18" spans="1:10" ht="11.25" customHeight="1" x14ac:dyDescent="0.2">
      <c r="A18" s="49">
        <v>44593</v>
      </c>
      <c r="B18" s="39">
        <v>3270.2400000000002</v>
      </c>
      <c r="C18" s="39">
        <v>3302.8709012437257</v>
      </c>
      <c r="D18" s="39">
        <v>0</v>
      </c>
      <c r="E18" s="39">
        <v>0</v>
      </c>
      <c r="F18" s="39">
        <v>0</v>
      </c>
      <c r="G18" s="39">
        <v>0</v>
      </c>
      <c r="H18" s="40">
        <v>9.9781365415765322E-3</v>
      </c>
      <c r="I18" s="40">
        <v>0</v>
      </c>
      <c r="J18" s="40">
        <v>9.9781365415765322E-3</v>
      </c>
    </row>
    <row r="19" spans="1:10" ht="11.25" customHeight="1" x14ac:dyDescent="0.2">
      <c r="A19" s="49">
        <v>44621</v>
      </c>
      <c r="B19" s="39">
        <v>2790.6047999999996</v>
      </c>
      <c r="C19" s="39">
        <v>2818.4498357279786</v>
      </c>
      <c r="D19" s="39">
        <v>0</v>
      </c>
      <c r="E19" s="39">
        <v>0</v>
      </c>
      <c r="F19" s="39">
        <v>0</v>
      </c>
      <c r="G19" s="39">
        <v>0</v>
      </c>
      <c r="H19" s="40">
        <v>9.9781365415765322E-3</v>
      </c>
      <c r="I19" s="40">
        <v>0</v>
      </c>
      <c r="J19" s="40">
        <v>9.9781365415765322E-3</v>
      </c>
    </row>
    <row r="20" spans="1:10" ht="11.25" customHeight="1" x14ac:dyDescent="0.2">
      <c r="A20" s="49">
        <v>44652</v>
      </c>
      <c r="B20" s="39">
        <v>2834.2080000000001</v>
      </c>
      <c r="C20" s="39">
        <v>2862.4881144112287</v>
      </c>
      <c r="D20" s="39">
        <v>0</v>
      </c>
      <c r="E20" s="39">
        <v>0</v>
      </c>
      <c r="F20" s="39">
        <v>0</v>
      </c>
      <c r="G20" s="39">
        <v>0</v>
      </c>
      <c r="H20" s="40">
        <v>9.9781365415765322E-3</v>
      </c>
      <c r="I20" s="40">
        <v>0</v>
      </c>
      <c r="J20" s="40">
        <v>9.9781365415765322E-3</v>
      </c>
    </row>
    <row r="21" spans="1:10" ht="11.25" customHeight="1" x14ac:dyDescent="0.2">
      <c r="A21" s="49">
        <v>44682</v>
      </c>
      <c r="B21" s="39">
        <v>4055.0976000000001</v>
      </c>
      <c r="C21" s="39">
        <v>4095.5599175422199</v>
      </c>
      <c r="D21" s="39">
        <v>827.94850559999986</v>
      </c>
      <c r="E21" s="39">
        <v>936.50302718929129</v>
      </c>
      <c r="F21" s="39">
        <v>2632.6925375999999</v>
      </c>
      <c r="G21" s="39">
        <v>2621.4091802096864</v>
      </c>
      <c r="H21" s="40">
        <v>3.0517188637767534E-2</v>
      </c>
      <c r="I21" s="40">
        <v>-4.2858621844993339E-3</v>
      </c>
      <c r="J21" s="40">
        <v>1.8326007366663122E-2</v>
      </c>
    </row>
    <row r="22" spans="1:10" ht="11.25" customHeight="1" x14ac:dyDescent="0.2">
      <c r="A22" s="49">
        <v>44713</v>
      </c>
      <c r="B22" s="39">
        <v>2441.7791999999999</v>
      </c>
      <c r="C22" s="39">
        <v>2466.1436062619814</v>
      </c>
      <c r="D22" s="39">
        <v>586.63802879999992</v>
      </c>
      <c r="E22" s="39">
        <v>663.55369460740371</v>
      </c>
      <c r="F22" s="39">
        <v>1865.3787648</v>
      </c>
      <c r="G22" s="39">
        <v>1857.3840084921756</v>
      </c>
      <c r="H22" s="40">
        <v>3.3443235993448894E-2</v>
      </c>
      <c r="I22" s="40">
        <v>-4.2858621844993339E-3</v>
      </c>
      <c r="J22" s="40">
        <v>1.9061954336379694E-2</v>
      </c>
    </row>
    <row r="23" spans="1:10" ht="11.25" customHeight="1" x14ac:dyDescent="0.2">
      <c r="A23" s="48" t="s">
        <v>37</v>
      </c>
      <c r="B23" s="39">
        <v>11548.838400000001</v>
      </c>
      <c r="C23" s="39">
        <v>11802.876395877545</v>
      </c>
      <c r="D23" s="39">
        <v>140.72002559999999</v>
      </c>
      <c r="E23" s="39">
        <v>159.17020088713423</v>
      </c>
      <c r="F23" s="39">
        <v>447.45845759999997</v>
      </c>
      <c r="G23" s="39">
        <v>445.54071231743774</v>
      </c>
      <c r="H23" s="40">
        <v>2.3310390456489305E-2</v>
      </c>
      <c r="I23" s="40">
        <v>-4.2858621844993339E-3</v>
      </c>
      <c r="J23" s="40">
        <v>2.2292992461486971E-2</v>
      </c>
    </row>
    <row r="24" spans="1:10" ht="11.25" customHeight="1" x14ac:dyDescent="0.2">
      <c r="A24" s="49">
        <v>44593</v>
      </c>
      <c r="B24" s="39">
        <v>4144.32</v>
      </c>
      <c r="C24" s="39">
        <v>4235.4819602431389</v>
      </c>
      <c r="D24" s="39">
        <v>0</v>
      </c>
      <c r="E24" s="39">
        <v>0</v>
      </c>
      <c r="F24" s="39">
        <v>0</v>
      </c>
      <c r="G24" s="39">
        <v>0</v>
      </c>
      <c r="H24" s="40">
        <v>2.1996843931727961E-2</v>
      </c>
      <c r="I24" s="40">
        <v>0</v>
      </c>
      <c r="J24" s="40">
        <v>2.1996843931727961E-2</v>
      </c>
    </row>
    <row r="25" spans="1:10" ht="11.25" customHeight="1" x14ac:dyDescent="0.2">
      <c r="A25" s="49">
        <v>44621</v>
      </c>
      <c r="B25" s="39">
        <v>663.09120000000007</v>
      </c>
      <c r="C25" s="39">
        <v>677.67711363890226</v>
      </c>
      <c r="D25" s="39">
        <v>0</v>
      </c>
      <c r="E25" s="39">
        <v>0</v>
      </c>
      <c r="F25" s="39">
        <v>0</v>
      </c>
      <c r="G25" s="39">
        <v>0</v>
      </c>
      <c r="H25" s="40">
        <v>2.1996843931727961E-2</v>
      </c>
      <c r="I25" s="40">
        <v>0</v>
      </c>
      <c r="J25" s="40">
        <v>2.1996843931727961E-2</v>
      </c>
    </row>
    <row r="26" spans="1:10" ht="11.25" customHeight="1" x14ac:dyDescent="0.2">
      <c r="A26" s="49">
        <v>44652</v>
      </c>
      <c r="B26" s="39">
        <v>607.83359999999993</v>
      </c>
      <c r="C26" s="39">
        <v>621.20402083566023</v>
      </c>
      <c r="D26" s="39">
        <v>0</v>
      </c>
      <c r="E26" s="39">
        <v>0</v>
      </c>
      <c r="F26" s="39">
        <v>0</v>
      </c>
      <c r="G26" s="39">
        <v>0</v>
      </c>
      <c r="H26" s="40">
        <v>2.1996843931727961E-2</v>
      </c>
      <c r="I26" s="40">
        <v>0</v>
      </c>
      <c r="J26" s="40">
        <v>2.1996843931727961E-2</v>
      </c>
    </row>
    <row r="27" spans="1:10" ht="11.25" customHeight="1" x14ac:dyDescent="0.2">
      <c r="A27" s="49">
        <v>44682</v>
      </c>
      <c r="B27" s="39">
        <v>4420.6080000000002</v>
      </c>
      <c r="C27" s="39">
        <v>4517.8474242593475</v>
      </c>
      <c r="D27" s="39">
        <v>85.665599999999998</v>
      </c>
      <c r="E27" s="39">
        <v>96.897443721875547</v>
      </c>
      <c r="F27" s="39">
        <v>272.39760000000001</v>
      </c>
      <c r="G27" s="39">
        <v>271.23014142701163</v>
      </c>
      <c r="H27" s="40">
        <v>2.4071167800646442E-2</v>
      </c>
      <c r="I27" s="40">
        <v>-4.2858621844993339E-3</v>
      </c>
      <c r="J27" s="40">
        <v>2.2454737921335566E-2</v>
      </c>
    </row>
    <row r="28" spans="1:10" ht="11.25" customHeight="1" x14ac:dyDescent="0.2">
      <c r="A28" s="49">
        <v>44713</v>
      </c>
      <c r="B28" s="39">
        <v>1712.9856</v>
      </c>
      <c r="C28" s="39">
        <v>1750.6658769004971</v>
      </c>
      <c r="D28" s="39">
        <v>55.054425599999988</v>
      </c>
      <c r="E28" s="39">
        <v>62.272757165258675</v>
      </c>
      <c r="F28" s="39">
        <v>175.06085759999999</v>
      </c>
      <c r="G28" s="39">
        <v>174.31057089042611</v>
      </c>
      <c r="H28" s="40">
        <v>2.5394565629541788E-2</v>
      </c>
      <c r="I28" s="40">
        <v>-4.2858621844994449E-3</v>
      </c>
      <c r="J28" s="40">
        <v>2.2720550506608816E-2</v>
      </c>
    </row>
    <row r="29" spans="1:10" ht="11.25" customHeight="1" x14ac:dyDescent="0.2">
      <c r="A29" s="43" t="s">
        <v>36</v>
      </c>
      <c r="B29" s="39">
        <v>4539342.0215999996</v>
      </c>
      <c r="C29" s="39">
        <v>4584636.1961004399</v>
      </c>
      <c r="D29" s="39">
        <v>2313511.1742855986</v>
      </c>
      <c r="E29" s="39">
        <v>2481866.4173054993</v>
      </c>
      <c r="F29" s="39">
        <v>3446795.3348915996</v>
      </c>
      <c r="G29" s="39">
        <v>3432022.8451080807</v>
      </c>
      <c r="H29" s="40">
        <v>3.1176710110850214E-2</v>
      </c>
      <c r="I29" s="40">
        <v>-4.2858621844983347E-3</v>
      </c>
      <c r="J29" s="40">
        <v>1.9309098474820763E-2</v>
      </c>
    </row>
    <row r="30" spans="1:10" ht="11.25" customHeight="1" x14ac:dyDescent="0.2">
      <c r="A30" s="44" t="s">
        <v>39</v>
      </c>
      <c r="B30" s="39">
        <v>1488231.7200000002</v>
      </c>
      <c r="C30" s="39">
        <v>1503081.4993076655</v>
      </c>
      <c r="D30" s="39">
        <v>610565.19876000006</v>
      </c>
      <c r="E30" s="39">
        <v>658434.43673191639</v>
      </c>
      <c r="F30" s="39">
        <v>1009241.43126</v>
      </c>
      <c r="G30" s="39">
        <v>1004915.9615747329</v>
      </c>
      <c r="H30" s="40">
        <v>2.9883318733208819E-2</v>
      </c>
      <c r="I30" s="40">
        <v>-4.2858621844993339E-3</v>
      </c>
      <c r="J30" s="40">
        <v>1.8787910900114335E-2</v>
      </c>
    </row>
    <row r="31" spans="1:10" ht="11.25" customHeight="1" x14ac:dyDescent="0.2">
      <c r="A31" s="45" t="s">
        <v>25</v>
      </c>
      <c r="B31" s="39">
        <v>1488231.7200000002</v>
      </c>
      <c r="C31" s="39">
        <v>1503081.4993076655</v>
      </c>
      <c r="D31" s="39">
        <v>610565.19876000006</v>
      </c>
      <c r="E31" s="39">
        <v>658434.43673191639</v>
      </c>
      <c r="F31" s="39">
        <v>1009241.43126</v>
      </c>
      <c r="G31" s="39">
        <v>1004915.9615747329</v>
      </c>
      <c r="H31" s="40">
        <v>2.9883318733208819E-2</v>
      </c>
      <c r="I31" s="40">
        <v>-4.2858621844993339E-3</v>
      </c>
      <c r="J31" s="40">
        <v>1.8787910900114335E-2</v>
      </c>
    </row>
    <row r="32" spans="1:10" ht="11.25" customHeight="1" x14ac:dyDescent="0.2">
      <c r="A32" s="46" t="s">
        <v>25</v>
      </c>
      <c r="B32" s="39">
        <v>1488231.7200000002</v>
      </c>
      <c r="C32" s="39">
        <v>1503081.4993076655</v>
      </c>
      <c r="D32" s="39">
        <v>610565.19876000006</v>
      </c>
      <c r="E32" s="39">
        <v>658434.43673191639</v>
      </c>
      <c r="F32" s="39">
        <v>1009241.43126</v>
      </c>
      <c r="G32" s="39">
        <v>1004915.9615747329</v>
      </c>
      <c r="H32" s="40">
        <v>2.9883318733208819E-2</v>
      </c>
      <c r="I32" s="40">
        <v>-4.2858621844993339E-3</v>
      </c>
      <c r="J32" s="40">
        <v>1.8787910900114335E-2</v>
      </c>
    </row>
    <row r="33" spans="1:10" ht="11.25" customHeight="1" x14ac:dyDescent="0.2">
      <c r="A33" s="47" t="s">
        <v>25</v>
      </c>
      <c r="B33" s="39">
        <v>1488231.7200000002</v>
      </c>
      <c r="C33" s="39">
        <v>1503081.4993076655</v>
      </c>
      <c r="D33" s="39">
        <v>610565.19876000006</v>
      </c>
      <c r="E33" s="39">
        <v>658434.43673191639</v>
      </c>
      <c r="F33" s="39">
        <v>1009241.43126</v>
      </c>
      <c r="G33" s="39">
        <v>1004915.9615747329</v>
      </c>
      <c r="H33" s="40">
        <v>2.9883318733208819E-2</v>
      </c>
      <c r="I33" s="40">
        <v>-4.2858621844993339E-3</v>
      </c>
      <c r="J33" s="40">
        <v>1.8787910900114335E-2</v>
      </c>
    </row>
    <row r="34" spans="1:10" ht="11.25" customHeight="1" x14ac:dyDescent="0.2">
      <c r="A34" s="48" t="s">
        <v>38</v>
      </c>
      <c r="B34" s="39">
        <v>0</v>
      </c>
      <c r="C34" s="39">
        <v>0</v>
      </c>
      <c r="D34" s="39">
        <v>300613.20227999997</v>
      </c>
      <c r="E34" s="39">
        <v>340027.39547705365</v>
      </c>
      <c r="F34" s="39">
        <v>955883.28137999983</v>
      </c>
      <c r="G34" s="39">
        <v>951786.49737153831</v>
      </c>
      <c r="H34" s="40">
        <v>0.13111264873969897</v>
      </c>
      <c r="I34" s="40">
        <v>-4.2858621844993339E-3</v>
      </c>
      <c r="J34" s="40">
        <v>2.8107845623027483E-2</v>
      </c>
    </row>
    <row r="35" spans="1:10" ht="11.25" customHeight="1" x14ac:dyDescent="0.2">
      <c r="A35" s="49">
        <v>44378</v>
      </c>
      <c r="B35" s="39">
        <v>0</v>
      </c>
      <c r="C35" s="39">
        <v>0</v>
      </c>
      <c r="D35" s="39">
        <v>18096.857999999997</v>
      </c>
      <c r="E35" s="39">
        <v>20469.584986246209</v>
      </c>
      <c r="F35" s="39">
        <v>57543.992999999995</v>
      </c>
      <c r="G35" s="39">
        <v>57297.367376456205</v>
      </c>
      <c r="H35" s="40">
        <v>0.13111264873969897</v>
      </c>
      <c r="I35" s="40">
        <v>-4.2858621844992228E-3</v>
      </c>
      <c r="J35" s="40">
        <v>2.8107845623027483E-2</v>
      </c>
    </row>
    <row r="36" spans="1:10" ht="11.25" customHeight="1" x14ac:dyDescent="0.2">
      <c r="A36" s="49">
        <v>44409</v>
      </c>
      <c r="B36" s="39">
        <v>0</v>
      </c>
      <c r="C36" s="39">
        <v>0</v>
      </c>
      <c r="D36" s="39">
        <v>21357.861839999998</v>
      </c>
      <c r="E36" s="39">
        <v>24158.147677258938</v>
      </c>
      <c r="F36" s="39">
        <v>67913.261639999997</v>
      </c>
      <c r="G36" s="39">
        <v>67622.194760111117</v>
      </c>
      <c r="H36" s="40">
        <v>0.13111264873969897</v>
      </c>
      <c r="I36" s="40">
        <v>-4.2858621844992228E-3</v>
      </c>
      <c r="J36" s="40">
        <v>2.8107845623027483E-2</v>
      </c>
    </row>
    <row r="37" spans="1:10" ht="11.25" customHeight="1" x14ac:dyDescent="0.2">
      <c r="A37" s="49">
        <v>44440</v>
      </c>
      <c r="B37" s="39">
        <v>0</v>
      </c>
      <c r="C37" s="39">
        <v>0</v>
      </c>
      <c r="D37" s="39">
        <v>18007.940279999999</v>
      </c>
      <c r="E37" s="39">
        <v>20369.009028457112</v>
      </c>
      <c r="F37" s="39">
        <v>57261.254379999998</v>
      </c>
      <c r="G37" s="39">
        <v>57015.840535215757</v>
      </c>
      <c r="H37" s="40">
        <v>0.13111264873969875</v>
      </c>
      <c r="I37" s="40">
        <v>-4.2858621844993339E-3</v>
      </c>
      <c r="J37" s="40">
        <v>2.8107845623027483E-2</v>
      </c>
    </row>
    <row r="38" spans="1:10" ht="11.25" customHeight="1" x14ac:dyDescent="0.2">
      <c r="A38" s="49">
        <v>44470</v>
      </c>
      <c r="B38" s="39">
        <v>0</v>
      </c>
      <c r="C38" s="39">
        <v>0</v>
      </c>
      <c r="D38" s="39">
        <v>18019.996919999998</v>
      </c>
      <c r="E38" s="39">
        <v>20382.646446462415</v>
      </c>
      <c r="F38" s="39">
        <v>57299.591820000001</v>
      </c>
      <c r="G38" s="39">
        <v>57054.013666231418</v>
      </c>
      <c r="H38" s="40">
        <v>0.13111264873969897</v>
      </c>
      <c r="I38" s="40">
        <v>-4.2858621844993339E-3</v>
      </c>
      <c r="J38" s="40">
        <v>2.8107845623027261E-2</v>
      </c>
    </row>
    <row r="39" spans="1:10" ht="11.25" customHeight="1" x14ac:dyDescent="0.2">
      <c r="A39" s="49">
        <v>44501</v>
      </c>
      <c r="B39" s="39">
        <v>0</v>
      </c>
      <c r="C39" s="39">
        <v>0</v>
      </c>
      <c r="D39" s="39">
        <v>22016.217839999998</v>
      </c>
      <c r="E39" s="39">
        <v>24902.82247623261</v>
      </c>
      <c r="F39" s="39">
        <v>70006.687639999989</v>
      </c>
      <c r="G39" s="39">
        <v>69706.648624781665</v>
      </c>
      <c r="H39" s="40">
        <v>0.13111264873969897</v>
      </c>
      <c r="I39" s="40">
        <v>-4.2858621844992228E-3</v>
      </c>
      <c r="J39" s="40">
        <v>2.8107845623027483E-2</v>
      </c>
    </row>
    <row r="40" spans="1:10" ht="11.25" customHeight="1" x14ac:dyDescent="0.2">
      <c r="A40" s="49">
        <v>44531</v>
      </c>
      <c r="B40" s="39">
        <v>0</v>
      </c>
      <c r="C40" s="39">
        <v>0</v>
      </c>
      <c r="D40" s="39">
        <v>18443.089799999998</v>
      </c>
      <c r="E40" s="39">
        <v>20861.212154622121</v>
      </c>
      <c r="F40" s="39">
        <v>58644.933299999997</v>
      </c>
      <c r="G40" s="39">
        <v>58393.589198057038</v>
      </c>
      <c r="H40" s="40">
        <v>0.13111264873969897</v>
      </c>
      <c r="I40" s="40">
        <v>-4.2858621844994449E-3</v>
      </c>
      <c r="J40" s="40">
        <v>2.8107845623027483E-2</v>
      </c>
    </row>
    <row r="41" spans="1:10" ht="11.25" customHeight="1" x14ac:dyDescent="0.2">
      <c r="A41" s="49">
        <v>44562</v>
      </c>
      <c r="B41" s="39">
        <v>0</v>
      </c>
      <c r="C41" s="39">
        <v>0</v>
      </c>
      <c r="D41" s="39">
        <v>21007.426079999997</v>
      </c>
      <c r="E41" s="39">
        <v>23761.765356552227</v>
      </c>
      <c r="F41" s="39">
        <v>66798.953679999991</v>
      </c>
      <c r="G41" s="39">
        <v>66512.662570458764</v>
      </c>
      <c r="H41" s="40">
        <v>0.13111264873969897</v>
      </c>
      <c r="I41" s="40">
        <v>-4.2858621844992228E-3</v>
      </c>
      <c r="J41" s="40">
        <v>2.8107845623027483E-2</v>
      </c>
    </row>
    <row r="42" spans="1:10" ht="11.25" customHeight="1" x14ac:dyDescent="0.2">
      <c r="A42" s="49">
        <v>44593</v>
      </c>
      <c r="B42" s="39">
        <v>0</v>
      </c>
      <c r="C42" s="39">
        <v>0</v>
      </c>
      <c r="D42" s="39">
        <v>22369.191839999996</v>
      </c>
      <c r="E42" s="39">
        <v>25302.075832308859</v>
      </c>
      <c r="F42" s="39">
        <v>71129.06663999999</v>
      </c>
      <c r="G42" s="39">
        <v>70824.217263068902</v>
      </c>
      <c r="H42" s="40">
        <v>0.13111264873969919</v>
      </c>
      <c r="I42" s="40">
        <v>-4.2858621844990008E-3</v>
      </c>
      <c r="J42" s="40">
        <v>2.8107845623027705E-2</v>
      </c>
    </row>
    <row r="43" spans="1:10" ht="11.25" customHeight="1" x14ac:dyDescent="0.2">
      <c r="A43" s="49">
        <v>44621</v>
      </c>
      <c r="B43" s="39">
        <v>0</v>
      </c>
      <c r="C43" s="39">
        <v>0</v>
      </c>
      <c r="D43" s="39">
        <v>17348.8704</v>
      </c>
      <c r="E43" s="39">
        <v>19623.526750785757</v>
      </c>
      <c r="F43" s="39">
        <v>55165.558399999994</v>
      </c>
      <c r="G43" s="39">
        <v>54929.12641936665</v>
      </c>
      <c r="H43" s="40">
        <v>0.13111264873969875</v>
      </c>
      <c r="I43" s="40">
        <v>-4.2858621844992228E-3</v>
      </c>
      <c r="J43" s="40">
        <v>2.8107845623027483E-2</v>
      </c>
    </row>
    <row r="44" spans="1:10" ht="11.25" customHeight="1" x14ac:dyDescent="0.2">
      <c r="A44" s="49">
        <v>44652</v>
      </c>
      <c r="B44" s="39">
        <v>0</v>
      </c>
      <c r="C44" s="39">
        <v>0</v>
      </c>
      <c r="D44" s="39">
        <v>42070.217519999998</v>
      </c>
      <c r="E44" s="39">
        <v>47586.155172102488</v>
      </c>
      <c r="F44" s="39">
        <v>133773.95692</v>
      </c>
      <c r="G44" s="39">
        <v>133200.62017676572</v>
      </c>
      <c r="H44" s="40">
        <v>0.13111264873969897</v>
      </c>
      <c r="I44" s="40">
        <v>-4.2858621844994449E-3</v>
      </c>
      <c r="J44" s="40">
        <v>2.8107845623027483E-2</v>
      </c>
    </row>
    <row r="45" spans="1:10" ht="11.25" customHeight="1" x14ac:dyDescent="0.2">
      <c r="A45" s="49">
        <v>44682</v>
      </c>
      <c r="B45" s="39">
        <v>0</v>
      </c>
      <c r="C45" s="39">
        <v>0</v>
      </c>
      <c r="D45" s="39">
        <v>45442.745279999996</v>
      </c>
      <c r="E45" s="39">
        <v>51400.863979664246</v>
      </c>
      <c r="F45" s="39">
        <v>144497.84688</v>
      </c>
      <c r="G45" s="39">
        <v>143878.54902231545</v>
      </c>
      <c r="H45" s="40">
        <v>0.13111264873969897</v>
      </c>
      <c r="I45" s="40">
        <v>-4.2858621844992228E-3</v>
      </c>
      <c r="J45" s="40">
        <v>2.8107845623027483E-2</v>
      </c>
    </row>
    <row r="46" spans="1:10" ht="11.25" customHeight="1" x14ac:dyDescent="0.2">
      <c r="A46" s="49">
        <v>44713</v>
      </c>
      <c r="B46" s="39">
        <v>0</v>
      </c>
      <c r="C46" s="39">
        <v>0</v>
      </c>
      <c r="D46" s="39">
        <v>36432.786479999995</v>
      </c>
      <c r="E46" s="39">
        <v>41209.585616360688</v>
      </c>
      <c r="F46" s="39">
        <v>115848.17707999999</v>
      </c>
      <c r="G46" s="39">
        <v>115351.66775870963</v>
      </c>
      <c r="H46" s="40">
        <v>0.13111264873969897</v>
      </c>
      <c r="I46" s="40">
        <v>-4.2858621844993339E-3</v>
      </c>
      <c r="J46" s="40">
        <v>2.8107845623027261E-2</v>
      </c>
    </row>
    <row r="47" spans="1:10" ht="11.25" customHeight="1" x14ac:dyDescent="0.2">
      <c r="A47" s="48" t="s">
        <v>25</v>
      </c>
      <c r="B47" s="39">
        <v>1488231.7200000002</v>
      </c>
      <c r="C47" s="39">
        <v>1503081.4993076655</v>
      </c>
      <c r="D47" s="39">
        <v>0</v>
      </c>
      <c r="E47" s="39">
        <v>0</v>
      </c>
      <c r="F47" s="39">
        <v>0</v>
      </c>
      <c r="G47" s="39">
        <v>0</v>
      </c>
      <c r="H47" s="40">
        <v>9.9781365415765322E-3</v>
      </c>
      <c r="I47" s="40">
        <v>0</v>
      </c>
      <c r="J47" s="40">
        <v>9.9781365415765322E-3</v>
      </c>
    </row>
    <row r="48" spans="1:10" ht="11.25" customHeight="1" x14ac:dyDescent="0.2">
      <c r="A48" s="49">
        <v>44378</v>
      </c>
      <c r="B48" s="39">
        <v>127448.52</v>
      </c>
      <c r="C48" s="39">
        <v>128720.21873458185</v>
      </c>
      <c r="D48" s="39">
        <v>0</v>
      </c>
      <c r="E48" s="39">
        <v>0</v>
      </c>
      <c r="F48" s="39">
        <v>0</v>
      </c>
      <c r="G48" s="39">
        <v>0</v>
      </c>
      <c r="H48" s="40">
        <v>9.9781365415765322E-3</v>
      </c>
      <c r="I48" s="40">
        <v>0</v>
      </c>
      <c r="J48" s="40">
        <v>9.9781365415765322E-3</v>
      </c>
    </row>
    <row r="49" spans="1:10" ht="11.25" customHeight="1" x14ac:dyDescent="0.2">
      <c r="A49" s="49">
        <v>44409</v>
      </c>
      <c r="B49" s="39">
        <v>128629.44</v>
      </c>
      <c r="C49" s="39">
        <v>129912.92211558652</v>
      </c>
      <c r="D49" s="39">
        <v>0</v>
      </c>
      <c r="E49" s="39">
        <v>0</v>
      </c>
      <c r="F49" s="39">
        <v>0</v>
      </c>
      <c r="G49" s="39">
        <v>0</v>
      </c>
      <c r="H49" s="40">
        <v>9.9781365415765322E-3</v>
      </c>
      <c r="I49" s="40">
        <v>0</v>
      </c>
      <c r="J49" s="40">
        <v>9.9781365415765322E-3</v>
      </c>
    </row>
    <row r="50" spans="1:10" ht="11.25" customHeight="1" x14ac:dyDescent="0.2">
      <c r="A50" s="49">
        <v>44440</v>
      </c>
      <c r="B50" s="39">
        <v>95609.1</v>
      </c>
      <c r="C50" s="39">
        <v>96563.100654417256</v>
      </c>
      <c r="D50" s="39">
        <v>0</v>
      </c>
      <c r="E50" s="39">
        <v>0</v>
      </c>
      <c r="F50" s="39">
        <v>0</v>
      </c>
      <c r="G50" s="39">
        <v>0</v>
      </c>
      <c r="H50" s="40">
        <v>9.9781365415765322E-3</v>
      </c>
      <c r="I50" s="40">
        <v>0</v>
      </c>
      <c r="J50" s="40">
        <v>9.9781365415765322E-3</v>
      </c>
    </row>
    <row r="51" spans="1:10" ht="11.25" customHeight="1" x14ac:dyDescent="0.2">
      <c r="A51" s="49">
        <v>44470</v>
      </c>
      <c r="B51" s="39">
        <v>93973.98000000001</v>
      </c>
      <c r="C51" s="39">
        <v>94911.66520379539</v>
      </c>
      <c r="D51" s="39">
        <v>0</v>
      </c>
      <c r="E51" s="39">
        <v>0</v>
      </c>
      <c r="F51" s="39">
        <v>0</v>
      </c>
      <c r="G51" s="39">
        <v>0</v>
      </c>
      <c r="H51" s="40">
        <v>9.9781365415765322E-3</v>
      </c>
      <c r="I51" s="40">
        <v>0</v>
      </c>
      <c r="J51" s="40">
        <v>9.9781365415765322E-3</v>
      </c>
    </row>
    <row r="52" spans="1:10" ht="11.25" customHeight="1" x14ac:dyDescent="0.2">
      <c r="A52" s="49">
        <v>44501</v>
      </c>
      <c r="B52" s="39">
        <v>117229.02</v>
      </c>
      <c r="C52" s="39">
        <v>118398.74716819522</v>
      </c>
      <c r="D52" s="39">
        <v>0</v>
      </c>
      <c r="E52" s="39">
        <v>0</v>
      </c>
      <c r="F52" s="39">
        <v>0</v>
      </c>
      <c r="G52" s="39">
        <v>0</v>
      </c>
      <c r="H52" s="40">
        <v>9.9781365415765322E-3</v>
      </c>
      <c r="I52" s="40">
        <v>0</v>
      </c>
      <c r="J52" s="40">
        <v>9.9781365415765322E-3</v>
      </c>
    </row>
    <row r="53" spans="1:10" ht="11.25" customHeight="1" x14ac:dyDescent="0.2">
      <c r="A53" s="49">
        <v>44531</v>
      </c>
      <c r="B53" s="39">
        <v>97107.96</v>
      </c>
      <c r="C53" s="39">
        <v>98076.91648415396</v>
      </c>
      <c r="D53" s="39">
        <v>0</v>
      </c>
      <c r="E53" s="39">
        <v>0</v>
      </c>
      <c r="F53" s="39">
        <v>0</v>
      </c>
      <c r="G53" s="39">
        <v>0</v>
      </c>
      <c r="H53" s="40">
        <v>9.9781365415765322E-3</v>
      </c>
      <c r="I53" s="40">
        <v>0</v>
      </c>
      <c r="J53" s="40">
        <v>9.9781365415765322E-3</v>
      </c>
    </row>
    <row r="54" spans="1:10" ht="11.25" customHeight="1" x14ac:dyDescent="0.2">
      <c r="A54" s="49">
        <v>44562</v>
      </c>
      <c r="B54" s="39">
        <v>111824.04000000001</v>
      </c>
      <c r="C54" s="39">
        <v>112939.83553975073</v>
      </c>
      <c r="D54" s="39">
        <v>0</v>
      </c>
      <c r="E54" s="39">
        <v>0</v>
      </c>
      <c r="F54" s="39">
        <v>0</v>
      </c>
      <c r="G54" s="39">
        <v>0</v>
      </c>
      <c r="H54" s="40">
        <v>9.9781365415765322E-3</v>
      </c>
      <c r="I54" s="40">
        <v>0</v>
      </c>
      <c r="J54" s="40">
        <v>9.9781365415765322E-3</v>
      </c>
    </row>
    <row r="55" spans="1:10" ht="11.25" customHeight="1" x14ac:dyDescent="0.2">
      <c r="A55" s="49">
        <v>44593</v>
      </c>
      <c r="B55" s="39">
        <v>128266.08</v>
      </c>
      <c r="C55" s="39">
        <v>129545.93645989279</v>
      </c>
      <c r="D55" s="39">
        <v>0</v>
      </c>
      <c r="E55" s="39">
        <v>0</v>
      </c>
      <c r="F55" s="39">
        <v>0</v>
      </c>
      <c r="G55" s="39">
        <v>0</v>
      </c>
      <c r="H55" s="40">
        <v>9.9781365415765322E-3</v>
      </c>
      <c r="I55" s="40">
        <v>0</v>
      </c>
      <c r="J55" s="40">
        <v>9.9781365415765322E-3</v>
      </c>
    </row>
    <row r="56" spans="1:10" ht="11.25" customHeight="1" x14ac:dyDescent="0.2">
      <c r="A56" s="49">
        <v>44621</v>
      </c>
      <c r="B56" s="39">
        <v>122270.64000000001</v>
      </c>
      <c r="C56" s="39">
        <v>123490.67314094596</v>
      </c>
      <c r="D56" s="39">
        <v>0</v>
      </c>
      <c r="E56" s="39">
        <v>0</v>
      </c>
      <c r="F56" s="39">
        <v>0</v>
      </c>
      <c r="G56" s="39">
        <v>0</v>
      </c>
      <c r="H56" s="40">
        <v>9.9781365415765322E-3</v>
      </c>
      <c r="I56" s="40">
        <v>0</v>
      </c>
      <c r="J56" s="40">
        <v>9.9781365415765322E-3</v>
      </c>
    </row>
    <row r="57" spans="1:10" ht="11.25" customHeight="1" x14ac:dyDescent="0.2">
      <c r="A57" s="49">
        <v>44652</v>
      </c>
      <c r="B57" s="39">
        <v>164647.5</v>
      </c>
      <c r="C57" s="39">
        <v>166290.37523622924</v>
      </c>
      <c r="D57" s="39">
        <v>0</v>
      </c>
      <c r="E57" s="39">
        <v>0</v>
      </c>
      <c r="F57" s="39">
        <v>0</v>
      </c>
      <c r="G57" s="39">
        <v>0</v>
      </c>
      <c r="H57" s="40">
        <v>9.9781365415767542E-3</v>
      </c>
      <c r="I57" s="40">
        <v>0</v>
      </c>
      <c r="J57" s="40">
        <v>9.9781365415767542E-3</v>
      </c>
    </row>
    <row r="58" spans="1:10" ht="11.25" customHeight="1" x14ac:dyDescent="0.2">
      <c r="A58" s="49">
        <v>44682</v>
      </c>
      <c r="B58" s="39">
        <v>174821.58000000002</v>
      </c>
      <c r="C58" s="39">
        <v>176565.97359565416</v>
      </c>
      <c r="D58" s="39">
        <v>0</v>
      </c>
      <c r="E58" s="39">
        <v>0</v>
      </c>
      <c r="F58" s="39">
        <v>0</v>
      </c>
      <c r="G58" s="39">
        <v>0</v>
      </c>
      <c r="H58" s="40">
        <v>9.9781365415765322E-3</v>
      </c>
      <c r="I58" s="40">
        <v>0</v>
      </c>
      <c r="J58" s="40">
        <v>9.9781365415765322E-3</v>
      </c>
    </row>
    <row r="59" spans="1:10" ht="11.25" customHeight="1" x14ac:dyDescent="0.2">
      <c r="A59" s="49">
        <v>44713</v>
      </c>
      <c r="B59" s="39">
        <v>126403.86000000002</v>
      </c>
      <c r="C59" s="39">
        <v>127665.13497446233</v>
      </c>
      <c r="D59" s="39">
        <v>0</v>
      </c>
      <c r="E59" s="39">
        <v>0</v>
      </c>
      <c r="F59" s="39">
        <v>0</v>
      </c>
      <c r="G59" s="39">
        <v>0</v>
      </c>
      <c r="H59" s="40">
        <v>9.9781365415765322E-3</v>
      </c>
      <c r="I59" s="40">
        <v>0</v>
      </c>
      <c r="J59" s="40">
        <v>9.9781365415765322E-3</v>
      </c>
    </row>
    <row r="60" spans="1:10" ht="11.25" customHeight="1" x14ac:dyDescent="0.2">
      <c r="A60" s="48" t="s">
        <v>37</v>
      </c>
      <c r="B60" s="39">
        <v>0</v>
      </c>
      <c r="C60" s="39">
        <v>0</v>
      </c>
      <c r="D60" s="39">
        <v>309951.99647999997</v>
      </c>
      <c r="E60" s="39">
        <v>318407.04125486268</v>
      </c>
      <c r="F60" s="39">
        <v>53358.149879999997</v>
      </c>
      <c r="G60" s="39">
        <v>53129.46420319446</v>
      </c>
      <c r="H60" s="40">
        <v>2.7278562070524481E-2</v>
      </c>
      <c r="I60" s="40">
        <v>-4.2858621844995559E-3</v>
      </c>
      <c r="J60" s="40">
        <v>2.2642800319442991E-2</v>
      </c>
    </row>
    <row r="61" spans="1:10" ht="11.25" customHeight="1" x14ac:dyDescent="0.2">
      <c r="A61" s="49">
        <v>44378</v>
      </c>
      <c r="B61" s="39">
        <v>0</v>
      </c>
      <c r="C61" s="39">
        <v>0</v>
      </c>
      <c r="D61" s="39">
        <v>10863.864799999998</v>
      </c>
      <c r="E61" s="39">
        <v>11160.215410272585</v>
      </c>
      <c r="F61" s="39">
        <v>1870.2112999999999</v>
      </c>
      <c r="G61" s="39">
        <v>1862.1958321123066</v>
      </c>
      <c r="H61" s="40">
        <v>2.7278562070524703E-2</v>
      </c>
      <c r="I61" s="40">
        <v>-4.2858621844993339E-3</v>
      </c>
      <c r="J61" s="40">
        <v>2.2642800319443213E-2</v>
      </c>
    </row>
    <row r="62" spans="1:10" ht="11.25" customHeight="1" x14ac:dyDescent="0.2">
      <c r="A62" s="49">
        <v>44409</v>
      </c>
      <c r="B62" s="39">
        <v>0</v>
      </c>
      <c r="C62" s="39">
        <v>0</v>
      </c>
      <c r="D62" s="39">
        <v>11871.867359999998</v>
      </c>
      <c r="E62" s="39">
        <v>12195.714830672792</v>
      </c>
      <c r="F62" s="39">
        <v>2043.73866</v>
      </c>
      <c r="G62" s="39">
        <v>2034.9794777621066</v>
      </c>
      <c r="H62" s="40">
        <v>2.7278562070524481E-2</v>
      </c>
      <c r="I62" s="40">
        <v>-4.2858621844993339E-3</v>
      </c>
      <c r="J62" s="40">
        <v>2.2642800319442991E-2</v>
      </c>
    </row>
    <row r="63" spans="1:10" ht="11.25" customHeight="1" x14ac:dyDescent="0.2">
      <c r="A63" s="49">
        <v>44440</v>
      </c>
      <c r="B63" s="39">
        <v>0</v>
      </c>
      <c r="C63" s="39">
        <v>0</v>
      </c>
      <c r="D63" s="39">
        <v>11332.7032</v>
      </c>
      <c r="E63" s="39">
        <v>11641.843047668031</v>
      </c>
      <c r="F63" s="39">
        <v>1950.9217000000001</v>
      </c>
      <c r="G63" s="39">
        <v>1942.5603184610509</v>
      </c>
      <c r="H63" s="40">
        <v>2.7278562070524481E-2</v>
      </c>
      <c r="I63" s="40">
        <v>-4.2858621844993339E-3</v>
      </c>
      <c r="J63" s="40">
        <v>2.2642800319442991E-2</v>
      </c>
    </row>
    <row r="64" spans="1:10" ht="11.25" customHeight="1" x14ac:dyDescent="0.2">
      <c r="A64" s="49">
        <v>44470</v>
      </c>
      <c r="B64" s="39">
        <v>0</v>
      </c>
      <c r="C64" s="39">
        <v>0</v>
      </c>
      <c r="D64" s="39">
        <v>12030.10032</v>
      </c>
      <c r="E64" s="39">
        <v>12358.264158293756</v>
      </c>
      <c r="F64" s="39">
        <v>2070.9784199999999</v>
      </c>
      <c r="G64" s="39">
        <v>2062.1024919048077</v>
      </c>
      <c r="H64" s="40">
        <v>2.7278562070524481E-2</v>
      </c>
      <c r="I64" s="40">
        <v>-4.2858621844993339E-3</v>
      </c>
      <c r="J64" s="40">
        <v>2.2642800319443213E-2</v>
      </c>
    </row>
    <row r="65" spans="1:10" ht="11.25" customHeight="1" x14ac:dyDescent="0.2">
      <c r="A65" s="49">
        <v>44501</v>
      </c>
      <c r="B65" s="39">
        <v>0</v>
      </c>
      <c r="C65" s="39">
        <v>0</v>
      </c>
      <c r="D65" s="39">
        <v>32341.058879999997</v>
      </c>
      <c r="E65" s="39">
        <v>33223.276462084563</v>
      </c>
      <c r="F65" s="39">
        <v>5567.5042800000001</v>
      </c>
      <c r="G65" s="39">
        <v>5543.6427239443101</v>
      </c>
      <c r="H65" s="40">
        <v>2.7278562070524481E-2</v>
      </c>
      <c r="I65" s="40">
        <v>-4.2858621844993339E-3</v>
      </c>
      <c r="J65" s="40">
        <v>2.2642800319442991E-2</v>
      </c>
    </row>
    <row r="66" spans="1:10" ht="11.25" customHeight="1" x14ac:dyDescent="0.2">
      <c r="A66" s="49">
        <v>44531</v>
      </c>
      <c r="B66" s="39">
        <v>0</v>
      </c>
      <c r="C66" s="39">
        <v>0</v>
      </c>
      <c r="D66" s="39">
        <v>23740.804479999999</v>
      </c>
      <c r="E66" s="39">
        <v>24388.419488611864</v>
      </c>
      <c r="F66" s="39">
        <v>4086.9728800000003</v>
      </c>
      <c r="G66" s="39">
        <v>4069.4566774845339</v>
      </c>
      <c r="H66" s="40">
        <v>2.7278562070524481E-2</v>
      </c>
      <c r="I66" s="40">
        <v>-4.2858621844993339E-3</v>
      </c>
      <c r="J66" s="40">
        <v>2.2642800319442991E-2</v>
      </c>
    </row>
    <row r="67" spans="1:10" ht="11.25" customHeight="1" x14ac:dyDescent="0.2">
      <c r="A67" s="49">
        <v>44562</v>
      </c>
      <c r="B67" s="39">
        <v>0</v>
      </c>
      <c r="C67" s="39">
        <v>0</v>
      </c>
      <c r="D67" s="39">
        <v>20587.866239999996</v>
      </c>
      <c r="E67" s="39">
        <v>21149.473627127496</v>
      </c>
      <c r="F67" s="39">
        <v>3544.1954399999995</v>
      </c>
      <c r="G67" s="39">
        <v>3529.005506789229</v>
      </c>
      <c r="H67" s="40">
        <v>2.7278562070524703E-2</v>
      </c>
      <c r="I67" s="40">
        <v>-4.2858621844992228E-3</v>
      </c>
      <c r="J67" s="40">
        <v>2.2642800319443213E-2</v>
      </c>
    </row>
    <row r="68" spans="1:10" ht="11.25" customHeight="1" x14ac:dyDescent="0.2">
      <c r="A68" s="49">
        <v>44593</v>
      </c>
      <c r="B68" s="39">
        <v>0</v>
      </c>
      <c r="C68" s="39">
        <v>0</v>
      </c>
      <c r="D68" s="39">
        <v>20410.586719999999</v>
      </c>
      <c r="E68" s="39">
        <v>20967.35817673734</v>
      </c>
      <c r="F68" s="39">
        <v>3513.6768199999997</v>
      </c>
      <c r="G68" s="39">
        <v>3498.61768538861</v>
      </c>
      <c r="H68" s="40">
        <v>2.7278562070524481E-2</v>
      </c>
      <c r="I68" s="40">
        <v>-4.2858621844993339E-3</v>
      </c>
      <c r="J68" s="40">
        <v>2.2642800319442991E-2</v>
      </c>
    </row>
    <row r="69" spans="1:10" ht="11.25" customHeight="1" x14ac:dyDescent="0.2">
      <c r="A69" s="49">
        <v>44621</v>
      </c>
      <c r="B69" s="39">
        <v>0</v>
      </c>
      <c r="C69" s="39">
        <v>0</v>
      </c>
      <c r="D69" s="39">
        <v>14356.710880000001</v>
      </c>
      <c r="E69" s="39">
        <v>14748.341308868654</v>
      </c>
      <c r="F69" s="39">
        <v>2471.50378</v>
      </c>
      <c r="G69" s="39">
        <v>2460.9112554104508</v>
      </c>
      <c r="H69" s="40">
        <v>2.7278562070524481E-2</v>
      </c>
      <c r="I69" s="40">
        <v>-4.2858621844993339E-3</v>
      </c>
      <c r="J69" s="40">
        <v>2.2642800319442991E-2</v>
      </c>
    </row>
    <row r="70" spans="1:10" ht="11.25" customHeight="1" x14ac:dyDescent="0.2">
      <c r="A70" s="49">
        <v>44652</v>
      </c>
      <c r="B70" s="39">
        <v>0</v>
      </c>
      <c r="C70" s="39">
        <v>0</v>
      </c>
      <c r="D70" s="39">
        <v>53633.647839999998</v>
      </c>
      <c r="E70" s="39">
        <v>55096.696631672086</v>
      </c>
      <c r="F70" s="39">
        <v>9233.0175400000007</v>
      </c>
      <c r="G70" s="39">
        <v>9193.4460992764944</v>
      </c>
      <c r="H70" s="40">
        <v>2.7278562070524481E-2</v>
      </c>
      <c r="I70" s="40">
        <v>-4.2858621844994449E-3</v>
      </c>
      <c r="J70" s="40">
        <v>2.2642800319442991E-2</v>
      </c>
    </row>
    <row r="71" spans="1:10" ht="11.25" customHeight="1" x14ac:dyDescent="0.2">
      <c r="A71" s="49">
        <v>44682</v>
      </c>
      <c r="B71" s="39">
        <v>0</v>
      </c>
      <c r="C71" s="39">
        <v>0</v>
      </c>
      <c r="D71" s="39">
        <v>64523.8848</v>
      </c>
      <c r="E71" s="39">
        <v>66284.003596548166</v>
      </c>
      <c r="F71" s="39">
        <v>11107.7688</v>
      </c>
      <c r="G71" s="39">
        <v>11060.162433745918</v>
      </c>
      <c r="H71" s="40">
        <v>2.7278562070524481E-2</v>
      </c>
      <c r="I71" s="40">
        <v>-4.2858621844993339E-3</v>
      </c>
      <c r="J71" s="40">
        <v>2.2642800319442991E-2</v>
      </c>
    </row>
    <row r="72" spans="1:10" ht="11.25" customHeight="1" x14ac:dyDescent="0.2">
      <c r="A72" s="49">
        <v>44713</v>
      </c>
      <c r="B72" s="39">
        <v>0</v>
      </c>
      <c r="C72" s="39">
        <v>0</v>
      </c>
      <c r="D72" s="39">
        <v>34258.900959999999</v>
      </c>
      <c r="E72" s="39">
        <v>35193.434516305308</v>
      </c>
      <c r="F72" s="39">
        <v>5897.6602600000006</v>
      </c>
      <c r="G72" s="39">
        <v>5872.3837009146418</v>
      </c>
      <c r="H72" s="40">
        <v>2.7278562070524481E-2</v>
      </c>
      <c r="I72" s="40">
        <v>-4.2858621844993339E-3</v>
      </c>
      <c r="J72" s="40">
        <v>2.2642800319442991E-2</v>
      </c>
    </row>
    <row r="73" spans="1:10" ht="11.25" customHeight="1" x14ac:dyDescent="0.2">
      <c r="A73" s="44" t="s">
        <v>34</v>
      </c>
      <c r="B73" s="39">
        <v>1281343.6200000001</v>
      </c>
      <c r="C73" s="39">
        <v>1294129.041597038</v>
      </c>
      <c r="D73" s="39">
        <v>956307.09663999989</v>
      </c>
      <c r="E73" s="39">
        <v>1027392.1159137395</v>
      </c>
      <c r="F73" s="39">
        <v>1468036.9256400003</v>
      </c>
      <c r="G73" s="39">
        <v>1461745.1216949513</v>
      </c>
      <c r="H73" s="40">
        <v>3.7481471190783155E-2</v>
      </c>
      <c r="I73" s="40">
        <v>-4.2858621844992228E-3</v>
      </c>
      <c r="J73" s="40">
        <v>2.093501784678109E-2</v>
      </c>
    </row>
    <row r="74" spans="1:10" ht="11.25" customHeight="1" x14ac:dyDescent="0.2">
      <c r="A74" s="45" t="s">
        <v>25</v>
      </c>
      <c r="B74" s="39">
        <v>1281343.6200000001</v>
      </c>
      <c r="C74" s="39">
        <v>1294129.041597038</v>
      </c>
      <c r="D74" s="39">
        <v>956307.09663999989</v>
      </c>
      <c r="E74" s="39">
        <v>1027392.1159137395</v>
      </c>
      <c r="F74" s="39">
        <v>1468036.9256400003</v>
      </c>
      <c r="G74" s="39">
        <v>1461745.1216949513</v>
      </c>
      <c r="H74" s="40">
        <v>3.7481471190783155E-2</v>
      </c>
      <c r="I74" s="40">
        <v>-4.2858621844992228E-3</v>
      </c>
      <c r="J74" s="40">
        <v>2.093501784678109E-2</v>
      </c>
    </row>
    <row r="75" spans="1:10" ht="11.25" customHeight="1" x14ac:dyDescent="0.2">
      <c r="A75" s="46" t="s">
        <v>25</v>
      </c>
      <c r="B75" s="39">
        <v>1281343.6200000001</v>
      </c>
      <c r="C75" s="39">
        <v>1294129.041597038</v>
      </c>
      <c r="D75" s="39">
        <v>956307.09663999989</v>
      </c>
      <c r="E75" s="39">
        <v>1027392.1159137395</v>
      </c>
      <c r="F75" s="39">
        <v>1468036.9256400003</v>
      </c>
      <c r="G75" s="39">
        <v>1461745.1216949513</v>
      </c>
      <c r="H75" s="40">
        <v>3.7481471190783155E-2</v>
      </c>
      <c r="I75" s="40">
        <v>-4.2858621844992228E-3</v>
      </c>
      <c r="J75" s="40">
        <v>2.093501784678109E-2</v>
      </c>
    </row>
    <row r="76" spans="1:10" ht="11.25" customHeight="1" x14ac:dyDescent="0.2">
      <c r="A76" s="47" t="s">
        <v>25</v>
      </c>
      <c r="B76" s="39">
        <v>1281343.6200000001</v>
      </c>
      <c r="C76" s="39">
        <v>1294129.041597038</v>
      </c>
      <c r="D76" s="39">
        <v>956307.09663999989</v>
      </c>
      <c r="E76" s="39">
        <v>1027392.1159137395</v>
      </c>
      <c r="F76" s="39">
        <v>1468036.9256400003</v>
      </c>
      <c r="G76" s="39">
        <v>1461745.1216949513</v>
      </c>
      <c r="H76" s="40">
        <v>3.7481471190783155E-2</v>
      </c>
      <c r="I76" s="40">
        <v>-4.2858621844992228E-3</v>
      </c>
      <c r="J76" s="40">
        <v>2.093501784678109E-2</v>
      </c>
    </row>
    <row r="77" spans="1:10" ht="11.25" customHeight="1" x14ac:dyDescent="0.2">
      <c r="A77" s="48" t="s">
        <v>38</v>
      </c>
      <c r="B77" s="39">
        <v>0</v>
      </c>
      <c r="C77" s="39">
        <v>0</v>
      </c>
      <c r="D77" s="39">
        <v>433367.67551999999</v>
      </c>
      <c r="E77" s="39">
        <v>490187.65933559346</v>
      </c>
      <c r="F77" s="39">
        <v>1378013.0499200001</v>
      </c>
      <c r="G77" s="39">
        <v>1372107.0758996014</v>
      </c>
      <c r="H77" s="40">
        <v>0.13111264873969852</v>
      </c>
      <c r="I77" s="40">
        <v>-4.2858621844993339E-3</v>
      </c>
      <c r="J77" s="40">
        <v>2.8107845623027261E-2</v>
      </c>
    </row>
    <row r="78" spans="1:10" ht="11.25" customHeight="1" x14ac:dyDescent="0.2">
      <c r="A78" s="49">
        <v>44378</v>
      </c>
      <c r="B78" s="39">
        <v>0</v>
      </c>
      <c r="C78" s="39">
        <v>0</v>
      </c>
      <c r="D78" s="39">
        <v>24417.551519999997</v>
      </c>
      <c r="E78" s="39">
        <v>27619.001375525262</v>
      </c>
      <c r="F78" s="39">
        <v>77642.39592000001</v>
      </c>
      <c r="G78" s="39">
        <v>77309.631311412551</v>
      </c>
      <c r="H78" s="40">
        <v>0.13111264873969897</v>
      </c>
      <c r="I78" s="40">
        <v>-4.2858621844994449E-3</v>
      </c>
      <c r="J78" s="40">
        <v>2.8107845623027261E-2</v>
      </c>
    </row>
    <row r="79" spans="1:10" ht="11.25" customHeight="1" x14ac:dyDescent="0.2">
      <c r="A79" s="49">
        <v>44409</v>
      </c>
      <c r="B79" s="39">
        <v>0</v>
      </c>
      <c r="C79" s="39">
        <v>0</v>
      </c>
      <c r="D79" s="39">
        <v>34024.47264</v>
      </c>
      <c r="E79" s="39">
        <v>38485.51136980181</v>
      </c>
      <c r="F79" s="39">
        <v>108190.27344</v>
      </c>
      <c r="G79" s="39">
        <v>107726.58483833286</v>
      </c>
      <c r="H79" s="40">
        <v>0.13111264873969875</v>
      </c>
      <c r="I79" s="40">
        <v>-4.2858621844994449E-3</v>
      </c>
      <c r="J79" s="40">
        <v>2.8107845623027261E-2</v>
      </c>
    </row>
    <row r="80" spans="1:10" ht="11.25" customHeight="1" x14ac:dyDescent="0.2">
      <c r="A80" s="49">
        <v>44440</v>
      </c>
      <c r="B80" s="39">
        <v>0</v>
      </c>
      <c r="C80" s="39">
        <v>0</v>
      </c>
      <c r="D80" s="39">
        <v>30134.381879999997</v>
      </c>
      <c r="E80" s="39">
        <v>34085.380506420384</v>
      </c>
      <c r="F80" s="39">
        <v>95820.647979999994</v>
      </c>
      <c r="G80" s="39">
        <v>95409.973888328299</v>
      </c>
      <c r="H80" s="40">
        <v>0.13111264873969897</v>
      </c>
      <c r="I80" s="40">
        <v>-4.2858621844992228E-3</v>
      </c>
      <c r="J80" s="40">
        <v>2.8107845623027483E-2</v>
      </c>
    </row>
    <row r="81" spans="1:10" ht="11.25" customHeight="1" x14ac:dyDescent="0.2">
      <c r="A81" s="49">
        <v>44470</v>
      </c>
      <c r="B81" s="39">
        <v>0</v>
      </c>
      <c r="C81" s="39">
        <v>0</v>
      </c>
      <c r="D81" s="39">
        <v>32680.633199999997</v>
      </c>
      <c r="E81" s="39">
        <v>36965.477581342537</v>
      </c>
      <c r="F81" s="39">
        <v>103917.16219999999</v>
      </c>
      <c r="G81" s="39">
        <v>103471.78756420653</v>
      </c>
      <c r="H81" s="40">
        <v>0.13111264873969897</v>
      </c>
      <c r="I81" s="40">
        <v>-4.2858621844993339E-3</v>
      </c>
      <c r="J81" s="40">
        <v>2.8107845623027483E-2</v>
      </c>
    </row>
    <row r="82" spans="1:10" ht="11.25" customHeight="1" x14ac:dyDescent="0.2">
      <c r="A82" s="49">
        <v>44501</v>
      </c>
      <c r="B82" s="39">
        <v>0</v>
      </c>
      <c r="C82" s="39">
        <v>0</v>
      </c>
      <c r="D82" s="39">
        <v>34410.919679999999</v>
      </c>
      <c r="E82" s="39">
        <v>38922.62650481383</v>
      </c>
      <c r="F82" s="39">
        <v>109419.08928</v>
      </c>
      <c r="G82" s="39">
        <v>108950.13414299249</v>
      </c>
      <c r="H82" s="40">
        <v>0.13111264873969897</v>
      </c>
      <c r="I82" s="40">
        <v>-4.2858621844993339E-3</v>
      </c>
      <c r="J82" s="40">
        <v>2.8107845623027483E-2</v>
      </c>
    </row>
    <row r="83" spans="1:10" ht="11.25" customHeight="1" x14ac:dyDescent="0.2">
      <c r="A83" s="49">
        <v>44531</v>
      </c>
      <c r="B83" s="39">
        <v>0</v>
      </c>
      <c r="C83" s="39">
        <v>0</v>
      </c>
      <c r="D83" s="39">
        <v>30641.87124</v>
      </c>
      <c r="E83" s="39">
        <v>34659.408140617204</v>
      </c>
      <c r="F83" s="39">
        <v>97434.351540000003</v>
      </c>
      <c r="G83" s="39">
        <v>97016.76133726351</v>
      </c>
      <c r="H83" s="40">
        <v>0.13111264873969897</v>
      </c>
      <c r="I83" s="40">
        <v>-4.2858621844992228E-3</v>
      </c>
      <c r="J83" s="40">
        <v>2.8107845623027261E-2</v>
      </c>
    </row>
    <row r="84" spans="1:10" ht="11.25" customHeight="1" x14ac:dyDescent="0.2">
      <c r="A84" s="49">
        <v>44562</v>
      </c>
      <c r="B84" s="39">
        <v>0</v>
      </c>
      <c r="C84" s="39">
        <v>0</v>
      </c>
      <c r="D84" s="39">
        <v>29519.731199999998</v>
      </c>
      <c r="E84" s="39">
        <v>33390.141347715929</v>
      </c>
      <c r="F84" s="39">
        <v>93866.195200000002</v>
      </c>
      <c r="G84" s="39">
        <v>93463.897623589495</v>
      </c>
      <c r="H84" s="40">
        <v>0.13111264873969897</v>
      </c>
      <c r="I84" s="40">
        <v>-4.2858621844992228E-3</v>
      </c>
      <c r="J84" s="40">
        <v>2.8107845623027483E-2</v>
      </c>
    </row>
    <row r="85" spans="1:10" ht="11.25" customHeight="1" x14ac:dyDescent="0.2">
      <c r="A85" s="49">
        <v>44593</v>
      </c>
      <c r="B85" s="39">
        <v>0</v>
      </c>
      <c r="C85" s="39">
        <v>0</v>
      </c>
      <c r="D85" s="39">
        <v>31999.512359999997</v>
      </c>
      <c r="E85" s="39">
        <v>36195.05318389833</v>
      </c>
      <c r="F85" s="39">
        <v>101751.34905999999</v>
      </c>
      <c r="G85" s="39">
        <v>101315.25680084196</v>
      </c>
      <c r="H85" s="40">
        <v>0.13111264873969897</v>
      </c>
      <c r="I85" s="40">
        <v>-4.2858621844992228E-3</v>
      </c>
      <c r="J85" s="40">
        <v>2.8107845623027261E-2</v>
      </c>
    </row>
    <row r="86" spans="1:10" ht="11.25" customHeight="1" x14ac:dyDescent="0.2">
      <c r="A86" s="49">
        <v>44621</v>
      </c>
      <c r="B86" s="39">
        <v>0</v>
      </c>
      <c r="C86" s="39">
        <v>0</v>
      </c>
      <c r="D86" s="39">
        <v>43066.71467999999</v>
      </c>
      <c r="E86" s="39">
        <v>48713.305714211667</v>
      </c>
      <c r="F86" s="39">
        <v>136942.59677999999</v>
      </c>
      <c r="G86" s="39">
        <v>136355.67968301344</v>
      </c>
      <c r="H86" s="40">
        <v>0.13111264873969897</v>
      </c>
      <c r="I86" s="40">
        <v>-4.2858621844994449E-3</v>
      </c>
      <c r="J86" s="40">
        <v>2.8107845623027261E-2</v>
      </c>
    </row>
    <row r="87" spans="1:10" ht="11.25" customHeight="1" x14ac:dyDescent="0.2">
      <c r="A87" s="49">
        <v>44652</v>
      </c>
      <c r="B87" s="39">
        <v>0</v>
      </c>
      <c r="C87" s="39">
        <v>0</v>
      </c>
      <c r="D87" s="39">
        <v>67530.589079999991</v>
      </c>
      <c r="E87" s="39">
        <v>76384.703485230988</v>
      </c>
      <c r="F87" s="39">
        <v>214732.28917999999</v>
      </c>
      <c r="G87" s="39">
        <v>213811.97618201247</v>
      </c>
      <c r="H87" s="40">
        <v>0.13111264873969919</v>
      </c>
      <c r="I87" s="40">
        <v>-4.2858621844992228E-3</v>
      </c>
      <c r="J87" s="40">
        <v>2.8107845623027483E-2</v>
      </c>
    </row>
    <row r="88" spans="1:10" ht="11.25" customHeight="1" x14ac:dyDescent="0.2">
      <c r="A88" s="49">
        <v>44682</v>
      </c>
      <c r="B88" s="39">
        <v>0</v>
      </c>
      <c r="C88" s="39">
        <v>0</v>
      </c>
      <c r="D88" s="39">
        <v>47269.802159999992</v>
      </c>
      <c r="E88" s="39">
        <v>53467.471126599135</v>
      </c>
      <c r="F88" s="39">
        <v>150307.48235999999</v>
      </c>
      <c r="G88" s="39">
        <v>149663.28520530596</v>
      </c>
      <c r="H88" s="40">
        <v>0.13111264873969897</v>
      </c>
      <c r="I88" s="40">
        <v>-4.2858621844994449E-3</v>
      </c>
      <c r="J88" s="40">
        <v>2.8107845623027261E-2</v>
      </c>
    </row>
    <row r="89" spans="1:10" ht="11.25" customHeight="1" x14ac:dyDescent="0.2">
      <c r="A89" s="49">
        <v>44713</v>
      </c>
      <c r="B89" s="39">
        <v>0</v>
      </c>
      <c r="C89" s="39">
        <v>0</v>
      </c>
      <c r="D89" s="39">
        <v>27671.495879999999</v>
      </c>
      <c r="E89" s="39">
        <v>31299.578999416462</v>
      </c>
      <c r="F89" s="39">
        <v>87989.216979999997</v>
      </c>
      <c r="G89" s="39">
        <v>87612.107322301701</v>
      </c>
      <c r="H89" s="40">
        <v>0.13111264873969875</v>
      </c>
      <c r="I89" s="40">
        <v>-4.2858621844994449E-3</v>
      </c>
      <c r="J89" s="40">
        <v>2.8107845623027261E-2</v>
      </c>
    </row>
    <row r="90" spans="1:10" ht="11.25" customHeight="1" x14ac:dyDescent="0.2">
      <c r="A90" s="48" t="s">
        <v>25</v>
      </c>
      <c r="B90" s="39">
        <v>1281343.6200000001</v>
      </c>
      <c r="C90" s="39">
        <v>1294129.041597038</v>
      </c>
      <c r="D90" s="39">
        <v>0</v>
      </c>
      <c r="E90" s="39">
        <v>0</v>
      </c>
      <c r="F90" s="39">
        <v>0</v>
      </c>
      <c r="G90" s="39">
        <v>0</v>
      </c>
      <c r="H90" s="40">
        <v>9.9781365415763101E-3</v>
      </c>
      <c r="I90" s="40">
        <v>0</v>
      </c>
      <c r="J90" s="40">
        <v>9.9781365415763101E-3</v>
      </c>
    </row>
    <row r="91" spans="1:10" ht="11.25" customHeight="1" x14ac:dyDescent="0.2">
      <c r="A91" s="49">
        <v>44378</v>
      </c>
      <c r="B91" s="39">
        <v>60953.64</v>
      </c>
      <c r="C91" s="39">
        <v>61561.843742626108</v>
      </c>
      <c r="D91" s="39">
        <v>0</v>
      </c>
      <c r="E91" s="39">
        <v>0</v>
      </c>
      <c r="F91" s="39">
        <v>0</v>
      </c>
      <c r="G91" s="39">
        <v>0</v>
      </c>
      <c r="H91" s="40">
        <v>9.9781365415767542E-3</v>
      </c>
      <c r="I91" s="40">
        <v>0</v>
      </c>
      <c r="J91" s="40">
        <v>9.9781365415767542E-3</v>
      </c>
    </row>
    <row r="92" spans="1:10" ht="11.25" customHeight="1" x14ac:dyDescent="0.2">
      <c r="A92" s="49">
        <v>44409</v>
      </c>
      <c r="B92" s="39">
        <v>102376.68000000001</v>
      </c>
      <c r="C92" s="39">
        <v>103398.20849171329</v>
      </c>
      <c r="D92" s="39">
        <v>0</v>
      </c>
      <c r="E92" s="39">
        <v>0</v>
      </c>
      <c r="F92" s="39">
        <v>0</v>
      </c>
      <c r="G92" s="39">
        <v>0</v>
      </c>
      <c r="H92" s="40">
        <v>9.9781365415765322E-3</v>
      </c>
      <c r="I92" s="40">
        <v>0</v>
      </c>
      <c r="J92" s="40">
        <v>9.9781365415765322E-3</v>
      </c>
    </row>
    <row r="93" spans="1:10" ht="11.25" customHeight="1" x14ac:dyDescent="0.2">
      <c r="A93" s="49">
        <v>44440</v>
      </c>
      <c r="B93" s="39">
        <v>77804.460000000006</v>
      </c>
      <c r="C93" s="39">
        <v>78580.803525423631</v>
      </c>
      <c r="D93" s="39">
        <v>0</v>
      </c>
      <c r="E93" s="39">
        <v>0</v>
      </c>
      <c r="F93" s="39">
        <v>0</v>
      </c>
      <c r="G93" s="39">
        <v>0</v>
      </c>
      <c r="H93" s="40">
        <v>9.9781365415765322E-3</v>
      </c>
      <c r="I93" s="40">
        <v>0</v>
      </c>
      <c r="J93" s="40">
        <v>9.9781365415765322E-3</v>
      </c>
    </row>
    <row r="94" spans="1:10" ht="11.25" customHeight="1" x14ac:dyDescent="0.2">
      <c r="A94" s="49">
        <v>44470</v>
      </c>
      <c r="B94" s="39">
        <v>86933.88</v>
      </c>
      <c r="C94" s="39">
        <v>87801.318124729034</v>
      </c>
      <c r="D94" s="39">
        <v>0</v>
      </c>
      <c r="E94" s="39">
        <v>0</v>
      </c>
      <c r="F94" s="39">
        <v>0</v>
      </c>
      <c r="G94" s="39">
        <v>0</v>
      </c>
      <c r="H94" s="40">
        <v>9.9781365415765322E-3</v>
      </c>
      <c r="I94" s="40">
        <v>0</v>
      </c>
      <c r="J94" s="40">
        <v>9.9781365415765322E-3</v>
      </c>
    </row>
    <row r="95" spans="1:10" ht="11.25" customHeight="1" x14ac:dyDescent="0.2">
      <c r="A95" s="49">
        <v>44501</v>
      </c>
      <c r="B95" s="39">
        <v>89659.08</v>
      </c>
      <c r="C95" s="39">
        <v>90553.710542432134</v>
      </c>
      <c r="D95" s="39">
        <v>0</v>
      </c>
      <c r="E95" s="39">
        <v>0</v>
      </c>
      <c r="F95" s="39">
        <v>0</v>
      </c>
      <c r="G95" s="39">
        <v>0</v>
      </c>
      <c r="H95" s="40">
        <v>9.9781365415765322E-3</v>
      </c>
      <c r="I95" s="40">
        <v>0</v>
      </c>
      <c r="J95" s="40">
        <v>9.9781365415765322E-3</v>
      </c>
    </row>
    <row r="96" spans="1:10" ht="11.25" customHeight="1" x14ac:dyDescent="0.2">
      <c r="A96" s="49">
        <v>44531</v>
      </c>
      <c r="B96" s="39">
        <v>94564.44</v>
      </c>
      <c r="C96" s="39">
        <v>95508.016894297733</v>
      </c>
      <c r="D96" s="39">
        <v>0</v>
      </c>
      <c r="E96" s="39">
        <v>0</v>
      </c>
      <c r="F96" s="39">
        <v>0</v>
      </c>
      <c r="G96" s="39">
        <v>0</v>
      </c>
      <c r="H96" s="40">
        <v>9.9781365415765322E-3</v>
      </c>
      <c r="I96" s="40">
        <v>0</v>
      </c>
      <c r="J96" s="40">
        <v>9.9781365415765322E-3</v>
      </c>
    </row>
    <row r="97" spans="1:10" ht="11.25" customHeight="1" x14ac:dyDescent="0.2">
      <c r="A97" s="49">
        <v>44562</v>
      </c>
      <c r="B97" s="39">
        <v>87569.760000000009</v>
      </c>
      <c r="C97" s="39">
        <v>88443.543022193102</v>
      </c>
      <c r="D97" s="39">
        <v>0</v>
      </c>
      <c r="E97" s="39">
        <v>0</v>
      </c>
      <c r="F97" s="39">
        <v>0</v>
      </c>
      <c r="G97" s="39">
        <v>0</v>
      </c>
      <c r="H97" s="40">
        <v>9.9781365415765322E-3</v>
      </c>
      <c r="I97" s="40">
        <v>0</v>
      </c>
      <c r="J97" s="40">
        <v>9.9781365415765322E-3</v>
      </c>
    </row>
    <row r="98" spans="1:10" ht="11.25" customHeight="1" x14ac:dyDescent="0.2">
      <c r="A98" s="49">
        <v>44593</v>
      </c>
      <c r="B98" s="39">
        <v>105783.18</v>
      </c>
      <c r="C98" s="39">
        <v>106838.69901384218</v>
      </c>
      <c r="D98" s="39">
        <v>0</v>
      </c>
      <c r="E98" s="39">
        <v>0</v>
      </c>
      <c r="F98" s="39">
        <v>0</v>
      </c>
      <c r="G98" s="39">
        <v>0</v>
      </c>
      <c r="H98" s="40">
        <v>9.9781365415767542E-3</v>
      </c>
      <c r="I98" s="40">
        <v>0</v>
      </c>
      <c r="J98" s="40">
        <v>9.9781365415767542E-3</v>
      </c>
    </row>
    <row r="99" spans="1:10" ht="11.25" customHeight="1" x14ac:dyDescent="0.2">
      <c r="A99" s="49">
        <v>44621</v>
      </c>
      <c r="B99" s="39">
        <v>133761.9</v>
      </c>
      <c r="C99" s="39">
        <v>135096.59450226073</v>
      </c>
      <c r="D99" s="39">
        <v>0</v>
      </c>
      <c r="E99" s="39">
        <v>0</v>
      </c>
      <c r="F99" s="39">
        <v>0</v>
      </c>
      <c r="G99" s="39">
        <v>0</v>
      </c>
      <c r="H99" s="40">
        <v>9.9781365415767542E-3</v>
      </c>
      <c r="I99" s="40">
        <v>0</v>
      </c>
      <c r="J99" s="40">
        <v>9.9781365415767542E-3</v>
      </c>
    </row>
    <row r="100" spans="1:10" ht="11.25" customHeight="1" x14ac:dyDescent="0.2">
      <c r="A100" s="49">
        <v>44652</v>
      </c>
      <c r="B100" s="39">
        <v>162376.5</v>
      </c>
      <c r="C100" s="39">
        <v>163996.71488814332</v>
      </c>
      <c r="D100" s="39">
        <v>0</v>
      </c>
      <c r="E100" s="39">
        <v>0</v>
      </c>
      <c r="F100" s="39">
        <v>0</v>
      </c>
      <c r="G100" s="39">
        <v>0</v>
      </c>
      <c r="H100" s="40">
        <v>9.9781365415767542E-3</v>
      </c>
      <c r="I100" s="40">
        <v>0</v>
      </c>
      <c r="J100" s="40">
        <v>9.9781365415767542E-3</v>
      </c>
    </row>
    <row r="101" spans="1:10" ht="11.25" customHeight="1" x14ac:dyDescent="0.2">
      <c r="A101" s="49">
        <v>44682</v>
      </c>
      <c r="B101" s="39">
        <v>161468.1</v>
      </c>
      <c r="C101" s="39">
        <v>163079.25074890893</v>
      </c>
      <c r="D101" s="39">
        <v>0</v>
      </c>
      <c r="E101" s="39">
        <v>0</v>
      </c>
      <c r="F101" s="39">
        <v>0</v>
      </c>
      <c r="G101" s="39">
        <v>0</v>
      </c>
      <c r="H101" s="40">
        <v>9.9781365415765322E-3</v>
      </c>
      <c r="I101" s="40">
        <v>0</v>
      </c>
      <c r="J101" s="40">
        <v>9.9781365415765322E-3</v>
      </c>
    </row>
    <row r="102" spans="1:10" ht="11.25" customHeight="1" x14ac:dyDescent="0.2">
      <c r="A102" s="49">
        <v>44713</v>
      </c>
      <c r="B102" s="39">
        <v>118092</v>
      </c>
      <c r="C102" s="39">
        <v>119270.33810046787</v>
      </c>
      <c r="D102" s="39">
        <v>0</v>
      </c>
      <c r="E102" s="39">
        <v>0</v>
      </c>
      <c r="F102" s="39">
        <v>0</v>
      </c>
      <c r="G102" s="39">
        <v>0</v>
      </c>
      <c r="H102" s="40">
        <v>9.9781365415765322E-3</v>
      </c>
      <c r="I102" s="40">
        <v>0</v>
      </c>
      <c r="J102" s="40">
        <v>9.9781365415765322E-3</v>
      </c>
    </row>
    <row r="103" spans="1:10" ht="11.25" customHeight="1" x14ac:dyDescent="0.2">
      <c r="A103" s="48" t="s">
        <v>37</v>
      </c>
      <c r="B103" s="39">
        <v>0</v>
      </c>
      <c r="C103" s="39">
        <v>0</v>
      </c>
      <c r="D103" s="39">
        <v>522939.42112000001</v>
      </c>
      <c r="E103" s="39">
        <v>537204.45657814597</v>
      </c>
      <c r="F103" s="39">
        <v>90023.875719999996</v>
      </c>
      <c r="G103" s="39">
        <v>89638.045795349579</v>
      </c>
      <c r="H103" s="40">
        <v>2.7278562070524481E-2</v>
      </c>
      <c r="I103" s="40">
        <v>-4.2858621844993339E-3</v>
      </c>
      <c r="J103" s="40">
        <v>2.2642800319442991E-2</v>
      </c>
    </row>
    <row r="104" spans="1:10" ht="11.25" customHeight="1" x14ac:dyDescent="0.2">
      <c r="A104" s="49">
        <v>44378</v>
      </c>
      <c r="B104" s="39">
        <v>0</v>
      </c>
      <c r="C104" s="39">
        <v>0</v>
      </c>
      <c r="D104" s="39">
        <v>29015.236479999996</v>
      </c>
      <c r="E104" s="39">
        <v>29806.730409310621</v>
      </c>
      <c r="F104" s="39">
        <v>4994.9648799999995</v>
      </c>
      <c r="G104" s="39">
        <v>4973.5571489079057</v>
      </c>
      <c r="H104" s="40">
        <v>2.7278562070524481E-2</v>
      </c>
      <c r="I104" s="40">
        <v>-4.2858621844992228E-3</v>
      </c>
      <c r="J104" s="40">
        <v>2.2642800319443213E-2</v>
      </c>
    </row>
    <row r="105" spans="1:10" ht="11.25" customHeight="1" x14ac:dyDescent="0.2">
      <c r="A105" s="49">
        <v>44409</v>
      </c>
      <c r="B105" s="39">
        <v>0</v>
      </c>
      <c r="C105" s="39">
        <v>0</v>
      </c>
      <c r="D105" s="39">
        <v>28990.329439999998</v>
      </c>
      <c r="E105" s="39">
        <v>29781.143941073988</v>
      </c>
      <c r="F105" s="39">
        <v>4990.6771399999998</v>
      </c>
      <c r="G105" s="39">
        <v>4969.2877855706283</v>
      </c>
      <c r="H105" s="40">
        <v>2.7278562070524481E-2</v>
      </c>
      <c r="I105" s="40">
        <v>-4.2858621844993339E-3</v>
      </c>
      <c r="J105" s="40">
        <v>2.2642800319442991E-2</v>
      </c>
    </row>
    <row r="106" spans="1:10" ht="11.25" customHeight="1" x14ac:dyDescent="0.2">
      <c r="A106" s="49">
        <v>44440</v>
      </c>
      <c r="B106" s="39">
        <v>0</v>
      </c>
      <c r="C106" s="39">
        <v>0</v>
      </c>
      <c r="D106" s="39">
        <v>30969.706559999999</v>
      </c>
      <c r="E106" s="39">
        <v>31814.515622702889</v>
      </c>
      <c r="F106" s="39">
        <v>5331.4263600000004</v>
      </c>
      <c r="G106" s="39">
        <v>5308.5766013742332</v>
      </c>
      <c r="H106" s="40">
        <v>2.7278562070524481E-2</v>
      </c>
      <c r="I106" s="40">
        <v>-4.2858621844993339E-3</v>
      </c>
      <c r="J106" s="40">
        <v>2.2642800319443213E-2</v>
      </c>
    </row>
    <row r="107" spans="1:10" ht="11.25" customHeight="1" x14ac:dyDescent="0.2">
      <c r="A107" s="49">
        <v>44470</v>
      </c>
      <c r="B107" s="39">
        <v>0</v>
      </c>
      <c r="C107" s="39">
        <v>0</v>
      </c>
      <c r="D107" s="39">
        <v>29424.004959999995</v>
      </c>
      <c r="E107" s="39">
        <v>30226.649505664776</v>
      </c>
      <c r="F107" s="39">
        <v>5065.3342599999996</v>
      </c>
      <c r="G107" s="39">
        <v>5043.6249354432166</v>
      </c>
      <c r="H107" s="40">
        <v>2.7278562070524481E-2</v>
      </c>
      <c r="I107" s="40">
        <v>-4.2858621844993339E-3</v>
      </c>
      <c r="J107" s="40">
        <v>2.2642800319442991E-2</v>
      </c>
    </row>
    <row r="108" spans="1:10" ht="11.25" customHeight="1" x14ac:dyDescent="0.2">
      <c r="A108" s="49">
        <v>44501</v>
      </c>
      <c r="B108" s="39">
        <v>0</v>
      </c>
      <c r="C108" s="39">
        <v>0</v>
      </c>
      <c r="D108" s="39">
        <v>35794.346720000001</v>
      </c>
      <c r="E108" s="39">
        <v>36770.765028775393</v>
      </c>
      <c r="F108" s="39">
        <v>6161.9868200000001</v>
      </c>
      <c r="G108" s="39">
        <v>6135.5773937067788</v>
      </c>
      <c r="H108" s="40">
        <v>2.7278562070524481E-2</v>
      </c>
      <c r="I108" s="40">
        <v>-4.2858621844993339E-3</v>
      </c>
      <c r="J108" s="40">
        <v>2.2642800319442991E-2</v>
      </c>
    </row>
    <row r="109" spans="1:10" ht="11.25" customHeight="1" x14ac:dyDescent="0.2">
      <c r="A109" s="49">
        <v>44531</v>
      </c>
      <c r="B109" s="39">
        <v>0</v>
      </c>
      <c r="C109" s="39">
        <v>0</v>
      </c>
      <c r="D109" s="39">
        <v>32826.013599999998</v>
      </c>
      <c r="E109" s="39">
        <v>33721.460049515481</v>
      </c>
      <c r="F109" s="39">
        <v>5650.9891000000007</v>
      </c>
      <c r="G109" s="39">
        <v>5626.7697395112928</v>
      </c>
      <c r="H109" s="40">
        <v>2.7278562070524481E-2</v>
      </c>
      <c r="I109" s="40">
        <v>-4.2858621844993339E-3</v>
      </c>
      <c r="J109" s="40">
        <v>2.2642800319443213E-2</v>
      </c>
    </row>
    <row r="110" spans="1:10" ht="11.25" customHeight="1" x14ac:dyDescent="0.2">
      <c r="A110" s="49">
        <v>44562</v>
      </c>
      <c r="B110" s="39">
        <v>0</v>
      </c>
      <c r="C110" s="39">
        <v>0</v>
      </c>
      <c r="D110" s="39">
        <v>39140.680799999995</v>
      </c>
      <c r="E110" s="39">
        <v>40208.382290685382</v>
      </c>
      <c r="F110" s="39">
        <v>6738.0572999999995</v>
      </c>
      <c r="G110" s="39">
        <v>6709.1789150209406</v>
      </c>
      <c r="H110" s="40">
        <v>2.7278562070524481E-2</v>
      </c>
      <c r="I110" s="40">
        <v>-4.2858621844992228E-3</v>
      </c>
      <c r="J110" s="40">
        <v>2.2642800319443213E-2</v>
      </c>
    </row>
    <row r="111" spans="1:10" ht="11.25" customHeight="1" x14ac:dyDescent="0.2">
      <c r="A111" s="49">
        <v>44593</v>
      </c>
      <c r="B111" s="39">
        <v>0</v>
      </c>
      <c r="C111" s="39">
        <v>0</v>
      </c>
      <c r="D111" s="39">
        <v>37808.886719999995</v>
      </c>
      <c r="E111" s="39">
        <v>38840.258783208948</v>
      </c>
      <c r="F111" s="39">
        <v>6508.7893199999999</v>
      </c>
      <c r="G111" s="39">
        <v>6480.8935459865388</v>
      </c>
      <c r="H111" s="40">
        <v>2.7278562070524703E-2</v>
      </c>
      <c r="I111" s="40">
        <v>-4.2858621844993339E-3</v>
      </c>
      <c r="J111" s="40">
        <v>2.2642800319443213E-2</v>
      </c>
    </row>
    <row r="112" spans="1:10" ht="11.25" customHeight="1" x14ac:dyDescent="0.2">
      <c r="A112" s="49">
        <v>44621</v>
      </c>
      <c r="B112" s="39">
        <v>0</v>
      </c>
      <c r="C112" s="39">
        <v>0</v>
      </c>
      <c r="D112" s="39">
        <v>69499.432319999993</v>
      </c>
      <c r="E112" s="39">
        <v>71395.276898407334</v>
      </c>
      <c r="F112" s="39">
        <v>11964.307919999999</v>
      </c>
      <c r="G112" s="39">
        <v>11913.030545121966</v>
      </c>
      <c r="H112" s="40">
        <v>2.7278562070524481E-2</v>
      </c>
      <c r="I112" s="40">
        <v>-4.2858621844992228E-3</v>
      </c>
      <c r="J112" s="40">
        <v>2.2642800319443213E-2</v>
      </c>
    </row>
    <row r="113" spans="1:10" ht="11.25" customHeight="1" x14ac:dyDescent="0.2">
      <c r="A113" s="49">
        <v>44652</v>
      </c>
      <c r="B113" s="39">
        <v>0</v>
      </c>
      <c r="C113" s="39">
        <v>0</v>
      </c>
      <c r="D113" s="39">
        <v>86758.54591999999</v>
      </c>
      <c r="E113" s="39">
        <v>89125.194300027157</v>
      </c>
      <c r="F113" s="39">
        <v>14935.45952</v>
      </c>
      <c r="G113" s="39">
        <v>14871.448198835113</v>
      </c>
      <c r="H113" s="40">
        <v>2.7278562070524481E-2</v>
      </c>
      <c r="I113" s="40">
        <v>-4.2858621844992228E-3</v>
      </c>
      <c r="J113" s="40">
        <v>2.2642800319443213E-2</v>
      </c>
    </row>
    <row r="114" spans="1:10" ht="11.25" customHeight="1" x14ac:dyDescent="0.2">
      <c r="A114" s="49">
        <v>44682</v>
      </c>
      <c r="B114" s="39">
        <v>0</v>
      </c>
      <c r="C114" s="39">
        <v>0</v>
      </c>
      <c r="D114" s="39">
        <v>65550.933919999996</v>
      </c>
      <c r="E114" s="39">
        <v>67339.069139717554</v>
      </c>
      <c r="F114" s="39">
        <v>11284.57502</v>
      </c>
      <c r="G114" s="39">
        <v>11236.210886653636</v>
      </c>
      <c r="H114" s="40">
        <v>2.7278562070524259E-2</v>
      </c>
      <c r="I114" s="40">
        <v>-4.2858621844993339E-3</v>
      </c>
      <c r="J114" s="40">
        <v>2.2642800319442768E-2</v>
      </c>
    </row>
    <row r="115" spans="1:10" ht="11.25" customHeight="1" x14ac:dyDescent="0.2">
      <c r="A115" s="49">
        <v>44713</v>
      </c>
      <c r="B115" s="39">
        <v>0</v>
      </c>
      <c r="C115" s="39">
        <v>0</v>
      </c>
      <c r="D115" s="39">
        <v>37161.303680000005</v>
      </c>
      <c r="E115" s="39">
        <v>38175.010609056488</v>
      </c>
      <c r="F115" s="39">
        <v>6397.3080800000007</v>
      </c>
      <c r="G115" s="39">
        <v>6369.8900992173358</v>
      </c>
      <c r="H115" s="40">
        <v>2.7278562070524259E-2</v>
      </c>
      <c r="I115" s="40">
        <v>-4.2858621844994449E-3</v>
      </c>
      <c r="J115" s="40">
        <v>2.2642800319442991E-2</v>
      </c>
    </row>
    <row r="116" spans="1:10" ht="11.25" customHeight="1" x14ac:dyDescent="0.2">
      <c r="A116" s="44" t="s">
        <v>41</v>
      </c>
      <c r="B116" s="39">
        <v>1769766.6816000002</v>
      </c>
      <c r="C116" s="39">
        <v>1787425.655195738</v>
      </c>
      <c r="D116" s="39">
        <v>746638.87888560013</v>
      </c>
      <c r="E116" s="39">
        <v>796039.86465984117</v>
      </c>
      <c r="F116" s="39">
        <v>969516.97799159971</v>
      </c>
      <c r="G116" s="39">
        <v>965361.7618383955</v>
      </c>
      <c r="H116" s="40">
        <v>2.6649106337627959E-2</v>
      </c>
      <c r="I116" s="40">
        <v>-4.2858621844988898E-3</v>
      </c>
      <c r="J116" s="40">
        <v>1.8045364612219617E-2</v>
      </c>
    </row>
    <row r="117" spans="1:10" ht="11.25" customHeight="1" x14ac:dyDescent="0.2">
      <c r="A117" s="45" t="s">
        <v>49</v>
      </c>
      <c r="B117" s="39">
        <v>1397308.1472</v>
      </c>
      <c r="C117" s="39">
        <v>1411250.678683419</v>
      </c>
      <c r="D117" s="39">
        <v>646507.8010488</v>
      </c>
      <c r="E117" s="39">
        <v>689235.78265122126</v>
      </c>
      <c r="F117" s="39">
        <v>838108.98591479973</v>
      </c>
      <c r="G117" s="39">
        <v>834516.96630557848</v>
      </c>
      <c r="H117" s="40">
        <v>2.7727796690497852E-2</v>
      </c>
      <c r="I117" s="40">
        <v>-4.2858621844990008E-3</v>
      </c>
      <c r="J117" s="40">
        <v>1.8417722421359084E-2</v>
      </c>
    </row>
    <row r="118" spans="1:10" ht="11.25" customHeight="1" x14ac:dyDescent="0.2">
      <c r="A118" s="46" t="s">
        <v>51</v>
      </c>
      <c r="B118" s="39">
        <v>0</v>
      </c>
      <c r="C118" s="39">
        <v>0</v>
      </c>
      <c r="D118" s="39">
        <v>44726.176331999988</v>
      </c>
      <c r="E118" s="39">
        <v>50590.343778887349</v>
      </c>
      <c r="F118" s="39">
        <v>142219.31662199998</v>
      </c>
      <c r="G118" s="39">
        <v>141609.7842309844</v>
      </c>
      <c r="H118" s="40">
        <v>0.13111264873969919</v>
      </c>
      <c r="I118" s="40">
        <v>-4.2858621844994449E-3</v>
      </c>
      <c r="J118" s="40">
        <v>2.8107845623027483E-2</v>
      </c>
    </row>
    <row r="119" spans="1:10" ht="11.25" customHeight="1" x14ac:dyDescent="0.2">
      <c r="A119" s="47" t="s">
        <v>25</v>
      </c>
      <c r="B119" s="39">
        <v>0</v>
      </c>
      <c r="C119" s="39">
        <v>0</v>
      </c>
      <c r="D119" s="39">
        <v>44726.176331999988</v>
      </c>
      <c r="E119" s="39">
        <v>50590.343778887349</v>
      </c>
      <c r="F119" s="39">
        <v>142219.31662199998</v>
      </c>
      <c r="G119" s="39">
        <v>141609.7842309844</v>
      </c>
      <c r="H119" s="40">
        <v>0.13111264873969919</v>
      </c>
      <c r="I119" s="40">
        <v>-4.2858621844994449E-3</v>
      </c>
      <c r="J119" s="40">
        <v>2.8107845623027483E-2</v>
      </c>
    </row>
    <row r="120" spans="1:10" ht="11.25" customHeight="1" x14ac:dyDescent="0.2">
      <c r="A120" s="48" t="s">
        <v>38</v>
      </c>
      <c r="B120" s="39">
        <v>0</v>
      </c>
      <c r="C120" s="39">
        <v>0</v>
      </c>
      <c r="D120" s="39">
        <v>44726.176331999988</v>
      </c>
      <c r="E120" s="39">
        <v>50590.343778887349</v>
      </c>
      <c r="F120" s="39">
        <v>142219.31662199998</v>
      </c>
      <c r="G120" s="39">
        <v>141609.7842309844</v>
      </c>
      <c r="H120" s="40">
        <v>0.13111264873969919</v>
      </c>
      <c r="I120" s="40">
        <v>-4.2858621844994449E-3</v>
      </c>
      <c r="J120" s="40">
        <v>2.8107845623027483E-2</v>
      </c>
    </row>
    <row r="121" spans="1:10" ht="11.25" customHeight="1" x14ac:dyDescent="0.2">
      <c r="A121" s="49">
        <v>44378</v>
      </c>
      <c r="B121" s="39">
        <v>0</v>
      </c>
      <c r="C121" s="39">
        <v>0</v>
      </c>
      <c r="D121" s="39">
        <v>407.38751999999999</v>
      </c>
      <c r="E121" s="39">
        <v>460.80117681069703</v>
      </c>
      <c r="F121" s="39">
        <v>1295.40192</v>
      </c>
      <c r="G121" s="39">
        <v>1289.8500058973443</v>
      </c>
      <c r="H121" s="40">
        <v>0.13111264873969875</v>
      </c>
      <c r="I121" s="40">
        <v>-4.2858621844992228E-3</v>
      </c>
      <c r="J121" s="40">
        <v>2.8107845623027261E-2</v>
      </c>
    </row>
    <row r="122" spans="1:10" ht="11.25" customHeight="1" x14ac:dyDescent="0.2">
      <c r="A122" s="49">
        <v>44409</v>
      </c>
      <c r="B122" s="39">
        <v>0</v>
      </c>
      <c r="C122" s="39">
        <v>0</v>
      </c>
      <c r="D122" s="39">
        <v>647.25119999999993</v>
      </c>
      <c r="E122" s="39">
        <v>732.11401923194853</v>
      </c>
      <c r="F122" s="39">
        <v>2058.1152000000002</v>
      </c>
      <c r="G122" s="39">
        <v>2049.2944018929766</v>
      </c>
      <c r="H122" s="40">
        <v>0.13111264873969897</v>
      </c>
      <c r="I122" s="40">
        <v>-4.2858621844994449E-3</v>
      </c>
      <c r="J122" s="40">
        <v>2.8107845623027261E-2</v>
      </c>
    </row>
    <row r="123" spans="1:10" ht="11.25" customHeight="1" x14ac:dyDescent="0.2">
      <c r="A123" s="49">
        <v>44440</v>
      </c>
      <c r="B123" s="39">
        <v>0</v>
      </c>
      <c r="C123" s="39">
        <v>0</v>
      </c>
      <c r="D123" s="39">
        <v>454.28943599999991</v>
      </c>
      <c r="E123" s="39">
        <v>513.85252724842383</v>
      </c>
      <c r="F123" s="39">
        <v>1444.5396059999998</v>
      </c>
      <c r="G123" s="39">
        <v>1438.348508328633</v>
      </c>
      <c r="H123" s="40">
        <v>0.13111264873969897</v>
      </c>
      <c r="I123" s="40">
        <v>-4.2858621844992228E-3</v>
      </c>
      <c r="J123" s="40">
        <v>2.8107845623027261E-2</v>
      </c>
    </row>
    <row r="124" spans="1:10" ht="11.25" customHeight="1" x14ac:dyDescent="0.2">
      <c r="A124" s="49">
        <v>44470</v>
      </c>
      <c r="B124" s="39">
        <v>0</v>
      </c>
      <c r="C124" s="39">
        <v>0</v>
      </c>
      <c r="D124" s="39">
        <v>807.11272799999995</v>
      </c>
      <c r="E124" s="39">
        <v>912.93541559960408</v>
      </c>
      <c r="F124" s="39">
        <v>2566.4393879999998</v>
      </c>
      <c r="G124" s="39">
        <v>2555.4399824781613</v>
      </c>
      <c r="H124" s="40">
        <v>0.13111264873969897</v>
      </c>
      <c r="I124" s="40">
        <v>-4.2858621844992228E-3</v>
      </c>
      <c r="J124" s="40">
        <v>2.8107845623027483E-2</v>
      </c>
    </row>
    <row r="125" spans="1:10" ht="11.25" customHeight="1" x14ac:dyDescent="0.2">
      <c r="A125" s="49">
        <v>44501</v>
      </c>
      <c r="B125" s="39">
        <v>0</v>
      </c>
      <c r="C125" s="39">
        <v>0</v>
      </c>
      <c r="D125" s="39">
        <v>7468.3508039999997</v>
      </c>
      <c r="E125" s="39">
        <v>8447.5460596296998</v>
      </c>
      <c r="F125" s="39">
        <v>23747.698434000002</v>
      </c>
      <c r="G125" s="39">
        <v>23645.919071312826</v>
      </c>
      <c r="H125" s="40">
        <v>0.13111264873969897</v>
      </c>
      <c r="I125" s="40">
        <v>-4.2858621844993339E-3</v>
      </c>
      <c r="J125" s="40">
        <v>2.8107845623027261E-2</v>
      </c>
    </row>
    <row r="126" spans="1:10" ht="11.25" customHeight="1" x14ac:dyDescent="0.2">
      <c r="A126" s="49">
        <v>44531</v>
      </c>
      <c r="B126" s="39">
        <v>0</v>
      </c>
      <c r="C126" s="39">
        <v>0</v>
      </c>
      <c r="D126" s="39">
        <v>10447.395839999997</v>
      </c>
      <c r="E126" s="39">
        <v>11817.181581014509</v>
      </c>
      <c r="F126" s="39">
        <v>33220.40064</v>
      </c>
      <c r="G126" s="39">
        <v>33078.022581143101</v>
      </c>
      <c r="H126" s="40">
        <v>0.13111264873969897</v>
      </c>
      <c r="I126" s="40">
        <v>-4.2858621844994449E-3</v>
      </c>
      <c r="J126" s="40">
        <v>2.8107845623027261E-2</v>
      </c>
    </row>
    <row r="127" spans="1:10" ht="11.25" customHeight="1" x14ac:dyDescent="0.2">
      <c r="A127" s="49">
        <v>44562</v>
      </c>
      <c r="B127" s="39">
        <v>0</v>
      </c>
      <c r="C127" s="39">
        <v>0</v>
      </c>
      <c r="D127" s="39">
        <v>11070.708263999999</v>
      </c>
      <c r="E127" s="39">
        <v>12522.218147917512</v>
      </c>
      <c r="F127" s="39">
        <v>35202.395843999999</v>
      </c>
      <c r="G127" s="39">
        <v>35051.523226848425</v>
      </c>
      <c r="H127" s="40">
        <v>0.13111264873969897</v>
      </c>
      <c r="I127" s="40">
        <v>-4.2858621844992228E-3</v>
      </c>
      <c r="J127" s="40">
        <v>2.8107845623027483E-2</v>
      </c>
    </row>
    <row r="128" spans="1:10" ht="11.25" customHeight="1" x14ac:dyDescent="0.2">
      <c r="A128" s="49">
        <v>44593</v>
      </c>
      <c r="B128" s="39">
        <v>0</v>
      </c>
      <c r="C128" s="39">
        <v>0</v>
      </c>
      <c r="D128" s="39">
        <v>7946.483831999999</v>
      </c>
      <c r="E128" s="39">
        <v>8988.3683753807109</v>
      </c>
      <c r="F128" s="39">
        <v>25268.055371999999</v>
      </c>
      <c r="G128" s="39">
        <v>25159.75996900531</v>
      </c>
      <c r="H128" s="40">
        <v>0.13111264873969875</v>
      </c>
      <c r="I128" s="40">
        <v>-4.2858621844992228E-3</v>
      </c>
      <c r="J128" s="40">
        <v>2.8107845623027261E-2</v>
      </c>
    </row>
    <row r="129" spans="1:10" ht="11.25" customHeight="1" x14ac:dyDescent="0.2">
      <c r="A129" s="49">
        <v>44621</v>
      </c>
      <c r="B129" s="39">
        <v>0</v>
      </c>
      <c r="C129" s="39">
        <v>0</v>
      </c>
      <c r="D129" s="39">
        <v>3812.8330799999999</v>
      </c>
      <c r="E129" s="39">
        <v>4312.7437243211443</v>
      </c>
      <c r="F129" s="39">
        <v>12123.963180000001</v>
      </c>
      <c r="G129" s="39">
        <v>12072.001544680576</v>
      </c>
      <c r="H129" s="40">
        <v>0.13111264873969897</v>
      </c>
      <c r="I129" s="40">
        <v>-4.2858621844994449E-3</v>
      </c>
      <c r="J129" s="40">
        <v>2.8107845623027261E-2</v>
      </c>
    </row>
    <row r="130" spans="1:10" ht="11.25" customHeight="1" x14ac:dyDescent="0.2">
      <c r="A130" s="49">
        <v>44652</v>
      </c>
      <c r="B130" s="39">
        <v>0</v>
      </c>
      <c r="C130" s="39">
        <v>0</v>
      </c>
      <c r="D130" s="39">
        <v>962.47681199999988</v>
      </c>
      <c r="E130" s="39">
        <v>1088.6696961718612</v>
      </c>
      <c r="F130" s="39">
        <v>3060.4627019999998</v>
      </c>
      <c r="G130" s="39">
        <v>3047.3459806384276</v>
      </c>
      <c r="H130" s="40">
        <v>0.13111264873969897</v>
      </c>
      <c r="I130" s="40">
        <v>-4.2858621844992228E-3</v>
      </c>
      <c r="J130" s="40">
        <v>2.8107845623027483E-2</v>
      </c>
    </row>
    <row r="131" spans="1:10" ht="11.25" customHeight="1" x14ac:dyDescent="0.2">
      <c r="A131" s="49">
        <v>44682</v>
      </c>
      <c r="B131" s="39">
        <v>0</v>
      </c>
      <c r="C131" s="39">
        <v>0</v>
      </c>
      <c r="D131" s="39">
        <v>430.660008</v>
      </c>
      <c r="E131" s="39">
        <v>487.12498235513993</v>
      </c>
      <c r="F131" s="39">
        <v>1369.403268</v>
      </c>
      <c r="G131" s="39">
        <v>1363.5341943183491</v>
      </c>
      <c r="H131" s="40">
        <v>0.13111264873969897</v>
      </c>
      <c r="I131" s="40">
        <v>-4.2858621844992228E-3</v>
      </c>
      <c r="J131" s="40">
        <v>2.8107845623027483E-2</v>
      </c>
    </row>
    <row r="132" spans="1:10" ht="11.25" customHeight="1" x14ac:dyDescent="0.2">
      <c r="A132" s="49">
        <v>44713</v>
      </c>
      <c r="B132" s="39">
        <v>0</v>
      </c>
      <c r="C132" s="39">
        <v>0</v>
      </c>
      <c r="D132" s="39">
        <v>271.22680799999995</v>
      </c>
      <c r="E132" s="39">
        <v>306.78807320609371</v>
      </c>
      <c r="F132" s="39">
        <v>862.44106799999997</v>
      </c>
      <c r="G132" s="39">
        <v>858.7447644402996</v>
      </c>
      <c r="H132" s="40">
        <v>0.13111264873969897</v>
      </c>
      <c r="I132" s="40">
        <v>-4.2858621844992228E-3</v>
      </c>
      <c r="J132" s="40">
        <v>2.8107845623027483E-2</v>
      </c>
    </row>
    <row r="133" spans="1:10" ht="11.25" customHeight="1" x14ac:dyDescent="0.2">
      <c r="A133" s="46" t="s">
        <v>25</v>
      </c>
      <c r="B133" s="39">
        <v>1397308.1472</v>
      </c>
      <c r="C133" s="39">
        <v>1411250.678683419</v>
      </c>
      <c r="D133" s="39">
        <v>601781.62471680006</v>
      </c>
      <c r="E133" s="39">
        <v>638645.43887233397</v>
      </c>
      <c r="F133" s="39">
        <v>695889.66929279978</v>
      </c>
      <c r="G133" s="39">
        <v>692907.18207459408</v>
      </c>
      <c r="H133" s="40">
        <v>2.5414739424251875E-2</v>
      </c>
      <c r="I133" s="40">
        <v>-4.2858621844988898E-3</v>
      </c>
      <c r="J133" s="40">
        <v>1.774553738312834E-2</v>
      </c>
    </row>
    <row r="134" spans="1:10" ht="11.25" customHeight="1" x14ac:dyDescent="0.2">
      <c r="A134" s="47" t="s">
        <v>25</v>
      </c>
      <c r="B134" s="39">
        <v>1397308.1472</v>
      </c>
      <c r="C134" s="39">
        <v>1411250.678683419</v>
      </c>
      <c r="D134" s="39">
        <v>601781.62471680006</v>
      </c>
      <c r="E134" s="39">
        <v>638645.43887233397</v>
      </c>
      <c r="F134" s="39">
        <v>695889.66929279978</v>
      </c>
      <c r="G134" s="39">
        <v>692907.18207459408</v>
      </c>
      <c r="H134" s="40">
        <v>2.5414739424251875E-2</v>
      </c>
      <c r="I134" s="40">
        <v>-4.2858621844988898E-3</v>
      </c>
      <c r="J134" s="40">
        <v>1.774553738312834E-2</v>
      </c>
    </row>
    <row r="135" spans="1:10" ht="11.25" customHeight="1" x14ac:dyDescent="0.2">
      <c r="A135" s="48" t="s">
        <v>38</v>
      </c>
      <c r="B135" s="39">
        <v>0</v>
      </c>
      <c r="C135" s="39">
        <v>0</v>
      </c>
      <c r="D135" s="39">
        <v>196930.28954880001</v>
      </c>
      <c r="E135" s="39">
        <v>222750.34142861902</v>
      </c>
      <c r="F135" s="39">
        <v>626194.62468479993</v>
      </c>
      <c r="G135" s="39">
        <v>623510.8408227266</v>
      </c>
      <c r="H135" s="40">
        <v>0.13111264873969875</v>
      </c>
      <c r="I135" s="40">
        <v>-4.2858621844991118E-3</v>
      </c>
      <c r="J135" s="40">
        <v>2.8107845623027483E-2</v>
      </c>
    </row>
    <row r="136" spans="1:10" ht="11.25" customHeight="1" x14ac:dyDescent="0.2">
      <c r="A136" s="49">
        <v>44378</v>
      </c>
      <c r="B136" s="39">
        <v>0</v>
      </c>
      <c r="C136" s="39">
        <v>0</v>
      </c>
      <c r="D136" s="39">
        <v>2343.3539327999997</v>
      </c>
      <c r="E136" s="39">
        <v>2650.5972738639985</v>
      </c>
      <c r="F136" s="39">
        <v>7451.3455488</v>
      </c>
      <c r="G136" s="39">
        <v>7419.4101086887613</v>
      </c>
      <c r="H136" s="40">
        <v>0.13111264873969897</v>
      </c>
      <c r="I136" s="40">
        <v>-4.2858621844992228E-3</v>
      </c>
      <c r="J136" s="40">
        <v>2.8107845623027483E-2</v>
      </c>
    </row>
    <row r="137" spans="1:10" ht="11.25" customHeight="1" x14ac:dyDescent="0.2">
      <c r="A137" s="49">
        <v>44409</v>
      </c>
      <c r="B137" s="39">
        <v>0</v>
      </c>
      <c r="C137" s="39">
        <v>0</v>
      </c>
      <c r="D137" s="39">
        <v>4341.8371967999992</v>
      </c>
      <c r="E137" s="39">
        <v>4911.1069720689966</v>
      </c>
      <c r="F137" s="39">
        <v>13806.0788928</v>
      </c>
      <c r="G137" s="39">
        <v>13746.907941357133</v>
      </c>
      <c r="H137" s="40">
        <v>0.13111264873969897</v>
      </c>
      <c r="I137" s="40">
        <v>-4.2858621844994449E-3</v>
      </c>
      <c r="J137" s="40">
        <v>2.8107845623027261E-2</v>
      </c>
    </row>
    <row r="138" spans="1:10" ht="11.25" customHeight="1" x14ac:dyDescent="0.2">
      <c r="A138" s="49">
        <v>44440</v>
      </c>
      <c r="B138" s="39">
        <v>0</v>
      </c>
      <c r="C138" s="39">
        <v>0</v>
      </c>
      <c r="D138" s="39">
        <v>2927.1745151999999</v>
      </c>
      <c r="E138" s="39">
        <v>3310.9641192112158</v>
      </c>
      <c r="F138" s="39">
        <v>9307.7654591999999</v>
      </c>
      <c r="G138" s="39">
        <v>9267.8736591962261</v>
      </c>
      <c r="H138" s="40">
        <v>0.13111264873969897</v>
      </c>
      <c r="I138" s="40">
        <v>-4.2858621844992228E-3</v>
      </c>
      <c r="J138" s="40">
        <v>2.8107845623027261E-2</v>
      </c>
    </row>
    <row r="139" spans="1:10" ht="11.25" customHeight="1" x14ac:dyDescent="0.2">
      <c r="A139" s="49">
        <v>44470</v>
      </c>
      <c r="B139" s="39">
        <v>0</v>
      </c>
      <c r="C139" s="39">
        <v>0</v>
      </c>
      <c r="D139" s="39">
        <v>3640.7499263999998</v>
      </c>
      <c r="E139" s="39">
        <v>4118.0982926491679</v>
      </c>
      <c r="F139" s="39">
        <v>11576.776934400001</v>
      </c>
      <c r="G139" s="39">
        <v>11527.160463918472</v>
      </c>
      <c r="H139" s="40">
        <v>0.13111264873969897</v>
      </c>
      <c r="I139" s="40">
        <v>-4.2858621844993339E-3</v>
      </c>
      <c r="J139" s="40">
        <v>2.8107845623027483E-2</v>
      </c>
    </row>
    <row r="140" spans="1:10" ht="11.25" customHeight="1" x14ac:dyDescent="0.2">
      <c r="A140" s="49">
        <v>44501</v>
      </c>
      <c r="B140" s="39">
        <v>0</v>
      </c>
      <c r="C140" s="39">
        <v>0</v>
      </c>
      <c r="D140" s="39">
        <v>33062.352767999997</v>
      </c>
      <c r="E140" s="39">
        <v>37397.245412978795</v>
      </c>
      <c r="F140" s="39">
        <v>105130.94572799999</v>
      </c>
      <c r="G140" s="39">
        <v>104680.36898328371</v>
      </c>
      <c r="H140" s="40">
        <v>0.13111264873969897</v>
      </c>
      <c r="I140" s="40">
        <v>-4.2858621844992228E-3</v>
      </c>
      <c r="J140" s="40">
        <v>2.8107845623027261E-2</v>
      </c>
    </row>
    <row r="141" spans="1:10" ht="11.25" customHeight="1" x14ac:dyDescent="0.2">
      <c r="A141" s="49">
        <v>44531</v>
      </c>
      <c r="B141" s="39">
        <v>0</v>
      </c>
      <c r="C141" s="39">
        <v>0</v>
      </c>
      <c r="D141" s="39">
        <v>40267.400831999999</v>
      </c>
      <c r="E141" s="39">
        <v>45546.966412946669</v>
      </c>
      <c r="F141" s="39">
        <v>128041.39987200001</v>
      </c>
      <c r="G141" s="39">
        <v>127492.63207823824</v>
      </c>
      <c r="H141" s="40">
        <v>0.13111264873969875</v>
      </c>
      <c r="I141" s="40">
        <v>-4.2858621844994449E-3</v>
      </c>
      <c r="J141" s="40">
        <v>2.8107845623027483E-2</v>
      </c>
    </row>
    <row r="142" spans="1:10" ht="11.25" customHeight="1" x14ac:dyDescent="0.2">
      <c r="A142" s="49">
        <v>44562</v>
      </c>
      <c r="B142" s="39">
        <v>0</v>
      </c>
      <c r="C142" s="39">
        <v>0</v>
      </c>
      <c r="D142" s="39">
        <v>46467.153561599996</v>
      </c>
      <c r="E142" s="39">
        <v>52559.585144455712</v>
      </c>
      <c r="F142" s="39">
        <v>147755.23791360002</v>
      </c>
      <c r="G142" s="39">
        <v>147121.97932686441</v>
      </c>
      <c r="H142" s="40">
        <v>0.13111264873969897</v>
      </c>
      <c r="I142" s="40">
        <v>-4.2858621844994449E-3</v>
      </c>
      <c r="J142" s="40">
        <v>2.8107845623027483E-2</v>
      </c>
    </row>
    <row r="143" spans="1:10" ht="11.25" customHeight="1" x14ac:dyDescent="0.2">
      <c r="A143" s="49">
        <v>44593</v>
      </c>
      <c r="B143" s="39">
        <v>0</v>
      </c>
      <c r="C143" s="39">
        <v>0</v>
      </c>
      <c r="D143" s="39">
        <v>39709.470297599997</v>
      </c>
      <c r="E143" s="39">
        <v>44915.884128368729</v>
      </c>
      <c r="F143" s="39">
        <v>126267.30456959999</v>
      </c>
      <c r="G143" s="39">
        <v>125726.14030380649</v>
      </c>
      <c r="H143" s="40">
        <v>0.13111264873969875</v>
      </c>
      <c r="I143" s="40">
        <v>-4.2858621844992228E-3</v>
      </c>
      <c r="J143" s="40">
        <v>2.8107845623027261E-2</v>
      </c>
    </row>
    <row r="144" spans="1:10" ht="11.25" customHeight="1" x14ac:dyDescent="0.2">
      <c r="A144" s="49">
        <v>44621</v>
      </c>
      <c r="B144" s="39">
        <v>0</v>
      </c>
      <c r="C144" s="39">
        <v>0</v>
      </c>
      <c r="D144" s="39">
        <v>16456.780569599996</v>
      </c>
      <c r="E144" s="39">
        <v>18614.472659808263</v>
      </c>
      <c r="F144" s="39">
        <v>52328.910681599998</v>
      </c>
      <c r="G144" s="39">
        <v>52104.636182153685</v>
      </c>
      <c r="H144" s="40">
        <v>0.13111264873969897</v>
      </c>
      <c r="I144" s="40">
        <v>-4.2858621844993339E-3</v>
      </c>
      <c r="J144" s="40">
        <v>2.8107845623027261E-2</v>
      </c>
    </row>
    <row r="145" spans="1:10" ht="11.25" customHeight="1" x14ac:dyDescent="0.2">
      <c r="A145" s="49">
        <v>44652</v>
      </c>
      <c r="B145" s="39">
        <v>0</v>
      </c>
      <c r="C145" s="39">
        <v>0</v>
      </c>
      <c r="D145" s="39">
        <v>4101.4404863999998</v>
      </c>
      <c r="E145" s="39">
        <v>4639.1912122201429</v>
      </c>
      <c r="F145" s="39">
        <v>13041.6706944</v>
      </c>
      <c r="G145" s="39">
        <v>12985.775891148178</v>
      </c>
      <c r="H145" s="40">
        <v>0.13111264873969897</v>
      </c>
      <c r="I145" s="40">
        <v>-4.2858621844993339E-3</v>
      </c>
      <c r="J145" s="40">
        <v>2.8107845623027261E-2</v>
      </c>
    </row>
    <row r="146" spans="1:10" ht="11.25" customHeight="1" x14ac:dyDescent="0.2">
      <c r="A146" s="49">
        <v>44682</v>
      </c>
      <c r="B146" s="39">
        <v>0</v>
      </c>
      <c r="C146" s="39">
        <v>0</v>
      </c>
      <c r="D146" s="39">
        <v>2237.1285887999998</v>
      </c>
      <c r="E146" s="39">
        <v>2530.4444436488725</v>
      </c>
      <c r="F146" s="39">
        <v>7113.5725247999999</v>
      </c>
      <c r="G146" s="39">
        <v>7083.084733319266</v>
      </c>
      <c r="H146" s="40">
        <v>0.13111264873969897</v>
      </c>
      <c r="I146" s="40">
        <v>-4.2858621844993339E-3</v>
      </c>
      <c r="J146" s="40">
        <v>2.8107845623027261E-2</v>
      </c>
    </row>
    <row r="147" spans="1:10" ht="11.25" customHeight="1" x14ac:dyDescent="0.2">
      <c r="A147" s="49">
        <v>44713</v>
      </c>
      <c r="B147" s="39">
        <v>0</v>
      </c>
      <c r="C147" s="39">
        <v>0</v>
      </c>
      <c r="D147" s="39">
        <v>1375.4468735999999</v>
      </c>
      <c r="E147" s="39">
        <v>1555.7853563984336</v>
      </c>
      <c r="F147" s="39">
        <v>4373.6158655999998</v>
      </c>
      <c r="G147" s="39">
        <v>4354.8711507520984</v>
      </c>
      <c r="H147" s="40">
        <v>0.13111264873969875</v>
      </c>
      <c r="I147" s="40">
        <v>-4.2858621844993339E-3</v>
      </c>
      <c r="J147" s="40">
        <v>2.8107845623027261E-2</v>
      </c>
    </row>
    <row r="148" spans="1:10" ht="11.25" customHeight="1" x14ac:dyDescent="0.2">
      <c r="A148" s="48" t="s">
        <v>25</v>
      </c>
      <c r="B148" s="39">
        <v>1397308.1472</v>
      </c>
      <c r="C148" s="39">
        <v>1411250.678683419</v>
      </c>
      <c r="D148" s="39">
        <v>0</v>
      </c>
      <c r="E148" s="39">
        <v>0</v>
      </c>
      <c r="F148" s="39">
        <v>0</v>
      </c>
      <c r="G148" s="39">
        <v>0</v>
      </c>
      <c r="H148" s="40">
        <v>9.9781365415765322E-3</v>
      </c>
      <c r="I148" s="40">
        <v>0</v>
      </c>
      <c r="J148" s="40">
        <v>9.9781365415765322E-3</v>
      </c>
    </row>
    <row r="149" spans="1:10" ht="11.25" customHeight="1" x14ac:dyDescent="0.2">
      <c r="A149" s="49">
        <v>44378</v>
      </c>
      <c r="B149" s="39">
        <v>54504</v>
      </c>
      <c r="C149" s="39">
        <v>55047.848354062095</v>
      </c>
      <c r="D149" s="39">
        <v>0</v>
      </c>
      <c r="E149" s="39">
        <v>0</v>
      </c>
      <c r="F149" s="39">
        <v>0</v>
      </c>
      <c r="G149" s="39">
        <v>0</v>
      </c>
      <c r="H149" s="40">
        <v>9.9781365415767542E-3</v>
      </c>
      <c r="I149" s="40">
        <v>0</v>
      </c>
      <c r="J149" s="40">
        <v>9.9781365415767542E-3</v>
      </c>
    </row>
    <row r="150" spans="1:10" ht="11.25" customHeight="1" x14ac:dyDescent="0.2">
      <c r="A150" s="49">
        <v>44409</v>
      </c>
      <c r="B150" s="39">
        <v>64837.958400000003</v>
      </c>
      <c r="C150" s="39">
        <v>65484.920401992262</v>
      </c>
      <c r="D150" s="39">
        <v>0</v>
      </c>
      <c r="E150" s="39">
        <v>0</v>
      </c>
      <c r="F150" s="39">
        <v>0</v>
      </c>
      <c r="G150" s="39">
        <v>0</v>
      </c>
      <c r="H150" s="40">
        <v>9.9781365415765322E-3</v>
      </c>
      <c r="I150" s="40">
        <v>0</v>
      </c>
      <c r="J150" s="40">
        <v>9.9781365415765322E-3</v>
      </c>
    </row>
    <row r="151" spans="1:10" ht="11.25" customHeight="1" x14ac:dyDescent="0.2">
      <c r="A151" s="49">
        <v>44440</v>
      </c>
      <c r="B151" s="39">
        <v>87162.796799999996</v>
      </c>
      <c r="C151" s="39">
        <v>88032.519087816094</v>
      </c>
      <c r="D151" s="39">
        <v>0</v>
      </c>
      <c r="E151" s="39">
        <v>0</v>
      </c>
      <c r="F151" s="39">
        <v>0</v>
      </c>
      <c r="G151" s="39">
        <v>0</v>
      </c>
      <c r="H151" s="40">
        <v>9.9781365415765322E-3</v>
      </c>
      <c r="I151" s="40">
        <v>0</v>
      </c>
      <c r="J151" s="40">
        <v>9.9781365415765322E-3</v>
      </c>
    </row>
    <row r="152" spans="1:10" ht="11.25" customHeight="1" x14ac:dyDescent="0.2">
      <c r="A152" s="49">
        <v>44470</v>
      </c>
      <c r="B152" s="39">
        <v>86421.542400000006</v>
      </c>
      <c r="C152" s="39">
        <v>87283.86835020085</v>
      </c>
      <c r="D152" s="39">
        <v>0</v>
      </c>
      <c r="E152" s="39">
        <v>0</v>
      </c>
      <c r="F152" s="39">
        <v>0</v>
      </c>
      <c r="G152" s="39">
        <v>0</v>
      </c>
      <c r="H152" s="40">
        <v>9.9781365415765322E-3</v>
      </c>
      <c r="I152" s="40">
        <v>0</v>
      </c>
      <c r="J152" s="40">
        <v>9.9781365415765322E-3</v>
      </c>
    </row>
    <row r="153" spans="1:10" ht="11.25" customHeight="1" x14ac:dyDescent="0.2">
      <c r="A153" s="49">
        <v>44501</v>
      </c>
      <c r="B153" s="39">
        <v>169485.6384</v>
      </c>
      <c r="C153" s="39">
        <v>171176.78924179147</v>
      </c>
      <c r="D153" s="39">
        <v>0</v>
      </c>
      <c r="E153" s="39">
        <v>0</v>
      </c>
      <c r="F153" s="39">
        <v>0</v>
      </c>
      <c r="G153" s="39">
        <v>0</v>
      </c>
      <c r="H153" s="40">
        <v>9.9781365415765322E-3</v>
      </c>
      <c r="I153" s="40">
        <v>0</v>
      </c>
      <c r="J153" s="40">
        <v>9.9781365415765322E-3</v>
      </c>
    </row>
    <row r="154" spans="1:10" ht="11.25" customHeight="1" x14ac:dyDescent="0.2">
      <c r="A154" s="49">
        <v>44531</v>
      </c>
      <c r="B154" s="39">
        <v>196214.39999999999</v>
      </c>
      <c r="C154" s="39">
        <v>198172.25407462352</v>
      </c>
      <c r="D154" s="39">
        <v>0</v>
      </c>
      <c r="E154" s="39">
        <v>0</v>
      </c>
      <c r="F154" s="39">
        <v>0</v>
      </c>
      <c r="G154" s="39">
        <v>0</v>
      </c>
      <c r="H154" s="40">
        <v>9.9781365415765322E-3</v>
      </c>
      <c r="I154" s="40">
        <v>0</v>
      </c>
      <c r="J154" s="40">
        <v>9.9781365415765322E-3</v>
      </c>
    </row>
    <row r="155" spans="1:10" ht="11.25" customHeight="1" x14ac:dyDescent="0.2">
      <c r="A155" s="49">
        <v>44562</v>
      </c>
      <c r="B155" s="39">
        <v>210647.05920000002</v>
      </c>
      <c r="C155" s="39">
        <v>212748.92431877917</v>
      </c>
      <c r="D155" s="39">
        <v>0</v>
      </c>
      <c r="E155" s="39">
        <v>0</v>
      </c>
      <c r="F155" s="39">
        <v>0</v>
      </c>
      <c r="G155" s="39">
        <v>0</v>
      </c>
      <c r="H155" s="40">
        <v>9.9781365415765322E-3</v>
      </c>
      <c r="I155" s="40">
        <v>0</v>
      </c>
      <c r="J155" s="40">
        <v>9.9781365415765322E-3</v>
      </c>
    </row>
    <row r="156" spans="1:10" ht="11.25" customHeight="1" x14ac:dyDescent="0.2">
      <c r="A156" s="49">
        <v>44593</v>
      </c>
      <c r="B156" s="39">
        <v>242957.03040000002</v>
      </c>
      <c r="C156" s="39">
        <v>245381.28882306715</v>
      </c>
      <c r="D156" s="39">
        <v>0</v>
      </c>
      <c r="E156" s="39">
        <v>0</v>
      </c>
      <c r="F156" s="39">
        <v>0</v>
      </c>
      <c r="G156" s="39">
        <v>0</v>
      </c>
      <c r="H156" s="40">
        <v>9.9781365415765322E-3</v>
      </c>
      <c r="I156" s="40">
        <v>0</v>
      </c>
      <c r="J156" s="40">
        <v>9.9781365415765322E-3</v>
      </c>
    </row>
    <row r="157" spans="1:10" ht="11.25" customHeight="1" x14ac:dyDescent="0.2">
      <c r="A157" s="49">
        <v>44621</v>
      </c>
      <c r="B157" s="39">
        <v>165081.71519999998</v>
      </c>
      <c r="C157" s="39">
        <v>166728.92309478327</v>
      </c>
      <c r="D157" s="39">
        <v>0</v>
      </c>
      <c r="E157" s="39">
        <v>0</v>
      </c>
      <c r="F157" s="39">
        <v>0</v>
      </c>
      <c r="G157" s="39">
        <v>0</v>
      </c>
      <c r="H157" s="40">
        <v>9.9781365415767542E-3</v>
      </c>
      <c r="I157" s="40">
        <v>0</v>
      </c>
      <c r="J157" s="40">
        <v>9.9781365415767542E-3</v>
      </c>
    </row>
    <row r="158" spans="1:10" ht="11.25" customHeight="1" x14ac:dyDescent="0.2">
      <c r="A158" s="49">
        <v>44652</v>
      </c>
      <c r="B158" s="39">
        <v>219367.69919999997</v>
      </c>
      <c r="C158" s="39">
        <v>221556.58005542911</v>
      </c>
      <c r="D158" s="39">
        <v>0</v>
      </c>
      <c r="E158" s="39">
        <v>0</v>
      </c>
      <c r="F158" s="39">
        <v>0</v>
      </c>
      <c r="G158" s="39">
        <v>0</v>
      </c>
      <c r="H158" s="40">
        <v>9.9781365415767542E-3</v>
      </c>
      <c r="I158" s="40">
        <v>0</v>
      </c>
      <c r="J158" s="40">
        <v>9.9781365415767542E-3</v>
      </c>
    </row>
    <row r="159" spans="1:10" ht="11.25" customHeight="1" x14ac:dyDescent="0.2">
      <c r="A159" s="49">
        <v>44682</v>
      </c>
      <c r="B159" s="39">
        <v>-135169.92000000001</v>
      </c>
      <c r="C159" s="39">
        <v>-136518.66391807399</v>
      </c>
      <c r="D159" s="39">
        <v>0</v>
      </c>
      <c r="E159" s="39">
        <v>0</v>
      </c>
      <c r="F159" s="39">
        <v>0</v>
      </c>
      <c r="G159" s="39">
        <v>0</v>
      </c>
      <c r="H159" s="40">
        <v>9.9781365415765322E-3</v>
      </c>
      <c r="I159" s="40">
        <v>0</v>
      </c>
      <c r="J159" s="40">
        <v>9.9781365415765322E-3</v>
      </c>
    </row>
    <row r="160" spans="1:10" ht="11.25" customHeight="1" x14ac:dyDescent="0.2">
      <c r="A160" s="49">
        <v>44713</v>
      </c>
      <c r="B160" s="39">
        <v>35798.227200000001</v>
      </c>
      <c r="C160" s="39">
        <v>36155.426798947978</v>
      </c>
      <c r="D160" s="39">
        <v>0</v>
      </c>
      <c r="E160" s="39">
        <v>0</v>
      </c>
      <c r="F160" s="39">
        <v>0</v>
      </c>
      <c r="G160" s="39">
        <v>0</v>
      </c>
      <c r="H160" s="40">
        <v>9.9781365415765322E-3</v>
      </c>
      <c r="I160" s="40">
        <v>0</v>
      </c>
      <c r="J160" s="40">
        <v>9.9781365415765322E-3</v>
      </c>
    </row>
    <row r="161" spans="1:10" ht="11.25" customHeight="1" x14ac:dyDescent="0.2">
      <c r="A161" s="48" t="s">
        <v>37</v>
      </c>
      <c r="B161" s="39">
        <v>0</v>
      </c>
      <c r="C161" s="39">
        <v>0</v>
      </c>
      <c r="D161" s="39">
        <v>404851.33516799996</v>
      </c>
      <c r="E161" s="39">
        <v>415895.09744371497</v>
      </c>
      <c r="F161" s="39">
        <v>69695.044608000011</v>
      </c>
      <c r="G161" s="39">
        <v>69396.341251867576</v>
      </c>
      <c r="H161" s="40">
        <v>2.7278562070524703E-2</v>
      </c>
      <c r="I161" s="40">
        <v>-4.2858621844995559E-3</v>
      </c>
      <c r="J161" s="40">
        <v>2.2642800319443213E-2</v>
      </c>
    </row>
    <row r="162" spans="1:10" ht="11.25" customHeight="1" x14ac:dyDescent="0.2">
      <c r="A162" s="49">
        <v>44378</v>
      </c>
      <c r="B162" s="39">
        <v>0</v>
      </c>
      <c r="C162" s="39">
        <v>0</v>
      </c>
      <c r="D162" s="39">
        <v>5845.4771711999992</v>
      </c>
      <c r="E162" s="39">
        <v>6004.933383046412</v>
      </c>
      <c r="F162" s="39">
        <v>1006.2972671999999</v>
      </c>
      <c r="G162" s="39">
        <v>1001.9844157961423</v>
      </c>
      <c r="H162" s="40">
        <v>2.7278562070524481E-2</v>
      </c>
      <c r="I162" s="40">
        <v>-4.2858621844993339E-3</v>
      </c>
      <c r="J162" s="40">
        <v>2.2642800319443213E-2</v>
      </c>
    </row>
    <row r="163" spans="1:10" ht="11.25" customHeight="1" x14ac:dyDescent="0.2">
      <c r="A163" s="49">
        <v>44409</v>
      </c>
      <c r="B163" s="39">
        <v>0</v>
      </c>
      <c r="C163" s="39">
        <v>0</v>
      </c>
      <c r="D163" s="39">
        <v>10465.879603199999</v>
      </c>
      <c r="E163" s="39">
        <v>10751.373749578526</v>
      </c>
      <c r="F163" s="39">
        <v>1801.6982591999999</v>
      </c>
      <c r="G163" s="39">
        <v>1793.9764287630164</v>
      </c>
      <c r="H163" s="40">
        <v>2.7278562070524481E-2</v>
      </c>
      <c r="I163" s="40">
        <v>-4.2858621844993339E-3</v>
      </c>
      <c r="J163" s="40">
        <v>2.2642800319442991E-2</v>
      </c>
    </row>
    <row r="164" spans="1:10" ht="11.25" customHeight="1" x14ac:dyDescent="0.2">
      <c r="A164" s="49">
        <v>44440</v>
      </c>
      <c r="B164" s="39">
        <v>0</v>
      </c>
      <c r="C164" s="39">
        <v>0</v>
      </c>
      <c r="D164" s="39">
        <v>7343.4158591999994</v>
      </c>
      <c r="E164" s="39">
        <v>7543.7336845248601</v>
      </c>
      <c r="F164" s="39">
        <v>1264.1669952</v>
      </c>
      <c r="G164" s="39">
        <v>1258.7489496803801</v>
      </c>
      <c r="H164" s="40">
        <v>2.7278562070524481E-2</v>
      </c>
      <c r="I164" s="40">
        <v>-4.2858621844994449E-3</v>
      </c>
      <c r="J164" s="40">
        <v>2.2642800319442991E-2</v>
      </c>
    </row>
    <row r="165" spans="1:10" ht="11.25" customHeight="1" x14ac:dyDescent="0.2">
      <c r="A165" s="49">
        <v>44470</v>
      </c>
      <c r="B165" s="39">
        <v>0</v>
      </c>
      <c r="C165" s="39">
        <v>0</v>
      </c>
      <c r="D165" s="39">
        <v>7059.2997888</v>
      </c>
      <c r="E165" s="39">
        <v>7251.8673362632207</v>
      </c>
      <c r="F165" s="39">
        <v>1215.2564928000002</v>
      </c>
      <c r="G165" s="39">
        <v>1210.0480709530414</v>
      </c>
      <c r="H165" s="40">
        <v>2.7278562070524481E-2</v>
      </c>
      <c r="I165" s="40">
        <v>-4.2858621844993339E-3</v>
      </c>
      <c r="J165" s="40">
        <v>2.2642800319442991E-2</v>
      </c>
    </row>
    <row r="166" spans="1:10" ht="11.25" customHeight="1" x14ac:dyDescent="0.2">
      <c r="A166" s="49">
        <v>44501</v>
      </c>
      <c r="B166" s="39">
        <v>0</v>
      </c>
      <c r="C166" s="39">
        <v>0</v>
      </c>
      <c r="D166" s="39">
        <v>48064.8439296</v>
      </c>
      <c r="E166" s="39">
        <v>49375.983758143666</v>
      </c>
      <c r="F166" s="39">
        <v>8274.3494976000002</v>
      </c>
      <c r="G166" s="39">
        <v>8238.8867759869063</v>
      </c>
      <c r="H166" s="40">
        <v>2.7278562070524481E-2</v>
      </c>
      <c r="I166" s="40">
        <v>-4.2858621844992228E-3</v>
      </c>
      <c r="J166" s="40">
        <v>2.2642800319443213E-2</v>
      </c>
    </row>
    <row r="167" spans="1:10" ht="11.25" customHeight="1" x14ac:dyDescent="0.2">
      <c r="A167" s="49">
        <v>44531</v>
      </c>
      <c r="B167" s="39">
        <v>0</v>
      </c>
      <c r="C167" s="39">
        <v>0</v>
      </c>
      <c r="D167" s="39">
        <v>82224.878591999994</v>
      </c>
      <c r="E167" s="39">
        <v>84467.855046413199</v>
      </c>
      <c r="F167" s="39">
        <v>14154.989952</v>
      </c>
      <c r="G167" s="39">
        <v>14094.323615842755</v>
      </c>
      <c r="H167" s="40">
        <v>2.7278562070524481E-2</v>
      </c>
      <c r="I167" s="40">
        <v>-4.2858621844993339E-3</v>
      </c>
      <c r="J167" s="40">
        <v>2.2642800319442991E-2</v>
      </c>
    </row>
    <row r="168" spans="1:10" ht="11.25" customHeight="1" x14ac:dyDescent="0.2">
      <c r="A168" s="49">
        <v>44562</v>
      </c>
      <c r="B168" s="39">
        <v>0</v>
      </c>
      <c r="C168" s="39">
        <v>0</v>
      </c>
      <c r="D168" s="39">
        <v>110574.5989632</v>
      </c>
      <c r="E168" s="39">
        <v>113590.915024441</v>
      </c>
      <c r="F168" s="39">
        <v>19035.3864192</v>
      </c>
      <c r="G168" s="39">
        <v>18953.803376378619</v>
      </c>
      <c r="H168" s="40">
        <v>2.7278562070524481E-2</v>
      </c>
      <c r="I168" s="40">
        <v>-4.2858621844993339E-3</v>
      </c>
      <c r="J168" s="40">
        <v>2.2642800319442991E-2</v>
      </c>
    </row>
    <row r="169" spans="1:10" ht="11.25" customHeight="1" x14ac:dyDescent="0.2">
      <c r="A169" s="49">
        <v>44593</v>
      </c>
      <c r="B169" s="39">
        <v>0</v>
      </c>
      <c r="C169" s="39">
        <v>0</v>
      </c>
      <c r="D169" s="39">
        <v>81005.429913600005</v>
      </c>
      <c r="E169" s="39">
        <v>83215.141561547658</v>
      </c>
      <c r="F169" s="39">
        <v>13945.0622016</v>
      </c>
      <c r="G169" s="39">
        <v>13885.295586849672</v>
      </c>
      <c r="H169" s="40">
        <v>2.7278562070524481E-2</v>
      </c>
      <c r="I169" s="40">
        <v>-4.2858621844993339E-3</v>
      </c>
      <c r="J169" s="40">
        <v>2.2642800319442991E-2</v>
      </c>
    </row>
    <row r="170" spans="1:10" ht="11.25" customHeight="1" x14ac:dyDescent="0.2">
      <c r="A170" s="49">
        <v>44621</v>
      </c>
      <c r="B170" s="39">
        <v>0</v>
      </c>
      <c r="C170" s="39">
        <v>0</v>
      </c>
      <c r="D170" s="39">
        <v>32060.107468799997</v>
      </c>
      <c r="E170" s="39">
        <v>32934.661100375342</v>
      </c>
      <c r="F170" s="39">
        <v>5519.1385727999996</v>
      </c>
      <c r="G170" s="39">
        <v>5495.4843054998246</v>
      </c>
      <c r="H170" s="40">
        <v>2.7278562070524481E-2</v>
      </c>
      <c r="I170" s="40">
        <v>-4.2858621844993339E-3</v>
      </c>
      <c r="J170" s="40">
        <v>2.2642800319443213E-2</v>
      </c>
    </row>
    <row r="171" spans="1:10" ht="11.25" customHeight="1" x14ac:dyDescent="0.2">
      <c r="A171" s="49">
        <v>44652</v>
      </c>
      <c r="B171" s="39">
        <v>0</v>
      </c>
      <c r="C171" s="39">
        <v>0</v>
      </c>
      <c r="D171" s="39">
        <v>8119.8122495999996</v>
      </c>
      <c r="E171" s="39">
        <v>8341.309052051718</v>
      </c>
      <c r="F171" s="39">
        <v>1397.8234176000001</v>
      </c>
      <c r="G171" s="39">
        <v>1391.8325390739005</v>
      </c>
      <c r="H171" s="40">
        <v>2.7278562070524481E-2</v>
      </c>
      <c r="I171" s="40">
        <v>-4.2858621844994449E-3</v>
      </c>
      <c r="J171" s="40">
        <v>2.2642800319442991E-2</v>
      </c>
    </row>
    <row r="172" spans="1:10" ht="11.25" customHeight="1" x14ac:dyDescent="0.2">
      <c r="A172" s="49">
        <v>44682</v>
      </c>
      <c r="B172" s="39">
        <v>0</v>
      </c>
      <c r="C172" s="39">
        <v>0</v>
      </c>
      <c r="D172" s="39">
        <v>7671.1339007999986</v>
      </c>
      <c r="E172" s="39">
        <v>7880.3914030642763</v>
      </c>
      <c r="F172" s="39">
        <v>1320.5835648</v>
      </c>
      <c r="G172" s="39">
        <v>1314.9237256381523</v>
      </c>
      <c r="H172" s="40">
        <v>2.7278562070524481E-2</v>
      </c>
      <c r="I172" s="40">
        <v>-4.2858621844993339E-3</v>
      </c>
      <c r="J172" s="40">
        <v>2.2642800319442991E-2</v>
      </c>
    </row>
    <row r="173" spans="1:10" ht="11.25" customHeight="1" x14ac:dyDescent="0.2">
      <c r="A173" s="49">
        <v>44713</v>
      </c>
      <c r="B173" s="39">
        <v>0</v>
      </c>
      <c r="C173" s="39">
        <v>0</v>
      </c>
      <c r="D173" s="39">
        <v>4416.4577280000003</v>
      </c>
      <c r="E173" s="39">
        <v>4536.9323442650957</v>
      </c>
      <c r="F173" s="39">
        <v>760.291968</v>
      </c>
      <c r="G173" s="39">
        <v>757.03346140517033</v>
      </c>
      <c r="H173" s="40">
        <v>2.7278562070524481E-2</v>
      </c>
      <c r="I173" s="40">
        <v>-4.2858621844992228E-3</v>
      </c>
      <c r="J173" s="40">
        <v>2.2642800319442991E-2</v>
      </c>
    </row>
    <row r="174" spans="1:10" ht="11.25" customHeight="1" x14ac:dyDescent="0.2">
      <c r="A174" s="45" t="s">
        <v>25</v>
      </c>
      <c r="B174" s="39">
        <v>372458.5344</v>
      </c>
      <c r="C174" s="39">
        <v>376174.97651231871</v>
      </c>
      <c r="D174" s="39">
        <v>100131.07783679999</v>
      </c>
      <c r="E174" s="39">
        <v>106804.0820086201</v>
      </c>
      <c r="F174" s="39">
        <v>131407.99207679997</v>
      </c>
      <c r="G174" s="39">
        <v>130844.79553281705</v>
      </c>
      <c r="H174" s="40">
        <v>2.1984076702331379E-2</v>
      </c>
      <c r="I174" s="40">
        <v>-4.2858621844992228E-3</v>
      </c>
      <c r="J174" s="40">
        <v>1.6268689925223567E-2</v>
      </c>
    </row>
    <row r="175" spans="1:10" ht="11.25" customHeight="1" x14ac:dyDescent="0.2">
      <c r="A175" s="46" t="s">
        <v>25</v>
      </c>
      <c r="B175" s="39">
        <v>372458.5344</v>
      </c>
      <c r="C175" s="39">
        <v>376174.97651231871</v>
      </c>
      <c r="D175" s="39">
        <v>100131.07783679999</v>
      </c>
      <c r="E175" s="39">
        <v>106804.0820086201</v>
      </c>
      <c r="F175" s="39">
        <v>131407.99207679997</v>
      </c>
      <c r="G175" s="39">
        <v>130844.79553281705</v>
      </c>
      <c r="H175" s="40">
        <v>2.1984076702331379E-2</v>
      </c>
      <c r="I175" s="40">
        <v>-4.2858621844992228E-3</v>
      </c>
      <c r="J175" s="40">
        <v>1.6268689925223567E-2</v>
      </c>
    </row>
    <row r="176" spans="1:10" ht="11.25" customHeight="1" x14ac:dyDescent="0.2">
      <c r="A176" s="47" t="s">
        <v>25</v>
      </c>
      <c r="B176" s="39">
        <v>372458.5344</v>
      </c>
      <c r="C176" s="39">
        <v>376174.97651231871</v>
      </c>
      <c r="D176" s="39">
        <v>100131.07783679999</v>
      </c>
      <c r="E176" s="39">
        <v>106804.0820086201</v>
      </c>
      <c r="F176" s="39">
        <v>131407.99207679997</v>
      </c>
      <c r="G176" s="39">
        <v>130844.79553281705</v>
      </c>
      <c r="H176" s="40">
        <v>2.1984076702331379E-2</v>
      </c>
      <c r="I176" s="40">
        <v>-4.2858621844992228E-3</v>
      </c>
      <c r="J176" s="40">
        <v>1.6268689925223567E-2</v>
      </c>
    </row>
    <row r="177" spans="1:10" ht="11.25" customHeight="1" x14ac:dyDescent="0.2">
      <c r="A177" s="48" t="s">
        <v>38</v>
      </c>
      <c r="B177" s="39">
        <v>0</v>
      </c>
      <c r="C177" s="39">
        <v>0</v>
      </c>
      <c r="D177" s="39">
        <v>37960.292966399997</v>
      </c>
      <c r="E177" s="39">
        <v>42937.367524159657</v>
      </c>
      <c r="F177" s="39">
        <v>120705.30877439998</v>
      </c>
      <c r="G177" s="39">
        <v>120187.98245605548</v>
      </c>
      <c r="H177" s="40">
        <v>0.13111264873969897</v>
      </c>
      <c r="I177" s="40">
        <v>-4.2858621844992228E-3</v>
      </c>
      <c r="J177" s="40">
        <v>2.8107845623027261E-2</v>
      </c>
    </row>
    <row r="178" spans="1:10" ht="11.25" customHeight="1" x14ac:dyDescent="0.2">
      <c r="A178" s="49">
        <v>44378</v>
      </c>
      <c r="B178" s="39">
        <v>0</v>
      </c>
      <c r="C178" s="39">
        <v>0</v>
      </c>
      <c r="D178" s="39">
        <v>-1684.1476224</v>
      </c>
      <c r="E178" s="39">
        <v>-1904.9606780415306</v>
      </c>
      <c r="F178" s="39">
        <v>-5355.2157504000006</v>
      </c>
      <c r="G178" s="39">
        <v>-5332.264033725527</v>
      </c>
      <c r="H178" s="40">
        <v>0.13111264873969919</v>
      </c>
      <c r="I178" s="40">
        <v>-4.2858621844991118E-3</v>
      </c>
      <c r="J178" s="40">
        <v>2.8107845623027483E-2</v>
      </c>
    </row>
    <row r="179" spans="1:10" ht="11.25" customHeight="1" x14ac:dyDescent="0.2">
      <c r="A179" s="49">
        <v>44409</v>
      </c>
      <c r="B179" s="39">
        <v>0</v>
      </c>
      <c r="C179" s="39">
        <v>0</v>
      </c>
      <c r="D179" s="39">
        <v>2176.5154175999996</v>
      </c>
      <c r="E179" s="39">
        <v>2461.8841190243274</v>
      </c>
      <c r="F179" s="39">
        <v>6920.8360895999995</v>
      </c>
      <c r="G179" s="39">
        <v>6891.1743399184652</v>
      </c>
      <c r="H179" s="40">
        <v>0.13111264873969897</v>
      </c>
      <c r="I179" s="40">
        <v>-4.2858621844992228E-3</v>
      </c>
      <c r="J179" s="40">
        <v>2.8107845623027483E-2</v>
      </c>
    </row>
    <row r="180" spans="1:10" ht="11.25" customHeight="1" x14ac:dyDescent="0.2">
      <c r="A180" s="49">
        <v>44440</v>
      </c>
      <c r="B180" s="39">
        <v>0</v>
      </c>
      <c r="C180" s="39">
        <v>0</v>
      </c>
      <c r="D180" s="39">
        <v>1967.7959423999996</v>
      </c>
      <c r="E180" s="39">
        <v>2225.7988805872956</v>
      </c>
      <c r="F180" s="39">
        <v>6257.1544703999998</v>
      </c>
      <c r="G180" s="39">
        <v>6230.3371686727414</v>
      </c>
      <c r="H180" s="40">
        <v>0.13111264873969897</v>
      </c>
      <c r="I180" s="40">
        <v>-4.2858621844993339E-3</v>
      </c>
      <c r="J180" s="40">
        <v>2.8107845623027261E-2</v>
      </c>
    </row>
    <row r="181" spans="1:10" ht="11.25" customHeight="1" x14ac:dyDescent="0.2">
      <c r="A181" s="49">
        <v>44470</v>
      </c>
      <c r="B181" s="39">
        <v>0</v>
      </c>
      <c r="C181" s="39">
        <v>0</v>
      </c>
      <c r="D181" s="39">
        <v>2153.2905215999999</v>
      </c>
      <c r="E181" s="39">
        <v>2435.6141453930636</v>
      </c>
      <c r="F181" s="39">
        <v>6846.9860736000001</v>
      </c>
      <c r="G181" s="39">
        <v>6817.6408349093645</v>
      </c>
      <c r="H181" s="40">
        <v>0.13111264873969875</v>
      </c>
      <c r="I181" s="40">
        <v>-4.2858621844993339E-3</v>
      </c>
      <c r="J181" s="40">
        <v>2.8107845623027261E-2</v>
      </c>
    </row>
    <row r="182" spans="1:10" ht="11.25" customHeight="1" x14ac:dyDescent="0.2">
      <c r="A182" s="49">
        <v>44501</v>
      </c>
      <c r="B182" s="39">
        <v>0</v>
      </c>
      <c r="C182" s="39">
        <v>0</v>
      </c>
      <c r="D182" s="39">
        <v>2580.7047551999995</v>
      </c>
      <c r="E182" s="39">
        <v>2919.0677912694077</v>
      </c>
      <c r="F182" s="39">
        <v>8206.0684991999988</v>
      </c>
      <c r="G182" s="39">
        <v>8170.8984205358665</v>
      </c>
      <c r="H182" s="40">
        <v>0.13111264873969897</v>
      </c>
      <c r="I182" s="40">
        <v>-4.2858621844993339E-3</v>
      </c>
      <c r="J182" s="40">
        <v>2.8107845623027261E-2</v>
      </c>
    </row>
    <row r="183" spans="1:10" ht="11.25" customHeight="1" x14ac:dyDescent="0.2">
      <c r="A183" s="49">
        <v>44531</v>
      </c>
      <c r="B183" s="39">
        <v>0</v>
      </c>
      <c r="C183" s="39">
        <v>0</v>
      </c>
      <c r="D183" s="39">
        <v>2432.0654207999996</v>
      </c>
      <c r="E183" s="39">
        <v>2750.9399600293182</v>
      </c>
      <c r="F183" s="39">
        <v>7733.4283968</v>
      </c>
      <c r="G183" s="39">
        <v>7700.2839884776213</v>
      </c>
      <c r="H183" s="40">
        <v>0.13111264873969897</v>
      </c>
      <c r="I183" s="40">
        <v>-4.2858621844993339E-3</v>
      </c>
      <c r="J183" s="40">
        <v>2.8107845623027483E-2</v>
      </c>
    </row>
    <row r="184" spans="1:10" ht="11.25" customHeight="1" x14ac:dyDescent="0.2">
      <c r="A184" s="49">
        <v>44562</v>
      </c>
      <c r="B184" s="39">
        <v>0</v>
      </c>
      <c r="C184" s="39">
        <v>0</v>
      </c>
      <c r="D184" s="39">
        <v>2913.0872832</v>
      </c>
      <c r="E184" s="39">
        <v>3295.0298729102851</v>
      </c>
      <c r="F184" s="39">
        <v>9262.9711872000007</v>
      </c>
      <c r="G184" s="39">
        <v>9223.2713692726738</v>
      </c>
      <c r="H184" s="40">
        <v>0.13111264873969875</v>
      </c>
      <c r="I184" s="40">
        <v>-4.2858621844993339E-3</v>
      </c>
      <c r="J184" s="40">
        <v>2.8107845623027261E-2</v>
      </c>
    </row>
    <row r="185" spans="1:10" ht="11.25" customHeight="1" x14ac:dyDescent="0.2">
      <c r="A185" s="49">
        <v>44593</v>
      </c>
      <c r="B185" s="39">
        <v>0</v>
      </c>
      <c r="C185" s="39">
        <v>0</v>
      </c>
      <c r="D185" s="39">
        <v>2458.0316159999998</v>
      </c>
      <c r="E185" s="39">
        <v>2780.3106518596824</v>
      </c>
      <c r="F185" s="39">
        <v>7815.9951360000005</v>
      </c>
      <c r="G185" s="39">
        <v>7782.4968580123868</v>
      </c>
      <c r="H185" s="40">
        <v>0.13111264873969897</v>
      </c>
      <c r="I185" s="40">
        <v>-4.2858621844994449E-3</v>
      </c>
      <c r="J185" s="40">
        <v>2.8107845623027483E-2</v>
      </c>
    </row>
    <row r="186" spans="1:10" ht="11.25" customHeight="1" x14ac:dyDescent="0.2">
      <c r="A186" s="49">
        <v>44621</v>
      </c>
      <c r="B186" s="39">
        <v>0</v>
      </c>
      <c r="C186" s="39">
        <v>0</v>
      </c>
      <c r="D186" s="39">
        <v>6121.854143999999</v>
      </c>
      <c r="E186" s="39">
        <v>6924.5066560179412</v>
      </c>
      <c r="F186" s="39">
        <v>19466.137823999998</v>
      </c>
      <c r="G186" s="39">
        <v>19382.708640021865</v>
      </c>
      <c r="H186" s="40">
        <v>0.13111264873969897</v>
      </c>
      <c r="I186" s="40">
        <v>-4.2858621844992228E-3</v>
      </c>
      <c r="J186" s="40">
        <v>2.8107845623027483E-2</v>
      </c>
    </row>
    <row r="187" spans="1:10" ht="11.25" customHeight="1" x14ac:dyDescent="0.2">
      <c r="A187" s="49">
        <v>44652</v>
      </c>
      <c r="B187" s="39">
        <v>0</v>
      </c>
      <c r="C187" s="39">
        <v>0</v>
      </c>
      <c r="D187" s="39">
        <v>5471.5570559999996</v>
      </c>
      <c r="E187" s="39">
        <v>6188.9473943425492</v>
      </c>
      <c r="F187" s="39">
        <v>17398.337375999999</v>
      </c>
      <c r="G187" s="39">
        <v>17323.770499767041</v>
      </c>
      <c r="H187" s="40">
        <v>0.13111264873969897</v>
      </c>
      <c r="I187" s="40">
        <v>-4.2858621844992228E-3</v>
      </c>
      <c r="J187" s="40">
        <v>2.8107845623027483E-2</v>
      </c>
    </row>
    <row r="188" spans="1:10" ht="11.25" customHeight="1" x14ac:dyDescent="0.2">
      <c r="A188" s="49">
        <v>44682</v>
      </c>
      <c r="B188" s="39">
        <v>0</v>
      </c>
      <c r="C188" s="39">
        <v>0</v>
      </c>
      <c r="D188" s="39">
        <v>4810.1424767999988</v>
      </c>
      <c r="E188" s="39">
        <v>5440.8129977485833</v>
      </c>
      <c r="F188" s="39">
        <v>15295.1857728</v>
      </c>
      <c r="G188" s="39">
        <v>15229.632714491463</v>
      </c>
      <c r="H188" s="40">
        <v>0.13111264873969919</v>
      </c>
      <c r="I188" s="40">
        <v>-4.2858621844993339E-3</v>
      </c>
      <c r="J188" s="40">
        <v>2.8107845623027261E-2</v>
      </c>
    </row>
    <row r="189" spans="1:10" ht="11.25" customHeight="1" x14ac:dyDescent="0.2">
      <c r="A189" s="49">
        <v>44713</v>
      </c>
      <c r="B189" s="39">
        <v>0</v>
      </c>
      <c r="C189" s="39">
        <v>0</v>
      </c>
      <c r="D189" s="39">
        <v>6559.3959551999997</v>
      </c>
      <c r="E189" s="39">
        <v>7419.415733018739</v>
      </c>
      <c r="F189" s="39">
        <v>20857.423699200001</v>
      </c>
      <c r="G189" s="39">
        <v>20768.031655701518</v>
      </c>
      <c r="H189" s="40">
        <v>0.13111264873969897</v>
      </c>
      <c r="I189" s="40">
        <v>-4.2858621844994449E-3</v>
      </c>
      <c r="J189" s="40">
        <v>2.8107845623027261E-2</v>
      </c>
    </row>
    <row r="190" spans="1:10" ht="11.25" customHeight="1" x14ac:dyDescent="0.2">
      <c r="A190" s="48" t="s">
        <v>25</v>
      </c>
      <c r="B190" s="39">
        <v>372458.5344</v>
      </c>
      <c r="C190" s="39">
        <v>376174.97651231871</v>
      </c>
      <c r="D190" s="39">
        <v>0</v>
      </c>
      <c r="E190" s="39">
        <v>0</v>
      </c>
      <c r="F190" s="39">
        <v>0</v>
      </c>
      <c r="G190" s="39">
        <v>0</v>
      </c>
      <c r="H190" s="40">
        <v>9.9781365415767542E-3</v>
      </c>
      <c r="I190" s="40">
        <v>0</v>
      </c>
      <c r="J190" s="40">
        <v>9.9781365415767542E-3</v>
      </c>
    </row>
    <row r="191" spans="1:10" ht="11.25" customHeight="1" x14ac:dyDescent="0.2">
      <c r="A191" s="49">
        <v>44378</v>
      </c>
      <c r="B191" s="39">
        <v>22368.441599999998</v>
      </c>
      <c r="C191" s="39">
        <v>22591.636964507081</v>
      </c>
      <c r="D191" s="39">
        <v>0</v>
      </c>
      <c r="E191" s="39">
        <v>0</v>
      </c>
      <c r="F191" s="39">
        <v>0</v>
      </c>
      <c r="G191" s="39">
        <v>0</v>
      </c>
      <c r="H191" s="40">
        <v>9.9781365415765322E-3</v>
      </c>
      <c r="I191" s="40">
        <v>0</v>
      </c>
      <c r="J191" s="40">
        <v>9.9781365415765322E-3</v>
      </c>
    </row>
    <row r="192" spans="1:10" ht="11.25" customHeight="1" x14ac:dyDescent="0.2">
      <c r="A192" s="49">
        <v>44409</v>
      </c>
      <c r="B192" s="39">
        <v>24330.585599999999</v>
      </c>
      <c r="C192" s="39">
        <v>24573.35950525332</v>
      </c>
      <c r="D192" s="39">
        <v>0</v>
      </c>
      <c r="E192" s="39">
        <v>0</v>
      </c>
      <c r="F192" s="39">
        <v>0</v>
      </c>
      <c r="G192" s="39">
        <v>0</v>
      </c>
      <c r="H192" s="40">
        <v>9.9781365415767542E-3</v>
      </c>
      <c r="I192" s="40">
        <v>0</v>
      </c>
      <c r="J192" s="40">
        <v>9.9781365415767542E-3</v>
      </c>
    </row>
    <row r="193" spans="1:10" ht="11.25" customHeight="1" x14ac:dyDescent="0.2">
      <c r="A193" s="49">
        <v>44440</v>
      </c>
      <c r="B193" s="39">
        <v>24156.1728</v>
      </c>
      <c r="C193" s="39">
        <v>24397.206390520318</v>
      </c>
      <c r="D193" s="39">
        <v>0</v>
      </c>
      <c r="E193" s="39">
        <v>0</v>
      </c>
      <c r="F193" s="39">
        <v>0</v>
      </c>
      <c r="G193" s="39">
        <v>0</v>
      </c>
      <c r="H193" s="40">
        <v>9.9781365415765322E-3</v>
      </c>
      <c r="I193" s="40">
        <v>0</v>
      </c>
      <c r="J193" s="40">
        <v>9.9781365415765322E-3</v>
      </c>
    </row>
    <row r="194" spans="1:10" ht="11.25" customHeight="1" x14ac:dyDescent="0.2">
      <c r="A194" s="49">
        <v>44470</v>
      </c>
      <c r="B194" s="39">
        <v>29083.3344</v>
      </c>
      <c r="C194" s="39">
        <v>29373.531881727533</v>
      </c>
      <c r="D194" s="39">
        <v>0</v>
      </c>
      <c r="E194" s="39">
        <v>0</v>
      </c>
      <c r="F194" s="39">
        <v>0</v>
      </c>
      <c r="G194" s="39">
        <v>0</v>
      </c>
      <c r="H194" s="40">
        <v>9.9781365415767542E-3</v>
      </c>
      <c r="I194" s="40">
        <v>0</v>
      </c>
      <c r="J194" s="40">
        <v>9.9781365415767542E-3</v>
      </c>
    </row>
    <row r="195" spans="1:10" ht="11.25" customHeight="1" x14ac:dyDescent="0.2">
      <c r="A195" s="49">
        <v>44501</v>
      </c>
      <c r="B195" s="39">
        <v>31743.1296</v>
      </c>
      <c r="C195" s="39">
        <v>32059.86688140576</v>
      </c>
      <c r="D195" s="39">
        <v>0</v>
      </c>
      <c r="E195" s="39">
        <v>0</v>
      </c>
      <c r="F195" s="39">
        <v>0</v>
      </c>
      <c r="G195" s="39">
        <v>0</v>
      </c>
      <c r="H195" s="40">
        <v>9.9781365415765322E-3</v>
      </c>
      <c r="I195" s="40">
        <v>0</v>
      </c>
      <c r="J195" s="40">
        <v>9.9781365415765322E-3</v>
      </c>
    </row>
    <row r="196" spans="1:10" ht="11.25" customHeight="1" x14ac:dyDescent="0.2">
      <c r="A196" s="49">
        <v>44531</v>
      </c>
      <c r="B196" s="39">
        <v>20449.900799999999</v>
      </c>
      <c r="C196" s="39">
        <v>20653.952702444094</v>
      </c>
      <c r="D196" s="39">
        <v>0</v>
      </c>
      <c r="E196" s="39">
        <v>0</v>
      </c>
      <c r="F196" s="39">
        <v>0</v>
      </c>
      <c r="G196" s="39">
        <v>0</v>
      </c>
      <c r="H196" s="40">
        <v>9.9781365415765322E-3</v>
      </c>
      <c r="I196" s="40">
        <v>0</v>
      </c>
      <c r="J196" s="40">
        <v>9.9781365415765322E-3</v>
      </c>
    </row>
    <row r="197" spans="1:10" ht="11.25" customHeight="1" x14ac:dyDescent="0.2">
      <c r="A197" s="49">
        <v>44562</v>
      </c>
      <c r="B197" s="39">
        <v>23502.124799999998</v>
      </c>
      <c r="C197" s="39">
        <v>23736.632210271571</v>
      </c>
      <c r="D197" s="39">
        <v>0</v>
      </c>
      <c r="E197" s="39">
        <v>0</v>
      </c>
      <c r="F197" s="39">
        <v>0</v>
      </c>
      <c r="G197" s="39">
        <v>0</v>
      </c>
      <c r="H197" s="40">
        <v>9.9781365415765322E-3</v>
      </c>
      <c r="I197" s="40">
        <v>0</v>
      </c>
      <c r="J197" s="40">
        <v>9.9781365415765322E-3</v>
      </c>
    </row>
    <row r="198" spans="1:10" ht="11.25" customHeight="1" x14ac:dyDescent="0.2">
      <c r="A198" s="49">
        <v>44593</v>
      </c>
      <c r="B198" s="39">
        <v>19141.804800000002</v>
      </c>
      <c r="C198" s="39">
        <v>19332.804341946608</v>
      </c>
      <c r="D198" s="39">
        <v>0</v>
      </c>
      <c r="E198" s="39">
        <v>0</v>
      </c>
      <c r="F198" s="39">
        <v>0</v>
      </c>
      <c r="G198" s="39">
        <v>0</v>
      </c>
      <c r="H198" s="40">
        <v>9.9781365415765322E-3</v>
      </c>
      <c r="I198" s="40">
        <v>0</v>
      </c>
      <c r="J198" s="40">
        <v>9.9781365415765322E-3</v>
      </c>
    </row>
    <row r="199" spans="1:10" ht="11.25" customHeight="1" x14ac:dyDescent="0.2">
      <c r="A199" s="49">
        <v>44621</v>
      </c>
      <c r="B199" s="39">
        <v>28734.508800000003</v>
      </c>
      <c r="C199" s="39">
        <v>29021.225652261532</v>
      </c>
      <c r="D199" s="39">
        <v>0</v>
      </c>
      <c r="E199" s="39">
        <v>0</v>
      </c>
      <c r="F199" s="39">
        <v>0</v>
      </c>
      <c r="G199" s="39">
        <v>0</v>
      </c>
      <c r="H199" s="40">
        <v>9.9781365415763101E-3</v>
      </c>
      <c r="I199" s="40">
        <v>0</v>
      </c>
      <c r="J199" s="40">
        <v>9.9781365415763101E-3</v>
      </c>
    </row>
    <row r="200" spans="1:10" ht="11.25" customHeight="1" x14ac:dyDescent="0.2">
      <c r="A200" s="49">
        <v>44652</v>
      </c>
      <c r="B200" s="39">
        <v>49315.2192</v>
      </c>
      <c r="C200" s="39">
        <v>49807.293190755379</v>
      </c>
      <c r="D200" s="39">
        <v>0</v>
      </c>
      <c r="E200" s="39">
        <v>0</v>
      </c>
      <c r="F200" s="39">
        <v>0</v>
      </c>
      <c r="G200" s="39">
        <v>0</v>
      </c>
      <c r="H200" s="40">
        <v>9.9781365415765322E-3</v>
      </c>
      <c r="I200" s="40">
        <v>0</v>
      </c>
      <c r="J200" s="40">
        <v>9.9781365415765322E-3</v>
      </c>
    </row>
    <row r="201" spans="1:10" ht="11.25" customHeight="1" x14ac:dyDescent="0.2">
      <c r="A201" s="49">
        <v>44682</v>
      </c>
      <c r="B201" s="39">
        <v>50056.473599999998</v>
      </c>
      <c r="C201" s="39">
        <v>50555.943928370623</v>
      </c>
      <c r="D201" s="39">
        <v>0</v>
      </c>
      <c r="E201" s="39">
        <v>0</v>
      </c>
      <c r="F201" s="39">
        <v>0</v>
      </c>
      <c r="G201" s="39">
        <v>0</v>
      </c>
      <c r="H201" s="40">
        <v>9.9781365415765322E-3</v>
      </c>
      <c r="I201" s="40">
        <v>0</v>
      </c>
      <c r="J201" s="40">
        <v>9.9781365415765322E-3</v>
      </c>
    </row>
    <row r="202" spans="1:10" ht="11.25" customHeight="1" x14ac:dyDescent="0.2">
      <c r="A202" s="49">
        <v>44713</v>
      </c>
      <c r="B202" s="39">
        <v>49576.838400000001</v>
      </c>
      <c r="C202" s="39">
        <v>50071.522862854879</v>
      </c>
      <c r="D202" s="39">
        <v>0</v>
      </c>
      <c r="E202" s="39">
        <v>0</v>
      </c>
      <c r="F202" s="39">
        <v>0</v>
      </c>
      <c r="G202" s="39">
        <v>0</v>
      </c>
      <c r="H202" s="40">
        <v>9.9781365415765322E-3</v>
      </c>
      <c r="I202" s="40">
        <v>0</v>
      </c>
      <c r="J202" s="40">
        <v>9.9781365415765322E-3</v>
      </c>
    </row>
    <row r="203" spans="1:10" ht="11.25" customHeight="1" x14ac:dyDescent="0.2">
      <c r="A203" s="48" t="s">
        <v>37</v>
      </c>
      <c r="B203" s="39">
        <v>0</v>
      </c>
      <c r="C203" s="39">
        <v>0</v>
      </c>
      <c r="D203" s="39">
        <v>62170.784870399992</v>
      </c>
      <c r="E203" s="39">
        <v>63866.714484460419</v>
      </c>
      <c r="F203" s="39">
        <v>10702.683302400001</v>
      </c>
      <c r="G203" s="39">
        <v>10656.813076761571</v>
      </c>
      <c r="H203" s="40">
        <v>2.7278562070524481E-2</v>
      </c>
      <c r="I203" s="40">
        <v>-4.2858621844994449E-3</v>
      </c>
      <c r="J203" s="40">
        <v>2.2642800319442991E-2</v>
      </c>
    </row>
    <row r="204" spans="1:10" ht="11.25" customHeight="1" x14ac:dyDescent="0.2">
      <c r="A204" s="49">
        <v>44378</v>
      </c>
      <c r="B204" s="39">
        <v>0</v>
      </c>
      <c r="C204" s="39">
        <v>0</v>
      </c>
      <c r="D204" s="39">
        <v>-12207.145420799998</v>
      </c>
      <c r="E204" s="39">
        <v>-12540.138794865208</v>
      </c>
      <c r="F204" s="39">
        <v>-2101.4566847999995</v>
      </c>
      <c r="G204" s="39">
        <v>-2092.4501310622518</v>
      </c>
      <c r="H204" s="40">
        <v>2.7278562070524481E-2</v>
      </c>
      <c r="I204" s="40">
        <v>-4.2858621844993339E-3</v>
      </c>
      <c r="J204" s="40">
        <v>2.2642800319442991E-2</v>
      </c>
    </row>
    <row r="205" spans="1:10" ht="11.25" customHeight="1" x14ac:dyDescent="0.2">
      <c r="A205" s="49">
        <v>44409</v>
      </c>
      <c r="B205" s="39">
        <v>0</v>
      </c>
      <c r="C205" s="39">
        <v>0</v>
      </c>
      <c r="D205" s="39">
        <v>4748.3953151999995</v>
      </c>
      <c r="E205" s="39">
        <v>4877.9247115410699</v>
      </c>
      <c r="F205" s="39">
        <v>817.43493119999994</v>
      </c>
      <c r="G205" s="39">
        <v>813.93151774008106</v>
      </c>
      <c r="H205" s="40">
        <v>2.7278562070524481E-2</v>
      </c>
      <c r="I205" s="40">
        <v>-4.2858621844993339E-3</v>
      </c>
      <c r="J205" s="40">
        <v>2.2642800319443213E-2</v>
      </c>
    </row>
    <row r="206" spans="1:10" ht="11.25" customHeight="1" x14ac:dyDescent="0.2">
      <c r="A206" s="49">
        <v>44440</v>
      </c>
      <c r="B206" s="39">
        <v>0</v>
      </c>
      <c r="C206" s="39">
        <v>0</v>
      </c>
      <c r="D206" s="39">
        <v>3981.8445311999999</v>
      </c>
      <c r="E206" s="39">
        <v>4090.4635243995176</v>
      </c>
      <c r="F206" s="39">
        <v>685.47342720000006</v>
      </c>
      <c r="G206" s="39">
        <v>682.53558255988446</v>
      </c>
      <c r="H206" s="40">
        <v>2.7278562070524481E-2</v>
      </c>
      <c r="I206" s="40">
        <v>-4.2858621844993339E-3</v>
      </c>
      <c r="J206" s="40">
        <v>2.2642800319442991E-2</v>
      </c>
    </row>
    <row r="207" spans="1:10" ht="11.25" customHeight="1" x14ac:dyDescent="0.2">
      <c r="A207" s="49">
        <v>44470</v>
      </c>
      <c r="B207" s="39">
        <v>0</v>
      </c>
      <c r="C207" s="39">
        <v>0</v>
      </c>
      <c r="D207" s="39">
        <v>4190.0087807999998</v>
      </c>
      <c r="E207" s="39">
        <v>4304.3061954030954</v>
      </c>
      <c r="F207" s="39">
        <v>721.30884480000009</v>
      </c>
      <c r="G207" s="39">
        <v>718.21741449872684</v>
      </c>
      <c r="H207" s="40">
        <v>2.7278562070524481E-2</v>
      </c>
      <c r="I207" s="40">
        <v>-4.2858621844993339E-3</v>
      </c>
      <c r="J207" s="40">
        <v>2.2642800319443213E-2</v>
      </c>
    </row>
    <row r="208" spans="1:10" ht="11.25" customHeight="1" x14ac:dyDescent="0.2">
      <c r="A208" s="49">
        <v>44501</v>
      </c>
      <c r="B208" s="39">
        <v>0</v>
      </c>
      <c r="C208" s="39">
        <v>0</v>
      </c>
      <c r="D208" s="39">
        <v>5025.4788095999993</v>
      </c>
      <c r="E208" s="39">
        <v>5162.5666452417781</v>
      </c>
      <c r="F208" s="39">
        <v>865.13477759999989</v>
      </c>
      <c r="G208" s="39">
        <v>861.42692917218892</v>
      </c>
      <c r="H208" s="40">
        <v>2.7278562070524481E-2</v>
      </c>
      <c r="I208" s="40">
        <v>-4.2858621844992228E-3</v>
      </c>
      <c r="J208" s="40">
        <v>2.2642800319442991E-2</v>
      </c>
    </row>
    <row r="209" spans="1:10" ht="11.25" customHeight="1" x14ac:dyDescent="0.2">
      <c r="A209" s="49">
        <v>44531</v>
      </c>
      <c r="B209" s="39">
        <v>0</v>
      </c>
      <c r="C209" s="39">
        <v>0</v>
      </c>
      <c r="D209" s="39">
        <v>4914.3641087999995</v>
      </c>
      <c r="E209" s="39">
        <v>5048.4208951790579</v>
      </c>
      <c r="F209" s="39">
        <v>846.00641280000002</v>
      </c>
      <c r="G209" s="39">
        <v>842.38054590753654</v>
      </c>
      <c r="H209" s="40">
        <v>2.7278562070524481E-2</v>
      </c>
      <c r="I209" s="40">
        <v>-4.2858621844993339E-3</v>
      </c>
      <c r="J209" s="40">
        <v>2.2642800319442991E-2</v>
      </c>
    </row>
    <row r="210" spans="1:10" ht="11.25" customHeight="1" x14ac:dyDescent="0.2">
      <c r="A210" s="49">
        <v>44562</v>
      </c>
      <c r="B210" s="39">
        <v>0</v>
      </c>
      <c r="C210" s="39">
        <v>0</v>
      </c>
      <c r="D210" s="39">
        <v>5880.6400512</v>
      </c>
      <c r="E210" s="39">
        <v>6041.0554558510712</v>
      </c>
      <c r="F210" s="39">
        <v>1012.3505472000001</v>
      </c>
      <c r="G210" s="39">
        <v>1008.0117522722984</v>
      </c>
      <c r="H210" s="40">
        <v>2.7278562070524481E-2</v>
      </c>
      <c r="I210" s="40">
        <v>-4.2858621844993339E-3</v>
      </c>
      <c r="J210" s="40">
        <v>2.2642800319443213E-2</v>
      </c>
    </row>
    <row r="211" spans="1:10" ht="11.25" customHeight="1" x14ac:dyDescent="0.2">
      <c r="A211" s="49">
        <v>44593</v>
      </c>
      <c r="B211" s="39">
        <v>0</v>
      </c>
      <c r="C211" s="39">
        <v>0</v>
      </c>
      <c r="D211" s="39">
        <v>4600.7112191999995</v>
      </c>
      <c r="E211" s="39">
        <v>4726.2120057615048</v>
      </c>
      <c r="F211" s="39">
        <v>792.01115519999996</v>
      </c>
      <c r="G211" s="39">
        <v>788.61670454022669</v>
      </c>
      <c r="H211" s="40">
        <v>2.7278562070524481E-2</v>
      </c>
      <c r="I211" s="40">
        <v>-4.2858621844993339E-3</v>
      </c>
      <c r="J211" s="40">
        <v>2.2642800319443213E-2</v>
      </c>
    </row>
    <row r="212" spans="1:10" ht="11.25" customHeight="1" x14ac:dyDescent="0.2">
      <c r="A212" s="49">
        <v>44621</v>
      </c>
      <c r="B212" s="39">
        <v>0</v>
      </c>
      <c r="C212" s="39">
        <v>0</v>
      </c>
      <c r="D212" s="39">
        <v>12126.9740544</v>
      </c>
      <c r="E212" s="39">
        <v>12457.780468870589</v>
      </c>
      <c r="F212" s="39">
        <v>2087.6552064000002</v>
      </c>
      <c r="G212" s="39">
        <v>2078.707803896617</v>
      </c>
      <c r="H212" s="40">
        <v>2.7278562070524481E-2</v>
      </c>
      <c r="I212" s="40">
        <v>-4.2858621844995559E-3</v>
      </c>
      <c r="J212" s="40">
        <v>2.2642800319442991E-2</v>
      </c>
    </row>
    <row r="213" spans="1:10" ht="11.25" customHeight="1" x14ac:dyDescent="0.2">
      <c r="A213" s="49">
        <v>44652</v>
      </c>
      <c r="B213" s="39">
        <v>0</v>
      </c>
      <c r="C213" s="39">
        <v>0</v>
      </c>
      <c r="D213" s="39">
        <v>11668.450099199999</v>
      </c>
      <c r="E213" s="39">
        <v>11986.748639497844</v>
      </c>
      <c r="F213" s="39">
        <v>2008.7204351999999</v>
      </c>
      <c r="G213" s="39">
        <v>2000.1113362475453</v>
      </c>
      <c r="H213" s="40">
        <v>2.7278562070524481E-2</v>
      </c>
      <c r="I213" s="40">
        <v>-4.2858621844992228E-3</v>
      </c>
      <c r="J213" s="40">
        <v>2.2642800319442991E-2</v>
      </c>
    </row>
    <row r="214" spans="1:10" ht="11.25" customHeight="1" x14ac:dyDescent="0.2">
      <c r="A214" s="49">
        <v>44682</v>
      </c>
      <c r="B214" s="39">
        <v>0</v>
      </c>
      <c r="C214" s="39">
        <v>0</v>
      </c>
      <c r="D214" s="39">
        <v>10108.624742399999</v>
      </c>
      <c r="E214" s="39">
        <v>10384.373489883197</v>
      </c>
      <c r="F214" s="39">
        <v>1740.1969343999999</v>
      </c>
      <c r="G214" s="39">
        <v>1732.7386901652735</v>
      </c>
      <c r="H214" s="40">
        <v>2.7278562070524481E-2</v>
      </c>
      <c r="I214" s="40">
        <v>-4.2858621844992228E-3</v>
      </c>
      <c r="J214" s="40">
        <v>2.2642800319443213E-2</v>
      </c>
    </row>
    <row r="215" spans="1:10" ht="11.25" customHeight="1" x14ac:dyDescent="0.2">
      <c r="A215" s="49">
        <v>44713</v>
      </c>
      <c r="B215" s="39">
        <v>0</v>
      </c>
      <c r="C215" s="39">
        <v>0</v>
      </c>
      <c r="D215" s="39">
        <v>7132.4385791999994</v>
      </c>
      <c r="E215" s="39">
        <v>7327.0012476969096</v>
      </c>
      <c r="F215" s="39">
        <v>1227.8473151999999</v>
      </c>
      <c r="G215" s="39">
        <v>1222.5849308234453</v>
      </c>
      <c r="H215" s="40">
        <v>2.7278562070524481E-2</v>
      </c>
      <c r="I215" s="40">
        <v>-4.2858621844992228E-3</v>
      </c>
      <c r="J215" s="40">
        <v>2.2642800319442991E-2</v>
      </c>
    </row>
    <row r="216" spans="1:10" ht="11.25" customHeight="1" x14ac:dyDescent="0.2">
      <c r="A216" s="42" t="s">
        <v>22</v>
      </c>
      <c r="B216" s="39">
        <v>0</v>
      </c>
      <c r="C216" s="39">
        <v>0</v>
      </c>
      <c r="D216" s="39">
        <v>6041349.919307502</v>
      </c>
      <c r="E216" s="39">
        <v>6125127.3605782129</v>
      </c>
      <c r="F216" s="39">
        <v>3597267.3896859996</v>
      </c>
      <c r="G216" s="39">
        <v>3581849.7053190232</v>
      </c>
      <c r="H216" s="40">
        <v>1.3867337993942463E-2</v>
      </c>
      <c r="I216" s="40">
        <v>-4.2859433833524196E-3</v>
      </c>
      <c r="J216" s="40">
        <v>7.092278354070114E-3</v>
      </c>
    </row>
    <row r="217" spans="1:10" ht="11.25" customHeight="1" x14ac:dyDescent="0.2">
      <c r="A217" s="43" t="s">
        <v>23</v>
      </c>
      <c r="B217" s="39">
        <v>0</v>
      </c>
      <c r="C217" s="39">
        <v>0</v>
      </c>
      <c r="D217" s="39">
        <v>6041349.919307502</v>
      </c>
      <c r="E217" s="39">
        <v>6125127.3605782129</v>
      </c>
      <c r="F217" s="39">
        <v>3597267.3896859996</v>
      </c>
      <c r="G217" s="39">
        <v>3581849.7053190232</v>
      </c>
      <c r="H217" s="40">
        <v>1.3867337993942463E-2</v>
      </c>
      <c r="I217" s="40">
        <v>-4.2859433833524196E-3</v>
      </c>
      <c r="J217" s="40">
        <v>7.092278354070114E-3</v>
      </c>
    </row>
    <row r="218" spans="1:10" ht="11.25" customHeight="1" x14ac:dyDescent="0.2">
      <c r="A218" s="44" t="s">
        <v>24</v>
      </c>
      <c r="B218" s="39">
        <v>0</v>
      </c>
      <c r="C218" s="39">
        <v>0</v>
      </c>
      <c r="D218" s="39">
        <v>6041349.919307502</v>
      </c>
      <c r="E218" s="39">
        <v>6125127.3605782129</v>
      </c>
      <c r="F218" s="39">
        <v>3597267.3896859996</v>
      </c>
      <c r="G218" s="39">
        <v>3581849.7053190232</v>
      </c>
      <c r="H218" s="40">
        <v>1.3867337993942463E-2</v>
      </c>
      <c r="I218" s="40">
        <v>-4.2859433833524196E-3</v>
      </c>
      <c r="J218" s="40">
        <v>7.092278354070114E-3</v>
      </c>
    </row>
    <row r="219" spans="1:10" ht="11.25" customHeight="1" x14ac:dyDescent="0.2">
      <c r="A219" s="45" t="s">
        <v>24</v>
      </c>
      <c r="B219" s="39">
        <v>0</v>
      </c>
      <c r="C219" s="39">
        <v>0</v>
      </c>
      <c r="D219" s="39">
        <v>5882757.1985000009</v>
      </c>
      <c r="E219" s="39">
        <v>5977721.0434914362</v>
      </c>
      <c r="F219" s="39">
        <v>3485024.1235600002</v>
      </c>
      <c r="G219" s="39">
        <v>3470087.7904567653</v>
      </c>
      <c r="H219" s="40">
        <v>1.61427442587041E-2</v>
      </c>
      <c r="I219" s="40">
        <v>-4.2858621844991118E-3</v>
      </c>
      <c r="J219" s="40">
        <v>8.5428458603904467E-3</v>
      </c>
    </row>
    <row r="220" spans="1:10" ht="11.25" customHeight="1" x14ac:dyDescent="0.2">
      <c r="A220" s="46" t="s">
        <v>25</v>
      </c>
      <c r="B220" s="39">
        <v>0</v>
      </c>
      <c r="C220" s="39">
        <v>0</v>
      </c>
      <c r="D220" s="39">
        <v>5882757.1985000009</v>
      </c>
      <c r="E220" s="39">
        <v>5977721.0434914362</v>
      </c>
      <c r="F220" s="39">
        <v>3485024.1235600002</v>
      </c>
      <c r="G220" s="39">
        <v>3470087.7904567653</v>
      </c>
      <c r="H220" s="40">
        <v>1.61427442587041E-2</v>
      </c>
      <c r="I220" s="40">
        <v>-4.2858621844991118E-3</v>
      </c>
      <c r="J220" s="40">
        <v>8.5428458603904467E-3</v>
      </c>
    </row>
    <row r="221" spans="1:10" ht="11.25" customHeight="1" x14ac:dyDescent="0.2">
      <c r="A221" s="47" t="s">
        <v>25</v>
      </c>
      <c r="B221" s="39">
        <v>0</v>
      </c>
      <c r="C221" s="39">
        <v>0</v>
      </c>
      <c r="D221" s="39">
        <v>5882757.1985000009</v>
      </c>
      <c r="E221" s="39">
        <v>5977721.0434914362</v>
      </c>
      <c r="F221" s="39">
        <v>3485024.1235600002</v>
      </c>
      <c r="G221" s="39">
        <v>3470087.7904567653</v>
      </c>
      <c r="H221" s="40">
        <v>1.61427442587041E-2</v>
      </c>
      <c r="I221" s="40">
        <v>-4.2858621844991118E-3</v>
      </c>
      <c r="J221" s="40">
        <v>8.5428458603904467E-3</v>
      </c>
    </row>
    <row r="222" spans="1:10" ht="11.25" customHeight="1" x14ac:dyDescent="0.2">
      <c r="A222" s="48" t="s">
        <v>25</v>
      </c>
      <c r="B222" s="39">
        <v>0</v>
      </c>
      <c r="C222" s="39">
        <v>0</v>
      </c>
      <c r="D222" s="39">
        <v>5882757.1985000009</v>
      </c>
      <c r="E222" s="39">
        <v>5977721.0434914362</v>
      </c>
      <c r="F222" s="39">
        <v>3485024.1235600002</v>
      </c>
      <c r="G222" s="39">
        <v>3470087.7904567653</v>
      </c>
      <c r="H222" s="40">
        <v>1.61427442587041E-2</v>
      </c>
      <c r="I222" s="40">
        <v>-4.2858621844991118E-3</v>
      </c>
      <c r="J222" s="40">
        <v>8.5428458603904467E-3</v>
      </c>
    </row>
    <row r="223" spans="1:10" ht="11.25" customHeight="1" x14ac:dyDescent="0.2">
      <c r="A223" s="49">
        <v>44378</v>
      </c>
      <c r="B223" s="39">
        <v>0</v>
      </c>
      <c r="C223" s="39">
        <v>0</v>
      </c>
      <c r="D223" s="39">
        <v>441224.30950000003</v>
      </c>
      <c r="E223" s="39">
        <v>448346.88068898185</v>
      </c>
      <c r="F223" s="39">
        <v>261387.18812000001</v>
      </c>
      <c r="G223" s="39">
        <v>260266.91865492388</v>
      </c>
      <c r="H223" s="40">
        <v>1.61427442587041E-2</v>
      </c>
      <c r="I223" s="40">
        <v>-4.2858621844993339E-3</v>
      </c>
      <c r="J223" s="40">
        <v>8.5428458603904467E-3</v>
      </c>
    </row>
    <row r="224" spans="1:10" ht="11.25" customHeight="1" x14ac:dyDescent="0.2">
      <c r="A224" s="49">
        <v>44409</v>
      </c>
      <c r="B224" s="39">
        <v>0</v>
      </c>
      <c r="C224" s="39">
        <v>0</v>
      </c>
      <c r="D224" s="39">
        <v>446193.23774999997</v>
      </c>
      <c r="E224" s="39">
        <v>453396.02107696142</v>
      </c>
      <c r="F224" s="39">
        <v>264330.84774</v>
      </c>
      <c r="G224" s="39">
        <v>263197.96215547447</v>
      </c>
      <c r="H224" s="40">
        <v>1.61427442587041E-2</v>
      </c>
      <c r="I224" s="40">
        <v>-4.2858621844993339E-3</v>
      </c>
      <c r="J224" s="40">
        <v>8.5428458603904467E-3</v>
      </c>
    </row>
    <row r="225" spans="1:10" ht="11.25" customHeight="1" x14ac:dyDescent="0.2">
      <c r="A225" s="49">
        <v>44440</v>
      </c>
      <c r="B225" s="39">
        <v>0</v>
      </c>
      <c r="C225" s="39">
        <v>0</v>
      </c>
      <c r="D225" s="39">
        <v>452188.64925000002</v>
      </c>
      <c r="E225" s="39">
        <v>459488.21497153159</v>
      </c>
      <c r="F225" s="39">
        <v>267882.60978</v>
      </c>
      <c r="G225" s="39">
        <v>266734.50183285889</v>
      </c>
      <c r="H225" s="40">
        <v>1.61427442587041E-2</v>
      </c>
      <c r="I225" s="40">
        <v>-4.2858621844993339E-3</v>
      </c>
      <c r="J225" s="40">
        <v>8.5428458603902246E-3</v>
      </c>
    </row>
    <row r="226" spans="1:10" ht="11.25" customHeight="1" x14ac:dyDescent="0.2">
      <c r="A226" s="49">
        <v>44470</v>
      </c>
      <c r="B226" s="39">
        <v>0</v>
      </c>
      <c r="C226" s="39">
        <v>0</v>
      </c>
      <c r="D226" s="39">
        <v>437291.65675000002</v>
      </c>
      <c r="E226" s="39">
        <v>444350.74413138034</v>
      </c>
      <c r="F226" s="39">
        <v>259057.43197999999</v>
      </c>
      <c r="G226" s="39">
        <v>257947.14752866342</v>
      </c>
      <c r="H226" s="40">
        <v>1.6142744258704322E-2</v>
      </c>
      <c r="I226" s="40">
        <v>-4.2858621844992228E-3</v>
      </c>
      <c r="J226" s="40">
        <v>8.5428458603904467E-3</v>
      </c>
    </row>
    <row r="227" spans="1:10" ht="11.25" customHeight="1" x14ac:dyDescent="0.2">
      <c r="A227" s="49">
        <v>44501</v>
      </c>
      <c r="B227" s="39">
        <v>0</v>
      </c>
      <c r="C227" s="39">
        <v>0</v>
      </c>
      <c r="D227" s="39">
        <v>485112.74825</v>
      </c>
      <c r="E227" s="39">
        <v>492943.79928163684</v>
      </c>
      <c r="F227" s="39">
        <v>287387.28682000004</v>
      </c>
      <c r="G227" s="39">
        <v>286155.58451511228</v>
      </c>
      <c r="H227" s="40">
        <v>1.61427442587041E-2</v>
      </c>
      <c r="I227" s="40">
        <v>-4.2858621844995559E-3</v>
      </c>
      <c r="J227" s="40">
        <v>8.5428458603904467E-3</v>
      </c>
    </row>
    <row r="228" spans="1:10" ht="11.25" customHeight="1" x14ac:dyDescent="0.2">
      <c r="A228" s="49">
        <v>44531</v>
      </c>
      <c r="B228" s="39">
        <v>0</v>
      </c>
      <c r="C228" s="39">
        <v>0</v>
      </c>
      <c r="D228" s="39">
        <v>486008.95199999993</v>
      </c>
      <c r="E228" s="39">
        <v>493854.47021957679</v>
      </c>
      <c r="F228" s="39">
        <v>287918.20991999999</v>
      </c>
      <c r="G228" s="39">
        <v>286684.2321518751</v>
      </c>
      <c r="H228" s="40">
        <v>1.6142744258704322E-2</v>
      </c>
      <c r="I228" s="40">
        <v>-4.2858621844994449E-3</v>
      </c>
      <c r="J228" s="40">
        <v>8.5428458603904467E-3</v>
      </c>
    </row>
    <row r="229" spans="1:10" ht="11.25" customHeight="1" x14ac:dyDescent="0.2">
      <c r="A229" s="49">
        <v>44562</v>
      </c>
      <c r="B229" s="39">
        <v>0</v>
      </c>
      <c r="C229" s="39">
        <v>0</v>
      </c>
      <c r="D229" s="39">
        <v>612566.97124999994</v>
      </c>
      <c r="E229" s="39">
        <v>622455.48320821777</v>
      </c>
      <c r="F229" s="39">
        <v>362892.8749</v>
      </c>
      <c r="G229" s="39">
        <v>361337.56605044182</v>
      </c>
      <c r="H229" s="40">
        <v>1.6142744258704322E-2</v>
      </c>
      <c r="I229" s="40">
        <v>-4.2858621844993339E-3</v>
      </c>
      <c r="J229" s="40">
        <v>8.5428458603904467E-3</v>
      </c>
    </row>
    <row r="230" spans="1:10" ht="11.25" customHeight="1" x14ac:dyDescent="0.2">
      <c r="A230" s="49">
        <v>44593</v>
      </c>
      <c r="B230" s="39">
        <v>0</v>
      </c>
      <c r="C230" s="39">
        <v>0</v>
      </c>
      <c r="D230" s="39">
        <v>641278.69974999991</v>
      </c>
      <c r="E230" s="39">
        <v>651630.69779861858</v>
      </c>
      <c r="F230" s="39">
        <v>379902.08725999994</v>
      </c>
      <c r="G230" s="39">
        <v>378273.87927040004</v>
      </c>
      <c r="H230" s="40">
        <v>1.6142744258704322E-2</v>
      </c>
      <c r="I230" s="40">
        <v>-4.2858621844991118E-3</v>
      </c>
      <c r="J230" s="40">
        <v>8.5428458603906687E-3</v>
      </c>
    </row>
    <row r="231" spans="1:10" ht="11.25" customHeight="1" x14ac:dyDescent="0.2">
      <c r="A231" s="49">
        <v>44621</v>
      </c>
      <c r="B231" s="39">
        <v>0</v>
      </c>
      <c r="C231" s="39">
        <v>0</v>
      </c>
      <c r="D231" s="39">
        <v>568450.33050000004</v>
      </c>
      <c r="E231" s="39">
        <v>577626.67880903743</v>
      </c>
      <c r="F231" s="39">
        <v>336757.58627999993</v>
      </c>
      <c r="G231" s="39">
        <v>335314.28967561922</v>
      </c>
      <c r="H231" s="40">
        <v>1.6142744258704322E-2</v>
      </c>
      <c r="I231" s="40">
        <v>-4.2858621844993339E-3</v>
      </c>
      <c r="J231" s="40">
        <v>8.5428458603904467E-3</v>
      </c>
    </row>
    <row r="232" spans="1:10" ht="11.25" customHeight="1" x14ac:dyDescent="0.2">
      <c r="A232" s="49">
        <v>44652</v>
      </c>
      <c r="B232" s="39">
        <v>0</v>
      </c>
      <c r="C232" s="39">
        <v>0</v>
      </c>
      <c r="D232" s="39">
        <v>454714.19824999996</v>
      </c>
      <c r="E232" s="39">
        <v>462054.53326315142</v>
      </c>
      <c r="F232" s="39">
        <v>269378.77881999995</v>
      </c>
      <c r="G232" s="39">
        <v>268224.2584985487</v>
      </c>
      <c r="H232" s="40">
        <v>1.61427442587041E-2</v>
      </c>
      <c r="I232" s="40">
        <v>-4.2858621844993339E-3</v>
      </c>
      <c r="J232" s="40">
        <v>8.5428458603902246E-3</v>
      </c>
    </row>
    <row r="233" spans="1:10" ht="11.25" customHeight="1" x14ac:dyDescent="0.2">
      <c r="A233" s="49">
        <v>44682</v>
      </c>
      <c r="B233" s="39">
        <v>0</v>
      </c>
      <c r="C233" s="39">
        <v>0</v>
      </c>
      <c r="D233" s="39">
        <v>433214.67474999995</v>
      </c>
      <c r="E233" s="39">
        <v>440207.94845360686</v>
      </c>
      <c r="F233" s="39">
        <v>256642.17325999998</v>
      </c>
      <c r="G233" s="39">
        <v>255542.24027467723</v>
      </c>
      <c r="H233" s="40">
        <v>1.61427442587041E-2</v>
      </c>
      <c r="I233" s="40">
        <v>-4.2858621844993339E-3</v>
      </c>
      <c r="J233" s="40">
        <v>8.5428458603902246E-3</v>
      </c>
    </row>
    <row r="234" spans="1:10" ht="11.25" customHeight="1" x14ac:dyDescent="0.2">
      <c r="A234" s="49">
        <v>44713</v>
      </c>
      <c r="B234" s="39">
        <v>0</v>
      </c>
      <c r="C234" s="39">
        <v>0</v>
      </c>
      <c r="D234" s="39">
        <v>424512.77049999998</v>
      </c>
      <c r="E234" s="39">
        <v>431365.5715887355</v>
      </c>
      <c r="F234" s="39">
        <v>251487.04868000001</v>
      </c>
      <c r="G234" s="39">
        <v>250409.20984817104</v>
      </c>
      <c r="H234" s="40">
        <v>1.6142744258704322E-2</v>
      </c>
      <c r="I234" s="40">
        <v>-4.2858621844993339E-3</v>
      </c>
      <c r="J234" s="40">
        <v>8.5428458603904467E-3</v>
      </c>
    </row>
    <row r="235" spans="1:10" ht="11.25" customHeight="1" x14ac:dyDescent="0.2">
      <c r="A235" s="45" t="s">
        <v>29</v>
      </c>
      <c r="B235" s="39">
        <v>0</v>
      </c>
      <c r="C235" s="39">
        <v>0</v>
      </c>
      <c r="D235" s="39">
        <v>18317.5422115</v>
      </c>
      <c r="E235" s="39">
        <v>17025.535455232421</v>
      </c>
      <c r="F235" s="39">
        <v>12964.584513999998</v>
      </c>
      <c r="G235" s="39">
        <v>12908.581407077359</v>
      </c>
      <c r="H235" s="40">
        <v>-7.0533848992931136E-2</v>
      </c>
      <c r="I235" s="40">
        <v>-4.3196993210362633E-3</v>
      </c>
      <c r="J235" s="40">
        <v>-4.3092014651656685E-2</v>
      </c>
    </row>
    <row r="236" spans="1:10" ht="11.25" customHeight="1" x14ac:dyDescent="0.2">
      <c r="A236" s="46" t="s">
        <v>25</v>
      </c>
      <c r="B236" s="39">
        <v>0</v>
      </c>
      <c r="C236" s="39">
        <v>0</v>
      </c>
      <c r="D236" s="39">
        <v>18317.5422115</v>
      </c>
      <c r="E236" s="39">
        <v>17025.535455232421</v>
      </c>
      <c r="F236" s="39">
        <v>12964.584513999998</v>
      </c>
      <c r="G236" s="39">
        <v>12908.581407077359</v>
      </c>
      <c r="H236" s="40">
        <v>-7.0533848992931136E-2</v>
      </c>
      <c r="I236" s="40">
        <v>-4.3196993210362633E-3</v>
      </c>
      <c r="J236" s="40">
        <v>-4.3092014651656685E-2</v>
      </c>
    </row>
    <row r="237" spans="1:10" ht="11.25" customHeight="1" x14ac:dyDescent="0.2">
      <c r="A237" s="47" t="s">
        <v>25</v>
      </c>
      <c r="B237" s="39">
        <v>0</v>
      </c>
      <c r="C237" s="39">
        <v>0</v>
      </c>
      <c r="D237" s="39">
        <v>18317.5422115</v>
      </c>
      <c r="E237" s="39">
        <v>17025.535455232421</v>
      </c>
      <c r="F237" s="39">
        <v>12964.584513999998</v>
      </c>
      <c r="G237" s="39">
        <v>12908.581407077359</v>
      </c>
      <c r="H237" s="40">
        <v>-7.0533848992931136E-2</v>
      </c>
      <c r="I237" s="40">
        <v>-4.3196993210362633E-3</v>
      </c>
      <c r="J237" s="40">
        <v>-4.3092014651656685E-2</v>
      </c>
    </row>
    <row r="238" spans="1:10" ht="11.25" customHeight="1" x14ac:dyDescent="0.2">
      <c r="A238" s="48" t="s">
        <v>25</v>
      </c>
      <c r="B238" s="39">
        <v>0</v>
      </c>
      <c r="C238" s="39">
        <v>0</v>
      </c>
      <c r="D238" s="39">
        <v>18317.5422115</v>
      </c>
      <c r="E238" s="39">
        <v>17025.535455232421</v>
      </c>
      <c r="F238" s="39">
        <v>12964.584513999998</v>
      </c>
      <c r="G238" s="39">
        <v>12908.581407077359</v>
      </c>
      <c r="H238" s="40">
        <v>-7.0533848992931136E-2</v>
      </c>
      <c r="I238" s="40">
        <v>-4.3196993210362633E-3</v>
      </c>
      <c r="J238" s="40">
        <v>-4.3092014651656685E-2</v>
      </c>
    </row>
    <row r="239" spans="1:10" ht="11.25" customHeight="1" x14ac:dyDescent="0.2">
      <c r="A239" s="49">
        <v>44378</v>
      </c>
      <c r="B239" s="39">
        <v>0</v>
      </c>
      <c r="C239" s="39">
        <v>0</v>
      </c>
      <c r="D239" s="39">
        <v>992.16478499999994</v>
      </c>
      <c r="E239" s="39">
        <v>922.18358387870603</v>
      </c>
      <c r="F239" s="39">
        <v>702.22325999999987</v>
      </c>
      <c r="G239" s="39">
        <v>699.1898666605623</v>
      </c>
      <c r="H239" s="40">
        <v>-7.0533848992931025E-2</v>
      </c>
      <c r="I239" s="40">
        <v>-4.3196993210358192E-3</v>
      </c>
      <c r="J239" s="40">
        <v>-4.3092014651656352E-2</v>
      </c>
    </row>
    <row r="240" spans="1:10" ht="11.25" customHeight="1" x14ac:dyDescent="0.2">
      <c r="A240" s="49">
        <v>44409</v>
      </c>
      <c r="B240" s="39">
        <v>0</v>
      </c>
      <c r="C240" s="39">
        <v>0</v>
      </c>
      <c r="D240" s="39">
        <v>1053.694094</v>
      </c>
      <c r="E240" s="39">
        <v>979.37299388906081</v>
      </c>
      <c r="F240" s="39">
        <v>745.77178399999991</v>
      </c>
      <c r="G240" s="39">
        <v>742.55027413100731</v>
      </c>
      <c r="H240" s="40">
        <v>-7.0533848992930914E-2</v>
      </c>
      <c r="I240" s="40">
        <v>-4.3196993210360413E-3</v>
      </c>
      <c r="J240" s="40">
        <v>-4.3092014651656574E-2</v>
      </c>
    </row>
    <row r="241" spans="1:10" ht="11.25" customHeight="1" x14ac:dyDescent="0.2">
      <c r="A241" s="49">
        <v>44440</v>
      </c>
      <c r="B241" s="39">
        <v>0</v>
      </c>
      <c r="C241" s="39">
        <v>0</v>
      </c>
      <c r="D241" s="39">
        <v>1048.330704</v>
      </c>
      <c r="E241" s="39">
        <v>974.38790442941092</v>
      </c>
      <c r="F241" s="39">
        <v>741.97574399999996</v>
      </c>
      <c r="G241" s="39">
        <v>738.770631882418</v>
      </c>
      <c r="H241" s="40">
        <v>-7.0533848992931025E-2</v>
      </c>
      <c r="I241" s="40">
        <v>-4.3196993210359302E-3</v>
      </c>
      <c r="J241" s="40">
        <v>-4.3092014651656463E-2</v>
      </c>
    </row>
    <row r="242" spans="1:10" ht="11.25" customHeight="1" x14ac:dyDescent="0.2">
      <c r="A242" s="49">
        <v>44470</v>
      </c>
      <c r="B242" s="39">
        <v>0</v>
      </c>
      <c r="C242" s="39">
        <v>0</v>
      </c>
      <c r="D242" s="39">
        <v>1070.6324280000001</v>
      </c>
      <c r="E242" s="39">
        <v>995.11660199651294</v>
      </c>
      <c r="F242" s="39">
        <v>757.76020800000003</v>
      </c>
      <c r="G242" s="39">
        <v>754.48691174399426</v>
      </c>
      <c r="H242" s="40">
        <v>-7.0533848992931136E-2</v>
      </c>
      <c r="I242" s="40">
        <v>-4.3196993210361523E-3</v>
      </c>
      <c r="J242" s="40">
        <v>-4.3092014651656463E-2</v>
      </c>
    </row>
    <row r="243" spans="1:10" ht="11.25" customHeight="1" x14ac:dyDescent="0.2">
      <c r="A243" s="49">
        <v>44501</v>
      </c>
      <c r="B243" s="39">
        <v>0</v>
      </c>
      <c r="C243" s="39">
        <v>0</v>
      </c>
      <c r="D243" s="39">
        <v>1076.9188200000001</v>
      </c>
      <c r="E243" s="39">
        <v>1000.9595905724747</v>
      </c>
      <c r="F243" s="39">
        <v>762.20952000000011</v>
      </c>
      <c r="G243" s="39">
        <v>758.91700405396898</v>
      </c>
      <c r="H243" s="40">
        <v>-7.0533848992931025E-2</v>
      </c>
      <c r="I243" s="40">
        <v>-4.3196993210359302E-3</v>
      </c>
      <c r="J243" s="40">
        <v>-4.3092014651656463E-2</v>
      </c>
    </row>
    <row r="244" spans="1:10" ht="11.25" customHeight="1" x14ac:dyDescent="0.2">
      <c r="A244" s="49">
        <v>44531</v>
      </c>
      <c r="B244" s="39">
        <v>0</v>
      </c>
      <c r="C244" s="39">
        <v>0</v>
      </c>
      <c r="D244" s="39">
        <v>1122.9441900000002</v>
      </c>
      <c r="E244" s="39">
        <v>1043.7386140750507</v>
      </c>
      <c r="F244" s="39">
        <v>794.78484000000003</v>
      </c>
      <c r="G244" s="39">
        <v>791.35160846628241</v>
      </c>
      <c r="H244" s="40">
        <v>-7.0533848992931247E-2</v>
      </c>
      <c r="I244" s="40">
        <v>-4.3196993210359302E-3</v>
      </c>
      <c r="J244" s="40">
        <v>-4.3092014651656574E-2</v>
      </c>
    </row>
    <row r="245" spans="1:10" ht="11.25" customHeight="1" x14ac:dyDescent="0.2">
      <c r="A245" s="49">
        <v>44562</v>
      </c>
      <c r="B245" s="39">
        <v>0</v>
      </c>
      <c r="C245" s="39">
        <v>0</v>
      </c>
      <c r="D245" s="39">
        <v>1141.6536900000001</v>
      </c>
      <c r="E245" s="39">
        <v>1061.1284610273176</v>
      </c>
      <c r="F245" s="39">
        <v>808.02684000000011</v>
      </c>
      <c r="G245" s="39">
        <v>804.53640700787321</v>
      </c>
      <c r="H245" s="40">
        <v>-7.0533848992931025E-2</v>
      </c>
      <c r="I245" s="40">
        <v>-4.3196993210360413E-3</v>
      </c>
      <c r="J245" s="40">
        <v>-4.3092014651656352E-2</v>
      </c>
    </row>
    <row r="246" spans="1:10" ht="11.25" customHeight="1" x14ac:dyDescent="0.2">
      <c r="A246" s="49">
        <v>44593</v>
      </c>
      <c r="B246" s="39">
        <v>0</v>
      </c>
      <c r="C246" s="39">
        <v>0</v>
      </c>
      <c r="D246" s="39">
        <v>1153.0664850000001</v>
      </c>
      <c r="E246" s="39">
        <v>1071.7362676682003</v>
      </c>
      <c r="F246" s="39">
        <v>816.10446000000002</v>
      </c>
      <c r="G246" s="39">
        <v>812.57913411824359</v>
      </c>
      <c r="H246" s="40">
        <v>-7.0533848992931025E-2</v>
      </c>
      <c r="I246" s="40">
        <v>-4.3196993210359302E-3</v>
      </c>
      <c r="J246" s="40">
        <v>-4.3092014651656352E-2</v>
      </c>
    </row>
    <row r="247" spans="1:10" ht="11.25" customHeight="1" x14ac:dyDescent="0.2">
      <c r="A247" s="49">
        <v>44621</v>
      </c>
      <c r="B247" s="39">
        <v>0</v>
      </c>
      <c r="C247" s="39">
        <v>0</v>
      </c>
      <c r="D247" s="39">
        <v>1183.1887800000002</v>
      </c>
      <c r="E247" s="39">
        <v>1099.7339212613499</v>
      </c>
      <c r="F247" s="39">
        <v>837.42408000000012</v>
      </c>
      <c r="G247" s="39">
        <v>833.80665977020487</v>
      </c>
      <c r="H247" s="40">
        <v>-7.0533848992931025E-2</v>
      </c>
      <c r="I247" s="40">
        <v>-4.3196993210360413E-3</v>
      </c>
      <c r="J247" s="40">
        <v>-4.3092014651656463E-2</v>
      </c>
    </row>
    <row r="248" spans="1:10" ht="11.25" customHeight="1" x14ac:dyDescent="0.2">
      <c r="A248" s="49">
        <v>44652</v>
      </c>
      <c r="B248" s="39">
        <v>0</v>
      </c>
      <c r="C248" s="39">
        <v>0</v>
      </c>
      <c r="D248" s="39">
        <v>2794.0330745000001</v>
      </c>
      <c r="E248" s="39">
        <v>2596.959167541962</v>
      </c>
      <c r="F248" s="39">
        <v>1977.5293819999999</v>
      </c>
      <c r="G248" s="39">
        <v>1968.987049671246</v>
      </c>
      <c r="H248" s="40">
        <v>-7.0533848992931136E-2</v>
      </c>
      <c r="I248" s="40">
        <v>-4.3196993210359302E-3</v>
      </c>
      <c r="J248" s="40">
        <v>-4.3092014651656463E-2</v>
      </c>
    </row>
    <row r="249" spans="1:10" ht="11.25" customHeight="1" x14ac:dyDescent="0.2">
      <c r="A249" s="49">
        <v>44682</v>
      </c>
      <c r="B249" s="39">
        <v>0</v>
      </c>
      <c r="C249" s="39">
        <v>0</v>
      </c>
      <c r="D249" s="39">
        <v>2773.1407995000004</v>
      </c>
      <c r="E249" s="39">
        <v>2577.540505111931</v>
      </c>
      <c r="F249" s="39">
        <v>1962.7424820000001</v>
      </c>
      <c r="G249" s="39">
        <v>1954.2640246331359</v>
      </c>
      <c r="H249" s="40">
        <v>-7.0533848992931136E-2</v>
      </c>
      <c r="I249" s="40">
        <v>-4.3196993210361523E-3</v>
      </c>
      <c r="J249" s="40">
        <v>-4.3092014651656574E-2</v>
      </c>
    </row>
    <row r="250" spans="1:10" ht="11.25" customHeight="1" x14ac:dyDescent="0.2">
      <c r="A250" s="49">
        <v>44713</v>
      </c>
      <c r="B250" s="39">
        <v>0</v>
      </c>
      <c r="C250" s="39">
        <v>0</v>
      </c>
      <c r="D250" s="39">
        <v>2907.7743614999999</v>
      </c>
      <c r="E250" s="39">
        <v>2702.6778437804423</v>
      </c>
      <c r="F250" s="39">
        <v>2058.0319140000001</v>
      </c>
      <c r="G250" s="39">
        <v>2049.1418349384239</v>
      </c>
      <c r="H250" s="40">
        <v>-7.0533848992931136E-2</v>
      </c>
      <c r="I250" s="40">
        <v>-4.3196993210360413E-3</v>
      </c>
      <c r="J250" s="40">
        <v>-4.3092014651656463E-2</v>
      </c>
    </row>
    <row r="251" spans="1:10" ht="11.25" customHeight="1" x14ac:dyDescent="0.2">
      <c r="A251" s="45" t="s">
        <v>30</v>
      </c>
      <c r="B251" s="39">
        <v>0</v>
      </c>
      <c r="C251" s="39">
        <v>0</v>
      </c>
      <c r="D251" s="39">
        <v>57524.507768000003</v>
      </c>
      <c r="E251" s="39">
        <v>53467.797270868694</v>
      </c>
      <c r="F251" s="39">
        <v>40712.673092000005</v>
      </c>
      <c r="G251" s="39">
        <v>40538.719944693534</v>
      </c>
      <c r="H251" s="40">
        <v>-7.0521429118390322E-2</v>
      </c>
      <c r="I251" s="40">
        <v>-4.2727026769617815E-3</v>
      </c>
      <c r="J251" s="40">
        <v>-4.3065808764066404E-2</v>
      </c>
    </row>
    <row r="252" spans="1:10" ht="11.25" customHeight="1" x14ac:dyDescent="0.2">
      <c r="A252" s="46" t="s">
        <v>25</v>
      </c>
      <c r="B252" s="39">
        <v>0</v>
      </c>
      <c r="C252" s="39">
        <v>0</v>
      </c>
      <c r="D252" s="39">
        <v>57524.507768000003</v>
      </c>
      <c r="E252" s="39">
        <v>53467.797270868694</v>
      </c>
      <c r="F252" s="39">
        <v>40712.673092000005</v>
      </c>
      <c r="G252" s="39">
        <v>40538.719944693534</v>
      </c>
      <c r="H252" s="40">
        <v>-7.0521429118390322E-2</v>
      </c>
      <c r="I252" s="40">
        <v>-4.2727026769617815E-3</v>
      </c>
      <c r="J252" s="40">
        <v>-4.3065808764066404E-2</v>
      </c>
    </row>
    <row r="253" spans="1:10" ht="11.25" customHeight="1" x14ac:dyDescent="0.2">
      <c r="A253" s="47" t="s">
        <v>25</v>
      </c>
      <c r="B253" s="39">
        <v>0</v>
      </c>
      <c r="C253" s="39">
        <v>0</v>
      </c>
      <c r="D253" s="39">
        <v>57524.507768000003</v>
      </c>
      <c r="E253" s="39">
        <v>53467.797270868694</v>
      </c>
      <c r="F253" s="39">
        <v>40712.673092000005</v>
      </c>
      <c r="G253" s="39">
        <v>40538.719944693534</v>
      </c>
      <c r="H253" s="40">
        <v>-7.0521429118390322E-2</v>
      </c>
      <c r="I253" s="40">
        <v>-4.2727026769617815E-3</v>
      </c>
      <c r="J253" s="40">
        <v>-4.3065808764066404E-2</v>
      </c>
    </row>
    <row r="254" spans="1:10" ht="11.25" customHeight="1" x14ac:dyDescent="0.2">
      <c r="A254" s="48" t="s">
        <v>25</v>
      </c>
      <c r="B254" s="39">
        <v>0</v>
      </c>
      <c r="C254" s="39">
        <v>0</v>
      </c>
      <c r="D254" s="39">
        <v>57524.507768000003</v>
      </c>
      <c r="E254" s="39">
        <v>53467.797270868694</v>
      </c>
      <c r="F254" s="39">
        <v>40712.673092000005</v>
      </c>
      <c r="G254" s="39">
        <v>40538.719944693534</v>
      </c>
      <c r="H254" s="40">
        <v>-7.0521429118390322E-2</v>
      </c>
      <c r="I254" s="40">
        <v>-4.2727026769617815E-3</v>
      </c>
      <c r="J254" s="40">
        <v>-4.3065808764066404E-2</v>
      </c>
    </row>
    <row r="255" spans="1:10" ht="11.25" customHeight="1" x14ac:dyDescent="0.2">
      <c r="A255" s="49">
        <v>44378</v>
      </c>
      <c r="B255" s="39">
        <v>0</v>
      </c>
      <c r="C255" s="39">
        <v>0</v>
      </c>
      <c r="D255" s="39">
        <v>2850.0923079999998</v>
      </c>
      <c r="E255" s="39">
        <v>2649.0997253205082</v>
      </c>
      <c r="F255" s="39">
        <v>2017.1381020000001</v>
      </c>
      <c r="G255" s="39">
        <v>2008.5194706317827</v>
      </c>
      <c r="H255" s="40">
        <v>-7.0521429118390322E-2</v>
      </c>
      <c r="I255" s="40">
        <v>-4.2727026769620036E-3</v>
      </c>
      <c r="J255" s="40">
        <v>-4.3065808764066515E-2</v>
      </c>
    </row>
    <row r="256" spans="1:10" ht="11.25" customHeight="1" x14ac:dyDescent="0.2">
      <c r="A256" s="49">
        <v>44409</v>
      </c>
      <c r="B256" s="39">
        <v>0</v>
      </c>
      <c r="C256" s="39">
        <v>0</v>
      </c>
      <c r="D256" s="39">
        <v>3103.5972999999999</v>
      </c>
      <c r="E256" s="39">
        <v>2884.7271829960227</v>
      </c>
      <c r="F256" s="39">
        <v>2196.5549500000002</v>
      </c>
      <c r="G256" s="39">
        <v>2187.1697237850412</v>
      </c>
      <c r="H256" s="40">
        <v>-7.0521429118390211E-2</v>
      </c>
      <c r="I256" s="40">
        <v>-4.2727026769618925E-3</v>
      </c>
      <c r="J256" s="40">
        <v>-4.3065808764066404E-2</v>
      </c>
    </row>
    <row r="257" spans="1:10" ht="11.25" customHeight="1" x14ac:dyDescent="0.2">
      <c r="A257" s="49">
        <v>44440</v>
      </c>
      <c r="B257" s="39">
        <v>0</v>
      </c>
      <c r="C257" s="39">
        <v>0</v>
      </c>
      <c r="D257" s="39">
        <v>3215.5106879999998</v>
      </c>
      <c r="E257" s="39">
        <v>2988.7482789367814</v>
      </c>
      <c r="F257" s="39">
        <v>2275.7610720000002</v>
      </c>
      <c r="G257" s="39">
        <v>2266.0374215755396</v>
      </c>
      <c r="H257" s="40">
        <v>-7.0521429118390322E-2</v>
      </c>
      <c r="I257" s="40">
        <v>-4.2727026769621146E-3</v>
      </c>
      <c r="J257" s="40">
        <v>-4.3065808764066515E-2</v>
      </c>
    </row>
    <row r="258" spans="1:10" ht="11.25" customHeight="1" x14ac:dyDescent="0.2">
      <c r="A258" s="49">
        <v>44470</v>
      </c>
      <c r="B258" s="39">
        <v>0</v>
      </c>
      <c r="C258" s="39">
        <v>0</v>
      </c>
      <c r="D258" s="39">
        <v>3301.16698</v>
      </c>
      <c r="E258" s="39">
        <v>3068.3639668119595</v>
      </c>
      <c r="F258" s="39">
        <v>2336.3838700000001</v>
      </c>
      <c r="G258" s="39">
        <v>2326.4011963842404</v>
      </c>
      <c r="H258" s="40">
        <v>-7.0521429118390322E-2</v>
      </c>
      <c r="I258" s="40">
        <v>-4.2727026769620036E-3</v>
      </c>
      <c r="J258" s="40">
        <v>-4.3065808764066404E-2</v>
      </c>
    </row>
    <row r="259" spans="1:10" ht="11.25" customHeight="1" x14ac:dyDescent="0.2">
      <c r="A259" s="49">
        <v>44501</v>
      </c>
      <c r="B259" s="39">
        <v>0</v>
      </c>
      <c r="C259" s="39">
        <v>0</v>
      </c>
      <c r="D259" s="39">
        <v>3520.9311760000001</v>
      </c>
      <c r="E259" s="39">
        <v>3272.6300776409853</v>
      </c>
      <c r="F259" s="39">
        <v>2491.9208440000002</v>
      </c>
      <c r="G259" s="39">
        <v>2481.2736071390636</v>
      </c>
      <c r="H259" s="40">
        <v>-7.0521429118390322E-2</v>
      </c>
      <c r="I259" s="40">
        <v>-4.2727026769621146E-3</v>
      </c>
      <c r="J259" s="40">
        <v>-4.3065808764066515E-2</v>
      </c>
    </row>
    <row r="260" spans="1:10" ht="11.25" customHeight="1" x14ac:dyDescent="0.2">
      <c r="A260" s="49">
        <v>44531</v>
      </c>
      <c r="B260" s="39">
        <v>0</v>
      </c>
      <c r="C260" s="39">
        <v>0</v>
      </c>
      <c r="D260" s="39">
        <v>3707.8526199999997</v>
      </c>
      <c r="E260" s="39">
        <v>3446.3695542772321</v>
      </c>
      <c r="F260" s="39">
        <v>2624.2135300000004</v>
      </c>
      <c r="G260" s="39">
        <v>2613.0010458254492</v>
      </c>
      <c r="H260" s="40">
        <v>-7.0521429118390211E-2</v>
      </c>
      <c r="I260" s="40">
        <v>-4.2727026769621146E-3</v>
      </c>
      <c r="J260" s="40">
        <v>-4.3065808764066627E-2</v>
      </c>
    </row>
    <row r="261" spans="1:10" ht="11.25" customHeight="1" x14ac:dyDescent="0.2">
      <c r="A261" s="49">
        <v>44562</v>
      </c>
      <c r="B261" s="39">
        <v>0</v>
      </c>
      <c r="C261" s="39">
        <v>0</v>
      </c>
      <c r="D261" s="39">
        <v>3929.5839599999995</v>
      </c>
      <c r="E261" s="39">
        <v>3652.4640833000963</v>
      </c>
      <c r="F261" s="39">
        <v>2781.1427400000002</v>
      </c>
      <c r="G261" s="39">
        <v>2769.2597439697888</v>
      </c>
      <c r="H261" s="40">
        <v>-7.0521429118390211E-2</v>
      </c>
      <c r="I261" s="40">
        <v>-4.2727026769620036E-3</v>
      </c>
      <c r="J261" s="40">
        <v>-4.3065808764066404E-2</v>
      </c>
    </row>
    <row r="262" spans="1:10" ht="11.25" customHeight="1" x14ac:dyDescent="0.2">
      <c r="A262" s="49">
        <v>44593</v>
      </c>
      <c r="B262" s="39">
        <v>0</v>
      </c>
      <c r="C262" s="39">
        <v>0</v>
      </c>
      <c r="D262" s="39">
        <v>4055.9515799999995</v>
      </c>
      <c r="E262" s="39">
        <v>3769.920078143407</v>
      </c>
      <c r="F262" s="39">
        <v>2870.5787700000001</v>
      </c>
      <c r="G262" s="39">
        <v>2858.313640404991</v>
      </c>
      <c r="H262" s="40">
        <v>-7.05214291183901E-2</v>
      </c>
      <c r="I262" s="40">
        <v>-4.2727026769618925E-3</v>
      </c>
      <c r="J262" s="40">
        <v>-4.3065808764066404E-2</v>
      </c>
    </row>
    <row r="263" spans="1:10" ht="11.25" customHeight="1" x14ac:dyDescent="0.2">
      <c r="A263" s="49">
        <v>44621</v>
      </c>
      <c r="B263" s="39">
        <v>0</v>
      </c>
      <c r="C263" s="39">
        <v>0</v>
      </c>
      <c r="D263" s="39">
        <v>4130.3609400000005</v>
      </c>
      <c r="E263" s="39">
        <v>3839.081983736422</v>
      </c>
      <c r="F263" s="39">
        <v>2923.2416100000005</v>
      </c>
      <c r="G263" s="39">
        <v>2910.7514677475465</v>
      </c>
      <c r="H263" s="40">
        <v>-7.0521429118390433E-2</v>
      </c>
      <c r="I263" s="40">
        <v>-4.2727026769621146E-3</v>
      </c>
      <c r="J263" s="40">
        <v>-4.3065808764066738E-2</v>
      </c>
    </row>
    <row r="264" spans="1:10" ht="11.25" customHeight="1" x14ac:dyDescent="0.2">
      <c r="A264" s="49">
        <v>44652</v>
      </c>
      <c r="B264" s="39">
        <v>0</v>
      </c>
      <c r="C264" s="39">
        <v>0</v>
      </c>
      <c r="D264" s="39">
        <v>8584.1887759999991</v>
      </c>
      <c r="E264" s="39">
        <v>7978.8195156944348</v>
      </c>
      <c r="F264" s="39">
        <v>6075.4152440000007</v>
      </c>
      <c r="G264" s="39">
        <v>6049.4568010233061</v>
      </c>
      <c r="H264" s="40">
        <v>-7.05214291183901E-2</v>
      </c>
      <c r="I264" s="40">
        <v>-4.2727026769620036E-3</v>
      </c>
      <c r="J264" s="40">
        <v>-4.3065808764066404E-2</v>
      </c>
    </row>
    <row r="265" spans="1:10" ht="11.25" customHeight="1" x14ac:dyDescent="0.2">
      <c r="A265" s="49">
        <v>44682</v>
      </c>
      <c r="B265" s="39">
        <v>0</v>
      </c>
      <c r="C265" s="39">
        <v>0</v>
      </c>
      <c r="D265" s="39">
        <v>8520.0427760000002</v>
      </c>
      <c r="E265" s="39">
        <v>7919.1971832866639</v>
      </c>
      <c r="F265" s="39">
        <v>6030.0162440000004</v>
      </c>
      <c r="G265" s="39">
        <v>6004.2517774521375</v>
      </c>
      <c r="H265" s="40">
        <v>-7.0521429118390211E-2</v>
      </c>
      <c r="I265" s="40">
        <v>-4.2727026769620036E-3</v>
      </c>
      <c r="J265" s="40">
        <v>-4.3065808764066293E-2</v>
      </c>
    </row>
    <row r="266" spans="1:10" ht="11.25" customHeight="1" x14ac:dyDescent="0.2">
      <c r="A266" s="49">
        <v>44713</v>
      </c>
      <c r="B266" s="39">
        <v>0</v>
      </c>
      <c r="C266" s="39">
        <v>0</v>
      </c>
      <c r="D266" s="39">
        <v>8605.2286640000002</v>
      </c>
      <c r="E266" s="39">
        <v>7998.3756407241844</v>
      </c>
      <c r="F266" s="39">
        <v>6090.3061160000007</v>
      </c>
      <c r="G266" s="39">
        <v>6064.28404875465</v>
      </c>
      <c r="H266" s="40">
        <v>-7.0521429118390211E-2</v>
      </c>
      <c r="I266" s="40">
        <v>-4.2727026769618925E-3</v>
      </c>
      <c r="J266" s="40">
        <v>-4.3065808764066404E-2</v>
      </c>
    </row>
    <row r="267" spans="1:10" ht="11.25" customHeight="1" x14ac:dyDescent="0.2">
      <c r="A267" s="45" t="s">
        <v>31</v>
      </c>
      <c r="B267" s="39">
        <v>0</v>
      </c>
      <c r="C267" s="39">
        <v>0</v>
      </c>
      <c r="D267" s="39">
        <v>62679.556058000002</v>
      </c>
      <c r="E267" s="39">
        <v>58257.487785459234</v>
      </c>
      <c r="F267" s="39">
        <v>44360.725900000005</v>
      </c>
      <c r="G267" s="39">
        <v>44170.212774089203</v>
      </c>
      <c r="H267" s="40">
        <v>-7.0550408309351331E-2</v>
      </c>
      <c r="I267" s="40">
        <v>-4.2946349962861285E-3</v>
      </c>
      <c r="J267" s="40">
        <v>-4.3092014651656574E-2</v>
      </c>
    </row>
    <row r="268" spans="1:10" ht="11.25" customHeight="1" x14ac:dyDescent="0.2">
      <c r="A268" s="46" t="s">
        <v>25</v>
      </c>
      <c r="B268" s="39">
        <v>0</v>
      </c>
      <c r="C268" s="39">
        <v>0</v>
      </c>
      <c r="D268" s="39">
        <v>62679.556058000002</v>
      </c>
      <c r="E268" s="39">
        <v>58257.487785459234</v>
      </c>
      <c r="F268" s="39">
        <v>44360.725900000005</v>
      </c>
      <c r="G268" s="39">
        <v>44170.212774089203</v>
      </c>
      <c r="H268" s="40">
        <v>-7.0550408309351331E-2</v>
      </c>
      <c r="I268" s="40">
        <v>-4.2946349962861285E-3</v>
      </c>
      <c r="J268" s="40">
        <v>-4.3092014651656574E-2</v>
      </c>
    </row>
    <row r="269" spans="1:10" ht="11.25" customHeight="1" x14ac:dyDescent="0.2">
      <c r="A269" s="47" t="s">
        <v>25</v>
      </c>
      <c r="B269" s="39">
        <v>0</v>
      </c>
      <c r="C269" s="39">
        <v>0</v>
      </c>
      <c r="D269" s="39">
        <v>62679.556058000002</v>
      </c>
      <c r="E269" s="39">
        <v>58257.487785459234</v>
      </c>
      <c r="F269" s="39">
        <v>44360.725900000005</v>
      </c>
      <c r="G269" s="39">
        <v>44170.212774089203</v>
      </c>
      <c r="H269" s="40">
        <v>-7.0550408309351331E-2</v>
      </c>
      <c r="I269" s="40">
        <v>-4.2946349962861285E-3</v>
      </c>
      <c r="J269" s="40">
        <v>-4.3092014651656574E-2</v>
      </c>
    </row>
    <row r="270" spans="1:10" ht="11.25" customHeight="1" x14ac:dyDescent="0.2">
      <c r="A270" s="48" t="s">
        <v>25</v>
      </c>
      <c r="B270" s="39">
        <v>0</v>
      </c>
      <c r="C270" s="39">
        <v>0</v>
      </c>
      <c r="D270" s="39">
        <v>62679.556058000002</v>
      </c>
      <c r="E270" s="39">
        <v>58257.487785459234</v>
      </c>
      <c r="F270" s="39">
        <v>44360.725900000005</v>
      </c>
      <c r="G270" s="39">
        <v>44170.212774089203</v>
      </c>
      <c r="H270" s="40">
        <v>-7.0550408309351331E-2</v>
      </c>
      <c r="I270" s="40">
        <v>-4.2946349962861285E-3</v>
      </c>
      <c r="J270" s="40">
        <v>-4.3092014651656574E-2</v>
      </c>
    </row>
    <row r="271" spans="1:10" ht="11.25" customHeight="1" x14ac:dyDescent="0.2">
      <c r="A271" s="49">
        <v>44378</v>
      </c>
      <c r="B271" s="39">
        <v>0</v>
      </c>
      <c r="C271" s="39">
        <v>0</v>
      </c>
      <c r="D271" s="39">
        <v>2687.4804599999998</v>
      </c>
      <c r="E271" s="39">
        <v>2497.8776162235968</v>
      </c>
      <c r="F271" s="39">
        <v>1902.0329999999999</v>
      </c>
      <c r="G271" s="39">
        <v>1893.8644625141087</v>
      </c>
      <c r="H271" s="40">
        <v>-7.055040830935122E-2</v>
      </c>
      <c r="I271" s="40">
        <v>-4.2946349962861285E-3</v>
      </c>
      <c r="J271" s="40">
        <v>-4.3092014651656574E-2</v>
      </c>
    </row>
    <row r="272" spans="1:10" ht="11.25" customHeight="1" x14ac:dyDescent="0.2">
      <c r="A272" s="49">
        <v>44409</v>
      </c>
      <c r="B272" s="39">
        <v>0</v>
      </c>
      <c r="C272" s="39">
        <v>0</v>
      </c>
      <c r="D272" s="39">
        <v>2965.2412999999997</v>
      </c>
      <c r="E272" s="39">
        <v>2756.0423155492485</v>
      </c>
      <c r="F272" s="39">
        <v>2098.6149999999998</v>
      </c>
      <c r="G272" s="39">
        <v>2089.6022145772686</v>
      </c>
      <c r="H272" s="40">
        <v>-7.0550408309351109E-2</v>
      </c>
      <c r="I272" s="40">
        <v>-4.2946349962862396E-3</v>
      </c>
      <c r="J272" s="40">
        <v>-4.3092014651656241E-2</v>
      </c>
    </row>
    <row r="273" spans="1:10" ht="11.25" customHeight="1" x14ac:dyDescent="0.2">
      <c r="A273" s="49">
        <v>44440</v>
      </c>
      <c r="B273" s="39">
        <v>0</v>
      </c>
      <c r="C273" s="39">
        <v>0</v>
      </c>
      <c r="D273" s="39">
        <v>3362.3174200000003</v>
      </c>
      <c r="E273" s="39">
        <v>3125.1045531533559</v>
      </c>
      <c r="F273" s="39">
        <v>2379.6410000000001</v>
      </c>
      <c r="G273" s="39">
        <v>2369.4213104828027</v>
      </c>
      <c r="H273" s="40">
        <v>-7.055040830935122E-2</v>
      </c>
      <c r="I273" s="40">
        <v>-4.2946349962861285E-3</v>
      </c>
      <c r="J273" s="40">
        <v>-4.3092014651656463E-2</v>
      </c>
    </row>
    <row r="274" spans="1:10" ht="11.25" customHeight="1" x14ac:dyDescent="0.2">
      <c r="A274" s="49">
        <v>44470</v>
      </c>
      <c r="B274" s="39">
        <v>0</v>
      </c>
      <c r="C274" s="39">
        <v>0</v>
      </c>
      <c r="D274" s="39">
        <v>3327.3567600000001</v>
      </c>
      <c r="E274" s="39">
        <v>3092.6103819911204</v>
      </c>
      <c r="F274" s="39">
        <v>2354.8980000000001</v>
      </c>
      <c r="G274" s="39">
        <v>2344.7845726365158</v>
      </c>
      <c r="H274" s="40">
        <v>-7.0550408309351109E-2</v>
      </c>
      <c r="I274" s="40">
        <v>-4.2946349962861285E-3</v>
      </c>
      <c r="J274" s="40">
        <v>-4.3092014651656241E-2</v>
      </c>
    </row>
    <row r="275" spans="1:10" ht="11.25" customHeight="1" x14ac:dyDescent="0.2">
      <c r="A275" s="49">
        <v>44501</v>
      </c>
      <c r="B275" s="39">
        <v>0</v>
      </c>
      <c r="C275" s="39">
        <v>0</v>
      </c>
      <c r="D275" s="39">
        <v>4065.7002400000001</v>
      </c>
      <c r="E275" s="39">
        <v>3778.8634280045731</v>
      </c>
      <c r="F275" s="39">
        <v>2877.4520000000002</v>
      </c>
      <c r="G275" s="39">
        <v>2865.0943939406666</v>
      </c>
      <c r="H275" s="40">
        <v>-7.055040830935122E-2</v>
      </c>
      <c r="I275" s="40">
        <v>-4.2946349962861285E-3</v>
      </c>
      <c r="J275" s="40">
        <v>-4.3092014651656352E-2</v>
      </c>
    </row>
    <row r="276" spans="1:10" ht="11.25" customHeight="1" x14ac:dyDescent="0.2">
      <c r="A276" s="49">
        <v>44531</v>
      </c>
      <c r="B276" s="39">
        <v>0</v>
      </c>
      <c r="C276" s="39">
        <v>0</v>
      </c>
      <c r="D276" s="39">
        <v>4228.6361600000009</v>
      </c>
      <c r="E276" s="39">
        <v>3930.3041523203128</v>
      </c>
      <c r="F276" s="39">
        <v>2992.768</v>
      </c>
      <c r="G276" s="39">
        <v>2979.9151538114347</v>
      </c>
      <c r="H276" s="40">
        <v>-7.0550408309351442E-2</v>
      </c>
      <c r="I276" s="40">
        <v>-4.2946349962861285E-3</v>
      </c>
      <c r="J276" s="40">
        <v>-4.3092014651656574E-2</v>
      </c>
    </row>
    <row r="277" spans="1:10" ht="11.25" customHeight="1" x14ac:dyDescent="0.2">
      <c r="A277" s="49">
        <v>44562</v>
      </c>
      <c r="B277" s="39">
        <v>0</v>
      </c>
      <c r="C277" s="39">
        <v>0</v>
      </c>
      <c r="D277" s="39">
        <v>5482.7295599999998</v>
      </c>
      <c r="E277" s="39">
        <v>5095.9207508922509</v>
      </c>
      <c r="F277" s="39">
        <v>3880.3379999999997</v>
      </c>
      <c r="G277" s="39">
        <v>3863.6733646277808</v>
      </c>
      <c r="H277" s="40">
        <v>-7.0550408309351109E-2</v>
      </c>
      <c r="I277" s="40">
        <v>-4.2946349962861285E-3</v>
      </c>
      <c r="J277" s="40">
        <v>-4.3092014651656352E-2</v>
      </c>
    </row>
    <row r="278" spans="1:10" ht="11.25" customHeight="1" x14ac:dyDescent="0.2">
      <c r="A278" s="49">
        <v>44593</v>
      </c>
      <c r="B278" s="39">
        <v>0</v>
      </c>
      <c r="C278" s="39">
        <v>0</v>
      </c>
      <c r="D278" s="39">
        <v>6056.5334200000007</v>
      </c>
      <c r="E278" s="39">
        <v>5629.2425142797692</v>
      </c>
      <c r="F278" s="39">
        <v>4286.4410000000007</v>
      </c>
      <c r="G278" s="39">
        <v>4268.0323004718839</v>
      </c>
      <c r="H278" s="40">
        <v>-7.055040830935122E-2</v>
      </c>
      <c r="I278" s="40">
        <v>-4.2946349962863506E-3</v>
      </c>
      <c r="J278" s="40">
        <v>-4.3092014651656463E-2</v>
      </c>
    </row>
    <row r="279" spans="1:10" ht="11.25" customHeight="1" x14ac:dyDescent="0.2">
      <c r="A279" s="49">
        <v>44621</v>
      </c>
      <c r="B279" s="39">
        <v>0</v>
      </c>
      <c r="C279" s="39">
        <v>0</v>
      </c>
      <c r="D279" s="39">
        <v>5817.8387119999998</v>
      </c>
      <c r="E279" s="39">
        <v>5407.3878153904498</v>
      </c>
      <c r="F279" s="39">
        <v>4117.5075999999999</v>
      </c>
      <c r="G279" s="39">
        <v>4099.8244077635654</v>
      </c>
      <c r="H279" s="40">
        <v>-7.055040830935122E-2</v>
      </c>
      <c r="I279" s="40">
        <v>-4.2946349962862396E-3</v>
      </c>
      <c r="J279" s="40">
        <v>-4.3092014651656352E-2</v>
      </c>
    </row>
    <row r="280" spans="1:10" ht="11.25" customHeight="1" x14ac:dyDescent="0.2">
      <c r="A280" s="49">
        <v>44652</v>
      </c>
      <c r="B280" s="39">
        <v>0</v>
      </c>
      <c r="C280" s="39">
        <v>0</v>
      </c>
      <c r="D280" s="39">
        <v>9016.6428799999994</v>
      </c>
      <c r="E280" s="39">
        <v>8380.5150432363953</v>
      </c>
      <c r="F280" s="39">
        <v>6381.424</v>
      </c>
      <c r="G280" s="39">
        <v>6354.018113163459</v>
      </c>
      <c r="H280" s="40">
        <v>-7.055040830935122E-2</v>
      </c>
      <c r="I280" s="40">
        <v>-4.2946349962862396E-3</v>
      </c>
      <c r="J280" s="40">
        <v>-4.3092014651656241E-2</v>
      </c>
    </row>
    <row r="281" spans="1:10" ht="11.25" customHeight="1" x14ac:dyDescent="0.2">
      <c r="A281" s="49">
        <v>44682</v>
      </c>
      <c r="B281" s="39">
        <v>0</v>
      </c>
      <c r="C281" s="39">
        <v>0</v>
      </c>
      <c r="D281" s="39">
        <v>8017.1849659999998</v>
      </c>
      <c r="E281" s="39">
        <v>7451.5692931571075</v>
      </c>
      <c r="F281" s="39">
        <v>5674.0693000000001</v>
      </c>
      <c r="G281" s="39">
        <v>5649.7012434128665</v>
      </c>
      <c r="H281" s="40">
        <v>-7.055040830935122E-2</v>
      </c>
      <c r="I281" s="40">
        <v>-4.2946349962862396E-3</v>
      </c>
      <c r="J281" s="40">
        <v>-4.3092014651656574E-2</v>
      </c>
    </row>
    <row r="282" spans="1:10" ht="11.25" customHeight="1" x14ac:dyDescent="0.2">
      <c r="A282" s="49">
        <v>44713</v>
      </c>
      <c r="B282" s="39">
        <v>0</v>
      </c>
      <c r="C282" s="39">
        <v>0</v>
      </c>
      <c r="D282" s="39">
        <v>7651.8941800000002</v>
      </c>
      <c r="E282" s="39">
        <v>7112.0499212610521</v>
      </c>
      <c r="F282" s="39">
        <v>5415.5389999999998</v>
      </c>
      <c r="G282" s="39">
        <v>5392.2812366868475</v>
      </c>
      <c r="H282" s="40">
        <v>-7.055040830935122E-2</v>
      </c>
      <c r="I282" s="40">
        <v>-4.2946349962861285E-3</v>
      </c>
      <c r="J282" s="40">
        <v>-4.3092014651656352E-2</v>
      </c>
    </row>
    <row r="283" spans="1:10" ht="11.25" customHeight="1" x14ac:dyDescent="0.2">
      <c r="A283" s="45" t="s">
        <v>32</v>
      </c>
      <c r="B283" s="39">
        <v>0</v>
      </c>
      <c r="C283" s="39">
        <v>0</v>
      </c>
      <c r="D283" s="39">
        <v>20071.11477</v>
      </c>
      <c r="E283" s="39">
        <v>18655.496575211735</v>
      </c>
      <c r="F283" s="39">
        <v>14205.28262</v>
      </c>
      <c r="G283" s="39">
        <v>14144.400736398815</v>
      </c>
      <c r="H283" s="40">
        <v>-7.0530123065419614E-2</v>
      </c>
      <c r="I283" s="40">
        <v>-4.2858621844994449E-3</v>
      </c>
      <c r="J283" s="40">
        <v>-4.3076291291342272E-2</v>
      </c>
    </row>
    <row r="284" spans="1:10" ht="11.25" customHeight="1" x14ac:dyDescent="0.2">
      <c r="A284" s="46" t="s">
        <v>25</v>
      </c>
      <c r="B284" s="39">
        <v>0</v>
      </c>
      <c r="C284" s="39">
        <v>0</v>
      </c>
      <c r="D284" s="39">
        <v>20071.11477</v>
      </c>
      <c r="E284" s="39">
        <v>18655.496575211735</v>
      </c>
      <c r="F284" s="39">
        <v>14205.28262</v>
      </c>
      <c r="G284" s="39">
        <v>14144.400736398815</v>
      </c>
      <c r="H284" s="40">
        <v>-7.0530123065419614E-2</v>
      </c>
      <c r="I284" s="40">
        <v>-4.2858621844994449E-3</v>
      </c>
      <c r="J284" s="40">
        <v>-4.3076291291342272E-2</v>
      </c>
    </row>
    <row r="285" spans="1:10" ht="11.25" customHeight="1" x14ac:dyDescent="0.2">
      <c r="A285" s="47" t="s">
        <v>25</v>
      </c>
      <c r="B285" s="39">
        <v>0</v>
      </c>
      <c r="C285" s="39">
        <v>0</v>
      </c>
      <c r="D285" s="39">
        <v>20071.11477</v>
      </c>
      <c r="E285" s="39">
        <v>18655.496575211735</v>
      </c>
      <c r="F285" s="39">
        <v>14205.28262</v>
      </c>
      <c r="G285" s="39">
        <v>14144.400736398815</v>
      </c>
      <c r="H285" s="40">
        <v>-7.0530123065419614E-2</v>
      </c>
      <c r="I285" s="40">
        <v>-4.2858621844994449E-3</v>
      </c>
      <c r="J285" s="40">
        <v>-4.3076291291342272E-2</v>
      </c>
    </row>
    <row r="286" spans="1:10" ht="11.25" customHeight="1" x14ac:dyDescent="0.2">
      <c r="A286" s="48" t="s">
        <v>25</v>
      </c>
      <c r="B286" s="39">
        <v>0</v>
      </c>
      <c r="C286" s="39">
        <v>0</v>
      </c>
      <c r="D286" s="39">
        <v>20071.11477</v>
      </c>
      <c r="E286" s="39">
        <v>18655.496575211735</v>
      </c>
      <c r="F286" s="39">
        <v>14205.28262</v>
      </c>
      <c r="G286" s="39">
        <v>14144.400736398815</v>
      </c>
      <c r="H286" s="40">
        <v>-7.0530123065419614E-2</v>
      </c>
      <c r="I286" s="40">
        <v>-4.2858621844994449E-3</v>
      </c>
      <c r="J286" s="40">
        <v>-4.3076291291342272E-2</v>
      </c>
    </row>
    <row r="287" spans="1:10" ht="11.25" customHeight="1" x14ac:dyDescent="0.2">
      <c r="A287" s="49">
        <v>44378</v>
      </c>
      <c r="B287" s="39">
        <v>0</v>
      </c>
      <c r="C287" s="39">
        <v>0</v>
      </c>
      <c r="D287" s="39">
        <v>434.77139999999997</v>
      </c>
      <c r="E287" s="39">
        <v>404.10691965267512</v>
      </c>
      <c r="F287" s="39">
        <v>307.70839999999998</v>
      </c>
      <c r="G287" s="39">
        <v>306.38960420458722</v>
      </c>
      <c r="H287" s="40">
        <v>-7.0530123065419836E-2</v>
      </c>
      <c r="I287" s="40">
        <v>-4.2858621844992228E-3</v>
      </c>
      <c r="J287" s="40">
        <v>-4.3076291291342383E-2</v>
      </c>
    </row>
    <row r="288" spans="1:10" ht="11.25" customHeight="1" x14ac:dyDescent="0.2">
      <c r="A288" s="49">
        <v>44409</v>
      </c>
      <c r="B288" s="39">
        <v>0</v>
      </c>
      <c r="C288" s="39">
        <v>0</v>
      </c>
      <c r="D288" s="39">
        <v>585.15953999999999</v>
      </c>
      <c r="E288" s="39">
        <v>543.88816563089551</v>
      </c>
      <c r="F288" s="39">
        <v>414.14524</v>
      </c>
      <c r="G288" s="39">
        <v>412.37027057699356</v>
      </c>
      <c r="H288" s="40">
        <v>-7.0530123065419836E-2</v>
      </c>
      <c r="I288" s="40">
        <v>-4.2858621844994449E-3</v>
      </c>
      <c r="J288" s="40">
        <v>-4.3076291291342383E-2</v>
      </c>
    </row>
    <row r="289" spans="1:10" ht="11.25" customHeight="1" x14ac:dyDescent="0.2">
      <c r="A289" s="49">
        <v>44440</v>
      </c>
      <c r="B289" s="39">
        <v>0</v>
      </c>
      <c r="C289" s="39">
        <v>0</v>
      </c>
      <c r="D289" s="39">
        <v>803.97071999999991</v>
      </c>
      <c r="E289" s="39">
        <v>747.26656617740571</v>
      </c>
      <c r="F289" s="39">
        <v>569.00831999999991</v>
      </c>
      <c r="G289" s="39">
        <v>566.56962875864645</v>
      </c>
      <c r="H289" s="40">
        <v>-7.0530123065419836E-2</v>
      </c>
      <c r="I289" s="40">
        <v>-4.2858621844993339E-3</v>
      </c>
      <c r="J289" s="40">
        <v>-4.3076291291342383E-2</v>
      </c>
    </row>
    <row r="290" spans="1:10" ht="11.25" customHeight="1" x14ac:dyDescent="0.2">
      <c r="A290" s="49">
        <v>44470</v>
      </c>
      <c r="B290" s="39">
        <v>0</v>
      </c>
      <c r="C290" s="39">
        <v>0</v>
      </c>
      <c r="D290" s="39">
        <v>657.14628000000005</v>
      </c>
      <c r="E290" s="39">
        <v>610.79767199961725</v>
      </c>
      <c r="F290" s="39">
        <v>465.09368000000001</v>
      </c>
      <c r="G290" s="39">
        <v>463.10035258463842</v>
      </c>
      <c r="H290" s="40">
        <v>-7.0530123065419725E-2</v>
      </c>
      <c r="I290" s="40">
        <v>-4.2858621844992228E-3</v>
      </c>
      <c r="J290" s="40">
        <v>-4.3076291291342494E-2</v>
      </c>
    </row>
    <row r="291" spans="1:10" ht="11.25" customHeight="1" x14ac:dyDescent="0.2">
      <c r="A291" s="49">
        <v>44501</v>
      </c>
      <c r="B291" s="39">
        <v>0</v>
      </c>
      <c r="C291" s="39">
        <v>0</v>
      </c>
      <c r="D291" s="39">
        <v>1269.0335700000001</v>
      </c>
      <c r="E291" s="39">
        <v>1179.5284761337509</v>
      </c>
      <c r="F291" s="39">
        <v>898.15541999999994</v>
      </c>
      <c r="G291" s="39">
        <v>894.3060496496189</v>
      </c>
      <c r="H291" s="40">
        <v>-7.0530123065419836E-2</v>
      </c>
      <c r="I291" s="40">
        <v>-4.2858621844992228E-3</v>
      </c>
      <c r="J291" s="40">
        <v>-4.3076291291342494E-2</v>
      </c>
    </row>
    <row r="292" spans="1:10" ht="11.25" customHeight="1" x14ac:dyDescent="0.2">
      <c r="A292" s="49">
        <v>44531</v>
      </c>
      <c r="B292" s="39">
        <v>0</v>
      </c>
      <c r="C292" s="39">
        <v>0</v>
      </c>
      <c r="D292" s="39">
        <v>1450.06953</v>
      </c>
      <c r="E292" s="39">
        <v>1347.7959475956845</v>
      </c>
      <c r="F292" s="39">
        <v>1026.2831799999999</v>
      </c>
      <c r="G292" s="39">
        <v>1021.8846717282503</v>
      </c>
      <c r="H292" s="40">
        <v>-7.0530123065419836E-2</v>
      </c>
      <c r="I292" s="40">
        <v>-4.2858621844992228E-3</v>
      </c>
      <c r="J292" s="40">
        <v>-4.3076291291342383E-2</v>
      </c>
    </row>
    <row r="293" spans="1:10" ht="11.25" customHeight="1" x14ac:dyDescent="0.2">
      <c r="A293" s="49">
        <v>44562</v>
      </c>
      <c r="B293" s="39">
        <v>0</v>
      </c>
      <c r="C293" s="39">
        <v>0</v>
      </c>
      <c r="D293" s="39">
        <v>2995.6462200000005</v>
      </c>
      <c r="E293" s="39">
        <v>2784.3629234429409</v>
      </c>
      <c r="F293" s="39">
        <v>2120.1613200000002</v>
      </c>
      <c r="G293" s="39">
        <v>2111.0746007735738</v>
      </c>
      <c r="H293" s="40">
        <v>-7.0530123065419836E-2</v>
      </c>
      <c r="I293" s="40">
        <v>-4.2858621844994449E-3</v>
      </c>
      <c r="J293" s="40">
        <v>-4.3076291291342383E-2</v>
      </c>
    </row>
    <row r="294" spans="1:10" ht="11.25" customHeight="1" x14ac:dyDescent="0.2">
      <c r="A294" s="49">
        <v>44593</v>
      </c>
      <c r="B294" s="39">
        <v>0</v>
      </c>
      <c r="C294" s="39">
        <v>0</v>
      </c>
      <c r="D294" s="39">
        <v>3227.99946</v>
      </c>
      <c r="E294" s="39">
        <v>3000.328260831091</v>
      </c>
      <c r="F294" s="39">
        <v>2284.6087600000001</v>
      </c>
      <c r="G294" s="39">
        <v>2274.81724170914</v>
      </c>
      <c r="H294" s="40">
        <v>-7.0530123065419947E-2</v>
      </c>
      <c r="I294" s="40">
        <v>-4.2858621844993339E-3</v>
      </c>
      <c r="J294" s="40">
        <v>-4.3076291291342494E-2</v>
      </c>
    </row>
    <row r="295" spans="1:10" ht="11.25" customHeight="1" x14ac:dyDescent="0.2">
      <c r="A295" s="49">
        <v>44621</v>
      </c>
      <c r="B295" s="39">
        <v>0</v>
      </c>
      <c r="C295" s="39">
        <v>0</v>
      </c>
      <c r="D295" s="39">
        <v>2056.9676400000003</v>
      </c>
      <c r="E295" s="39">
        <v>1911.889459209214</v>
      </c>
      <c r="F295" s="39">
        <v>1455.81384</v>
      </c>
      <c r="G295" s="39">
        <v>1449.5744225154733</v>
      </c>
      <c r="H295" s="40">
        <v>-7.0530123065419836E-2</v>
      </c>
      <c r="I295" s="40">
        <v>-4.2858621844993339E-3</v>
      </c>
      <c r="J295" s="40">
        <v>-4.3076291291342494E-2</v>
      </c>
    </row>
    <row r="296" spans="1:10" ht="11.25" customHeight="1" x14ac:dyDescent="0.2">
      <c r="A296" s="49">
        <v>44652</v>
      </c>
      <c r="B296" s="39">
        <v>0</v>
      </c>
      <c r="C296" s="39">
        <v>0</v>
      </c>
      <c r="D296" s="39">
        <v>2508.4884299999999</v>
      </c>
      <c r="E296" s="39">
        <v>2331.564432323918</v>
      </c>
      <c r="F296" s="39">
        <v>1775.3765799999999</v>
      </c>
      <c r="G296" s="39">
        <v>1767.7675606525322</v>
      </c>
      <c r="H296" s="40">
        <v>-7.0530123065419836E-2</v>
      </c>
      <c r="I296" s="40">
        <v>-4.2858621844993339E-3</v>
      </c>
      <c r="J296" s="40">
        <v>-4.3076291291342383E-2</v>
      </c>
    </row>
    <row r="297" spans="1:10" ht="11.25" customHeight="1" x14ac:dyDescent="0.2">
      <c r="A297" s="49">
        <v>44682</v>
      </c>
      <c r="B297" s="39">
        <v>0</v>
      </c>
      <c r="C297" s="39">
        <v>0</v>
      </c>
      <c r="D297" s="39">
        <v>1996.38474</v>
      </c>
      <c r="E297" s="39">
        <v>1855.5794786018737</v>
      </c>
      <c r="F297" s="39">
        <v>1412.9364399999999</v>
      </c>
      <c r="G297" s="39">
        <v>1406.880789142703</v>
      </c>
      <c r="H297" s="40">
        <v>-7.0530123065419836E-2</v>
      </c>
      <c r="I297" s="40">
        <v>-4.2858621844992228E-3</v>
      </c>
      <c r="J297" s="40">
        <v>-4.3076291291342494E-2</v>
      </c>
    </row>
    <row r="298" spans="1:10" ht="11.25" customHeight="1" x14ac:dyDescent="0.2">
      <c r="A298" s="49">
        <v>44713</v>
      </c>
      <c r="B298" s="39">
        <v>0</v>
      </c>
      <c r="C298" s="39">
        <v>0</v>
      </c>
      <c r="D298" s="39">
        <v>2085.4772400000002</v>
      </c>
      <c r="E298" s="39">
        <v>1938.3882736126679</v>
      </c>
      <c r="F298" s="39">
        <v>1475.99144</v>
      </c>
      <c r="G298" s="39">
        <v>1469.6655441026594</v>
      </c>
      <c r="H298" s="40">
        <v>-7.0530123065419836E-2</v>
      </c>
      <c r="I298" s="40">
        <v>-4.2858621844992228E-3</v>
      </c>
      <c r="J298" s="40">
        <v>-4.3076291291342272E-2</v>
      </c>
    </row>
    <row r="299" spans="1:10" ht="11.25" customHeight="1" x14ac:dyDescent="0.2">
      <c r="A299" s="42" t="s">
        <v>40</v>
      </c>
      <c r="B299" s="39">
        <v>0</v>
      </c>
      <c r="C299" s="39">
        <v>0</v>
      </c>
      <c r="D299" s="39">
        <v>17714149.670931999</v>
      </c>
      <c r="E299" s="39">
        <v>19227384.521932326</v>
      </c>
      <c r="F299" s="39">
        <v>10494402.020392001</v>
      </c>
      <c r="G299" s="39">
        <v>11161563.376166662</v>
      </c>
      <c r="H299" s="40">
        <v>8.542520409452492E-2</v>
      </c>
      <c r="I299" s="40">
        <v>6.3573070145233501E-2</v>
      </c>
      <c r="J299" s="40">
        <v>7.7295574428431379E-2</v>
      </c>
    </row>
    <row r="300" spans="1:10" ht="11.25" customHeight="1" x14ac:dyDescent="0.2">
      <c r="A300" s="43" t="s">
        <v>23</v>
      </c>
      <c r="B300" s="39">
        <v>0</v>
      </c>
      <c r="C300" s="39">
        <v>0</v>
      </c>
      <c r="D300" s="39">
        <v>17714149.670931999</v>
      </c>
      <c r="E300" s="39">
        <v>19227384.521932326</v>
      </c>
      <c r="F300" s="39">
        <v>10494402.020392001</v>
      </c>
      <c r="G300" s="39">
        <v>11161563.376166662</v>
      </c>
      <c r="H300" s="40">
        <v>8.542520409452492E-2</v>
      </c>
      <c r="I300" s="40">
        <v>6.3573070145233501E-2</v>
      </c>
      <c r="J300" s="40">
        <v>7.7295574428431379E-2</v>
      </c>
    </row>
    <row r="301" spans="1:10" ht="11.25" customHeight="1" x14ac:dyDescent="0.2">
      <c r="A301" s="44" t="s">
        <v>41</v>
      </c>
      <c r="B301" s="39">
        <v>0</v>
      </c>
      <c r="C301" s="39">
        <v>0</v>
      </c>
      <c r="D301" s="39">
        <v>17714149.670931999</v>
      </c>
      <c r="E301" s="39">
        <v>19227384.521932326</v>
      </c>
      <c r="F301" s="39">
        <v>10494402.020392001</v>
      </c>
      <c r="G301" s="39">
        <v>11161563.376166662</v>
      </c>
      <c r="H301" s="40">
        <v>8.542520409452492E-2</v>
      </c>
      <c r="I301" s="40">
        <v>6.3573070145233501E-2</v>
      </c>
      <c r="J301" s="40">
        <v>7.7295574428431379E-2</v>
      </c>
    </row>
    <row r="302" spans="1:10" ht="11.25" customHeight="1" x14ac:dyDescent="0.2">
      <c r="A302" s="45" t="s">
        <v>49</v>
      </c>
      <c r="B302" s="39">
        <v>0</v>
      </c>
      <c r="C302" s="39">
        <v>0</v>
      </c>
      <c r="D302" s="39">
        <v>517055.97715200001</v>
      </c>
      <c r="E302" s="39">
        <v>561225.58952850359</v>
      </c>
      <c r="F302" s="39">
        <v>306319.71571200009</v>
      </c>
      <c r="G302" s="39">
        <v>325793.40048582695</v>
      </c>
      <c r="H302" s="40">
        <v>8.5425204094525142E-2</v>
      </c>
      <c r="I302" s="40">
        <v>6.3573070145232835E-2</v>
      </c>
      <c r="J302" s="40">
        <v>7.7295574428431157E-2</v>
      </c>
    </row>
    <row r="303" spans="1:10" ht="11.25" customHeight="1" x14ac:dyDescent="0.2">
      <c r="A303" s="46" t="s">
        <v>50</v>
      </c>
      <c r="B303" s="39">
        <v>0</v>
      </c>
      <c r="C303" s="39">
        <v>0</v>
      </c>
      <c r="D303" s="39">
        <v>367057.39928000001</v>
      </c>
      <c r="E303" s="39">
        <v>398413.35252789943</v>
      </c>
      <c r="F303" s="39">
        <v>217455.98768000002</v>
      </c>
      <c r="G303" s="39">
        <v>231280.33243828165</v>
      </c>
      <c r="H303" s="40">
        <v>8.5425204094524698E-2</v>
      </c>
      <c r="I303" s="40">
        <v>6.3573070145233057E-2</v>
      </c>
      <c r="J303" s="40">
        <v>7.7295574428431379E-2</v>
      </c>
    </row>
    <row r="304" spans="1:10" ht="11.25" customHeight="1" x14ac:dyDescent="0.2">
      <c r="A304" s="47" t="s">
        <v>25</v>
      </c>
      <c r="B304" s="39">
        <v>0</v>
      </c>
      <c r="C304" s="39">
        <v>0</v>
      </c>
      <c r="D304" s="39">
        <v>367057.39928000001</v>
      </c>
      <c r="E304" s="39">
        <v>398413.35252789943</v>
      </c>
      <c r="F304" s="39">
        <v>217455.98768000002</v>
      </c>
      <c r="G304" s="39">
        <v>231280.33243828165</v>
      </c>
      <c r="H304" s="40">
        <v>8.5425204094524698E-2</v>
      </c>
      <c r="I304" s="40">
        <v>6.3573070145233057E-2</v>
      </c>
      <c r="J304" s="40">
        <v>7.7295574428431379E-2</v>
      </c>
    </row>
    <row r="305" spans="1:10" ht="11.25" customHeight="1" x14ac:dyDescent="0.2">
      <c r="A305" s="48" t="s">
        <v>25</v>
      </c>
      <c r="B305" s="39">
        <v>0</v>
      </c>
      <c r="C305" s="39">
        <v>0</v>
      </c>
      <c r="D305" s="39">
        <v>367057.39928000001</v>
      </c>
      <c r="E305" s="39">
        <v>398413.35252789943</v>
      </c>
      <c r="F305" s="39">
        <v>217455.98768000002</v>
      </c>
      <c r="G305" s="39">
        <v>231280.33243828165</v>
      </c>
      <c r="H305" s="40">
        <v>8.5425204094524698E-2</v>
      </c>
      <c r="I305" s="40">
        <v>6.3573070145233057E-2</v>
      </c>
      <c r="J305" s="40">
        <v>7.7295574428431379E-2</v>
      </c>
    </row>
    <row r="306" spans="1:10" ht="11.25" customHeight="1" x14ac:dyDescent="0.2">
      <c r="A306" s="49">
        <v>44378</v>
      </c>
      <c r="B306" s="39">
        <v>0</v>
      </c>
      <c r="C306" s="39">
        <v>0</v>
      </c>
      <c r="D306" s="39">
        <v>1601.2968400000002</v>
      </c>
      <c r="E306" s="39">
        <v>1738.0879493729176</v>
      </c>
      <c r="F306" s="39">
        <v>948.65704000000005</v>
      </c>
      <c r="G306" s="39">
        <v>1008.9660805476894</v>
      </c>
      <c r="H306" s="40">
        <v>8.5425204094524698E-2</v>
      </c>
      <c r="I306" s="40">
        <v>6.3573070145233279E-2</v>
      </c>
      <c r="J306" s="40">
        <v>7.7295574428431157E-2</v>
      </c>
    </row>
    <row r="307" spans="1:10" ht="11.25" customHeight="1" x14ac:dyDescent="0.2">
      <c r="A307" s="49">
        <v>44409</v>
      </c>
      <c r="B307" s="39">
        <v>0</v>
      </c>
      <c r="C307" s="39">
        <v>0</v>
      </c>
      <c r="D307" s="39">
        <v>997.34492</v>
      </c>
      <c r="E307" s="39">
        <v>1082.5433133436375</v>
      </c>
      <c r="F307" s="39">
        <v>590.85752000000002</v>
      </c>
      <c r="G307" s="39">
        <v>628.42014656479864</v>
      </c>
      <c r="H307" s="40">
        <v>8.5425204094524698E-2</v>
      </c>
      <c r="I307" s="40">
        <v>6.3573070145233279E-2</v>
      </c>
      <c r="J307" s="40">
        <v>7.7295574428431157E-2</v>
      </c>
    </row>
    <row r="308" spans="1:10" ht="11.25" customHeight="1" x14ac:dyDescent="0.2">
      <c r="A308" s="49">
        <v>44440</v>
      </c>
      <c r="B308" s="39">
        <v>0</v>
      </c>
      <c r="C308" s="39">
        <v>0</v>
      </c>
      <c r="D308" s="39">
        <v>2734.2686800000001</v>
      </c>
      <c r="E308" s="39">
        <v>2967.8441400382667</v>
      </c>
      <c r="F308" s="39">
        <v>1619.8640799999998</v>
      </c>
      <c r="G308" s="39">
        <v>1722.8438127835839</v>
      </c>
      <c r="H308" s="40">
        <v>8.5425204094524698E-2</v>
      </c>
      <c r="I308" s="40">
        <v>6.3573070145233501E-2</v>
      </c>
      <c r="J308" s="40">
        <v>7.7295574428431157E-2</v>
      </c>
    </row>
    <row r="309" spans="1:10" ht="11.25" customHeight="1" x14ac:dyDescent="0.2">
      <c r="A309" s="49">
        <v>44470</v>
      </c>
      <c r="B309" s="39">
        <v>0</v>
      </c>
      <c r="C309" s="39">
        <v>0</v>
      </c>
      <c r="D309" s="39">
        <v>4326.19902</v>
      </c>
      <c r="E309" s="39">
        <v>4695.7654542370328</v>
      </c>
      <c r="F309" s="39">
        <v>2562.9721199999999</v>
      </c>
      <c r="G309" s="39">
        <v>2725.9081263650373</v>
      </c>
      <c r="H309" s="40">
        <v>8.5425204094524698E-2</v>
      </c>
      <c r="I309" s="40">
        <v>6.3573070145233279E-2</v>
      </c>
      <c r="J309" s="40">
        <v>7.7295574428431157E-2</v>
      </c>
    </row>
    <row r="310" spans="1:10" ht="11.25" customHeight="1" x14ac:dyDescent="0.2">
      <c r="A310" s="49">
        <v>44501</v>
      </c>
      <c r="B310" s="39">
        <v>0</v>
      </c>
      <c r="C310" s="39">
        <v>0</v>
      </c>
      <c r="D310" s="39">
        <v>31834.11088</v>
      </c>
      <c r="E310" s="39">
        <v>34553.546299091737</v>
      </c>
      <c r="F310" s="39">
        <v>18859.497280000003</v>
      </c>
      <c r="G310" s="39">
        <v>20058.45342348528</v>
      </c>
      <c r="H310" s="40">
        <v>8.542520409452492E-2</v>
      </c>
      <c r="I310" s="40">
        <v>6.3573070145233279E-2</v>
      </c>
      <c r="J310" s="40">
        <v>7.7295574428431379E-2</v>
      </c>
    </row>
    <row r="311" spans="1:10" ht="11.25" customHeight="1" x14ac:dyDescent="0.2">
      <c r="A311" s="49">
        <v>44531</v>
      </c>
      <c r="B311" s="39">
        <v>0</v>
      </c>
      <c r="C311" s="39">
        <v>0</v>
      </c>
      <c r="D311" s="39">
        <v>78921.005020000011</v>
      </c>
      <c r="E311" s="39">
        <v>85662.847981178507</v>
      </c>
      <c r="F311" s="39">
        <v>46755.208119999996</v>
      </c>
      <c r="G311" s="39">
        <v>49727.580245467747</v>
      </c>
      <c r="H311" s="40">
        <v>8.5425204094524476E-2</v>
      </c>
      <c r="I311" s="40">
        <v>6.3573070145233501E-2</v>
      </c>
      <c r="J311" s="40">
        <v>7.7295574428431157E-2</v>
      </c>
    </row>
    <row r="312" spans="1:10" ht="11.25" customHeight="1" x14ac:dyDescent="0.2">
      <c r="A312" s="49">
        <v>44562</v>
      </c>
      <c r="B312" s="39">
        <v>0</v>
      </c>
      <c r="C312" s="39">
        <v>0</v>
      </c>
      <c r="D312" s="39">
        <v>92566.122220000005</v>
      </c>
      <c r="E312" s="39">
        <v>100473.60210288221</v>
      </c>
      <c r="F312" s="39">
        <v>54838.991320000001</v>
      </c>
      <c r="G312" s="39">
        <v>58325.274361880212</v>
      </c>
      <c r="H312" s="40">
        <v>8.5425204094524698E-2</v>
      </c>
      <c r="I312" s="40">
        <v>6.3573070145233501E-2</v>
      </c>
      <c r="J312" s="40">
        <v>7.7295574428431379E-2</v>
      </c>
    </row>
    <row r="313" spans="1:10" ht="11.25" customHeight="1" x14ac:dyDescent="0.2">
      <c r="A313" s="49">
        <v>44593</v>
      </c>
      <c r="B313" s="39">
        <v>0</v>
      </c>
      <c r="C313" s="39">
        <v>0</v>
      </c>
      <c r="D313" s="39">
        <v>82624.893779999999</v>
      </c>
      <c r="E313" s="39">
        <v>89683.142194444925</v>
      </c>
      <c r="F313" s="39">
        <v>48949.504680000005</v>
      </c>
      <c r="G313" s="39">
        <v>52061.374974596067</v>
      </c>
      <c r="H313" s="40">
        <v>8.5425204094524698E-2</v>
      </c>
      <c r="I313" s="40">
        <v>6.3573070145233279E-2</v>
      </c>
      <c r="J313" s="40">
        <v>7.7295574428431157E-2</v>
      </c>
    </row>
    <row r="314" spans="1:10" ht="11.25" customHeight="1" x14ac:dyDescent="0.2">
      <c r="A314" s="49">
        <v>44621</v>
      </c>
      <c r="B314" s="39">
        <v>0</v>
      </c>
      <c r="C314" s="39">
        <v>0</v>
      </c>
      <c r="D314" s="39">
        <v>56151.792839999995</v>
      </c>
      <c r="E314" s="39">
        <v>60948.571203630476</v>
      </c>
      <c r="F314" s="39">
        <v>33266.033040000002</v>
      </c>
      <c r="G314" s="39">
        <v>35380.856891905569</v>
      </c>
      <c r="H314" s="40">
        <v>8.542520409452492E-2</v>
      </c>
      <c r="I314" s="40">
        <v>6.3573070145233279E-2</v>
      </c>
      <c r="J314" s="40">
        <v>7.7295574428431379E-2</v>
      </c>
    </row>
    <row r="315" spans="1:10" ht="11.25" customHeight="1" x14ac:dyDescent="0.2">
      <c r="A315" s="49">
        <v>44652</v>
      </c>
      <c r="B315" s="39">
        <v>0</v>
      </c>
      <c r="C315" s="39">
        <v>0</v>
      </c>
      <c r="D315" s="39">
        <v>10479.989520000001</v>
      </c>
      <c r="E315" s="39">
        <v>11375.24476365448</v>
      </c>
      <c r="F315" s="39">
        <v>6208.6651199999997</v>
      </c>
      <c r="G315" s="39">
        <v>6603.3690231820237</v>
      </c>
      <c r="H315" s="40">
        <v>8.5425204094524698E-2</v>
      </c>
      <c r="I315" s="40">
        <v>6.3573070145233501E-2</v>
      </c>
      <c r="J315" s="40">
        <v>7.7295574428431157E-2</v>
      </c>
    </row>
    <row r="316" spans="1:10" ht="11.25" customHeight="1" x14ac:dyDescent="0.2">
      <c r="A316" s="49">
        <v>44682</v>
      </c>
      <c r="B316" s="39">
        <v>0</v>
      </c>
      <c r="C316" s="39">
        <v>0</v>
      </c>
      <c r="D316" s="39">
        <v>3374.1879600000002</v>
      </c>
      <c r="E316" s="39">
        <v>3662.4286551362884</v>
      </c>
      <c r="F316" s="39">
        <v>1998.9717600000001</v>
      </c>
      <c r="G316" s="39">
        <v>2126.0525319168205</v>
      </c>
      <c r="H316" s="40">
        <v>8.5425204094524698E-2</v>
      </c>
      <c r="I316" s="40">
        <v>6.3573070145233279E-2</v>
      </c>
      <c r="J316" s="40">
        <v>7.7295574428431157E-2</v>
      </c>
    </row>
    <row r="317" spans="1:10" ht="11.25" customHeight="1" x14ac:dyDescent="0.2">
      <c r="A317" s="49">
        <v>44713</v>
      </c>
      <c r="B317" s="39">
        <v>0</v>
      </c>
      <c r="C317" s="39">
        <v>0</v>
      </c>
      <c r="D317" s="39">
        <v>1446.1876000000002</v>
      </c>
      <c r="E317" s="39">
        <v>1569.7284708889711</v>
      </c>
      <c r="F317" s="39">
        <v>856.76560000000006</v>
      </c>
      <c r="G317" s="39">
        <v>911.2328195868231</v>
      </c>
      <c r="H317" s="40">
        <v>8.5425204094524698E-2</v>
      </c>
      <c r="I317" s="40">
        <v>6.3573070145233501E-2</v>
      </c>
      <c r="J317" s="40">
        <v>7.7295574428431157E-2</v>
      </c>
    </row>
    <row r="318" spans="1:10" ht="11.25" customHeight="1" x14ac:dyDescent="0.2">
      <c r="A318" s="46" t="s">
        <v>51</v>
      </c>
      <c r="B318" s="39">
        <v>0</v>
      </c>
      <c r="C318" s="39">
        <v>0</v>
      </c>
      <c r="D318" s="39">
        <v>149998.57787199999</v>
      </c>
      <c r="E318" s="39">
        <v>162812.23700060404</v>
      </c>
      <c r="F318" s="39">
        <v>88863.728031999999</v>
      </c>
      <c r="G318" s="39">
        <v>94513.068047545283</v>
      </c>
      <c r="H318" s="40">
        <v>8.5425204094525364E-2</v>
      </c>
      <c r="I318" s="40">
        <v>6.3573070145233279E-2</v>
      </c>
      <c r="J318" s="40">
        <v>7.7295574428431602E-2</v>
      </c>
    </row>
    <row r="319" spans="1:10" ht="11.25" customHeight="1" x14ac:dyDescent="0.2">
      <c r="A319" s="47" t="s">
        <v>25</v>
      </c>
      <c r="B319" s="39">
        <v>0</v>
      </c>
      <c r="C319" s="39">
        <v>0</v>
      </c>
      <c r="D319" s="39">
        <v>149998.57787199999</v>
      </c>
      <c r="E319" s="39">
        <v>162812.23700060404</v>
      </c>
      <c r="F319" s="39">
        <v>88863.728031999999</v>
      </c>
      <c r="G319" s="39">
        <v>94513.068047545283</v>
      </c>
      <c r="H319" s="40">
        <v>8.5425204094525364E-2</v>
      </c>
      <c r="I319" s="40">
        <v>6.3573070145233279E-2</v>
      </c>
      <c r="J319" s="40">
        <v>7.7295574428431602E-2</v>
      </c>
    </row>
    <row r="320" spans="1:10" ht="11.25" customHeight="1" x14ac:dyDescent="0.2">
      <c r="A320" s="48" t="s">
        <v>25</v>
      </c>
      <c r="B320" s="39">
        <v>0</v>
      </c>
      <c r="C320" s="39">
        <v>0</v>
      </c>
      <c r="D320" s="39">
        <v>149998.57787199999</v>
      </c>
      <c r="E320" s="39">
        <v>162812.23700060404</v>
      </c>
      <c r="F320" s="39">
        <v>88863.728031999999</v>
      </c>
      <c r="G320" s="39">
        <v>94513.068047545283</v>
      </c>
      <c r="H320" s="40">
        <v>8.5425204094525364E-2</v>
      </c>
      <c r="I320" s="40">
        <v>6.3573070145233279E-2</v>
      </c>
      <c r="J320" s="40">
        <v>7.7295574428431602E-2</v>
      </c>
    </row>
    <row r="321" spans="1:10" ht="11.25" customHeight="1" x14ac:dyDescent="0.2">
      <c r="A321" s="49">
        <v>44378</v>
      </c>
      <c r="B321" s="39">
        <v>0</v>
      </c>
      <c r="C321" s="39">
        <v>0</v>
      </c>
      <c r="D321" s="39">
        <v>175.86540400000001</v>
      </c>
      <c r="E321" s="39">
        <v>190.88874202986605</v>
      </c>
      <c r="F321" s="39">
        <v>104.188024</v>
      </c>
      <c r="G321" s="39">
        <v>110.81157655804526</v>
      </c>
      <c r="H321" s="40">
        <v>8.5425204094524698E-2</v>
      </c>
      <c r="I321" s="40">
        <v>6.3573070145233501E-2</v>
      </c>
      <c r="J321" s="40">
        <v>7.7295574428431157E-2</v>
      </c>
    </row>
    <row r="322" spans="1:10" ht="11.25" customHeight="1" x14ac:dyDescent="0.2">
      <c r="A322" s="49">
        <v>44409</v>
      </c>
      <c r="B322" s="39">
        <v>0</v>
      </c>
      <c r="C322" s="39">
        <v>0</v>
      </c>
      <c r="D322" s="39">
        <v>293.05905200000001</v>
      </c>
      <c r="E322" s="39">
        <v>318.09368132884794</v>
      </c>
      <c r="F322" s="39">
        <v>173.61711200000002</v>
      </c>
      <c r="G322" s="39">
        <v>184.65448483958886</v>
      </c>
      <c r="H322" s="40">
        <v>8.5425204094524698E-2</v>
      </c>
      <c r="I322" s="40">
        <v>6.3573070145233279E-2</v>
      </c>
      <c r="J322" s="40">
        <v>7.7295574428431157E-2</v>
      </c>
    </row>
    <row r="323" spans="1:10" ht="11.25" customHeight="1" x14ac:dyDescent="0.2">
      <c r="A323" s="49">
        <v>44440</v>
      </c>
      <c r="B323" s="39">
        <v>0</v>
      </c>
      <c r="C323" s="39">
        <v>0</v>
      </c>
      <c r="D323" s="39">
        <v>1290.778632</v>
      </c>
      <c r="E323" s="39">
        <v>1401.0436600794515</v>
      </c>
      <c r="F323" s="39">
        <v>764.69659200000001</v>
      </c>
      <c r="G323" s="39">
        <v>813.31070208303697</v>
      </c>
      <c r="H323" s="40">
        <v>8.5425204094524698E-2</v>
      </c>
      <c r="I323" s="40">
        <v>6.3573070145233501E-2</v>
      </c>
      <c r="J323" s="40">
        <v>7.7295574428431379E-2</v>
      </c>
    </row>
    <row r="324" spans="1:10" ht="11.25" customHeight="1" x14ac:dyDescent="0.2">
      <c r="A324" s="49">
        <v>44470</v>
      </c>
      <c r="B324" s="39">
        <v>0</v>
      </c>
      <c r="C324" s="39">
        <v>0</v>
      </c>
      <c r="D324" s="39">
        <v>2940.0319520000003</v>
      </c>
      <c r="E324" s="39">
        <v>3191.1847815440242</v>
      </c>
      <c r="F324" s="39">
        <v>1741.764512</v>
      </c>
      <c r="G324" s="39">
        <v>1852.4938294978544</v>
      </c>
      <c r="H324" s="40">
        <v>8.5425204094524698E-2</v>
      </c>
      <c r="I324" s="40">
        <v>6.3573070145233501E-2</v>
      </c>
      <c r="J324" s="40">
        <v>7.7295574428431379E-2</v>
      </c>
    </row>
    <row r="325" spans="1:10" ht="11.25" customHeight="1" x14ac:dyDescent="0.2">
      <c r="A325" s="49">
        <v>44501</v>
      </c>
      <c r="B325" s="39">
        <v>0</v>
      </c>
      <c r="C325" s="39">
        <v>0</v>
      </c>
      <c r="D325" s="39">
        <v>16802.451952000003</v>
      </c>
      <c r="E325" s="39">
        <v>18237.804839288048</v>
      </c>
      <c r="F325" s="39">
        <v>9954.2845120000002</v>
      </c>
      <c r="G325" s="39">
        <v>10587.108939526988</v>
      </c>
      <c r="H325" s="40">
        <v>8.5425204094524698E-2</v>
      </c>
      <c r="I325" s="40">
        <v>6.3573070145233501E-2</v>
      </c>
      <c r="J325" s="40">
        <v>7.7295574428431379E-2</v>
      </c>
    </row>
    <row r="326" spans="1:10" ht="11.25" customHeight="1" x14ac:dyDescent="0.2">
      <c r="A326" s="49">
        <v>44531</v>
      </c>
      <c r="B326" s="39">
        <v>0</v>
      </c>
      <c r="C326" s="39">
        <v>0</v>
      </c>
      <c r="D326" s="39">
        <v>45892.552992000004</v>
      </c>
      <c r="E326" s="39">
        <v>49812.933697760396</v>
      </c>
      <c r="F326" s="39">
        <v>27188.146752000001</v>
      </c>
      <c r="G326" s="39">
        <v>28916.580712583796</v>
      </c>
      <c r="H326" s="40">
        <v>8.5425204094524698E-2</v>
      </c>
      <c r="I326" s="40">
        <v>6.3573070145233501E-2</v>
      </c>
      <c r="J326" s="40">
        <v>7.7295574428430935E-2</v>
      </c>
    </row>
    <row r="327" spans="1:10" ht="11.25" customHeight="1" x14ac:dyDescent="0.2">
      <c r="A327" s="49">
        <v>44562</v>
      </c>
      <c r="B327" s="39">
        <v>0</v>
      </c>
      <c r="C327" s="39">
        <v>0</v>
      </c>
      <c r="D327" s="39">
        <v>50903.930219999995</v>
      </c>
      <c r="E327" s="39">
        <v>55252.40884825695</v>
      </c>
      <c r="F327" s="39">
        <v>30157.03932</v>
      </c>
      <c r="G327" s="39">
        <v>32074.21489606292</v>
      </c>
      <c r="H327" s="40">
        <v>8.542520409452492E-2</v>
      </c>
      <c r="I327" s="40">
        <v>6.3573070145233279E-2</v>
      </c>
      <c r="J327" s="40">
        <v>7.7295574428431379E-2</v>
      </c>
    </row>
    <row r="328" spans="1:10" ht="11.25" customHeight="1" x14ac:dyDescent="0.2">
      <c r="A328" s="49">
        <v>44593</v>
      </c>
      <c r="B328" s="39">
        <v>0</v>
      </c>
      <c r="C328" s="39">
        <v>0</v>
      </c>
      <c r="D328" s="39">
        <v>15198.307696000002</v>
      </c>
      <c r="E328" s="39">
        <v>16496.626232822189</v>
      </c>
      <c r="F328" s="39">
        <v>9003.9405760000009</v>
      </c>
      <c r="G328" s="39">
        <v>9576.3487218215632</v>
      </c>
      <c r="H328" s="40">
        <v>8.542520409452492E-2</v>
      </c>
      <c r="I328" s="40">
        <v>6.3573070145233501E-2</v>
      </c>
      <c r="J328" s="40">
        <v>7.7295574428431157E-2</v>
      </c>
    </row>
    <row r="329" spans="1:10" ht="11.25" customHeight="1" x14ac:dyDescent="0.2">
      <c r="A329" s="49">
        <v>44621</v>
      </c>
      <c r="B329" s="39">
        <v>0</v>
      </c>
      <c r="C329" s="39">
        <v>0</v>
      </c>
      <c r="D329" s="39">
        <v>12502.029540000001</v>
      </c>
      <c r="E329" s="39">
        <v>13570.017965050278</v>
      </c>
      <c r="F329" s="39">
        <v>7406.5832400000008</v>
      </c>
      <c r="G329" s="39">
        <v>7877.4424758530313</v>
      </c>
      <c r="H329" s="40">
        <v>8.5425204094524698E-2</v>
      </c>
      <c r="I329" s="40">
        <v>6.3573070145233501E-2</v>
      </c>
      <c r="J329" s="40">
        <v>7.7295574428431157E-2</v>
      </c>
    </row>
    <row r="330" spans="1:10" ht="11.25" customHeight="1" x14ac:dyDescent="0.2">
      <c r="A330" s="49">
        <v>44652</v>
      </c>
      <c r="B330" s="39">
        <v>0</v>
      </c>
      <c r="C330" s="39">
        <v>0</v>
      </c>
      <c r="D330" s="39">
        <v>4035.8375199999996</v>
      </c>
      <c r="E330" s="39">
        <v>4380.5997638383406</v>
      </c>
      <c r="F330" s="39">
        <v>2390.9531199999997</v>
      </c>
      <c r="G330" s="39">
        <v>2542.9533504117248</v>
      </c>
      <c r="H330" s="40">
        <v>8.542520409452492E-2</v>
      </c>
      <c r="I330" s="40">
        <v>6.3573070145233723E-2</v>
      </c>
      <c r="J330" s="40">
        <v>7.7295574428431379E-2</v>
      </c>
    </row>
    <row r="331" spans="1:10" ht="11.25" customHeight="1" x14ac:dyDescent="0.2">
      <c r="A331" s="49">
        <v>44682</v>
      </c>
      <c r="B331" s="39">
        <v>0</v>
      </c>
      <c r="C331" s="39">
        <v>0</v>
      </c>
      <c r="D331" s="39">
        <v>-105.20452799999998</v>
      </c>
      <c r="E331" s="39">
        <v>-114.19164627606806</v>
      </c>
      <c r="F331" s="39">
        <v>-62.326367999999974</v>
      </c>
      <c r="G331" s="39">
        <v>-66.288646564761564</v>
      </c>
      <c r="H331" s="40">
        <v>8.5425204094524032E-2</v>
      </c>
      <c r="I331" s="40">
        <v>6.3573070145232835E-2</v>
      </c>
      <c r="J331" s="40">
        <v>7.7295574428430713E-2</v>
      </c>
    </row>
    <row r="332" spans="1:10" ht="11.25" customHeight="1" x14ac:dyDescent="0.2">
      <c r="A332" s="49">
        <v>44713</v>
      </c>
      <c r="B332" s="39">
        <v>0</v>
      </c>
      <c r="C332" s="39">
        <v>0</v>
      </c>
      <c r="D332" s="39">
        <v>68.937440000000009</v>
      </c>
      <c r="E332" s="39">
        <v>74.826434881754068</v>
      </c>
      <c r="F332" s="39">
        <v>40.840640000000008</v>
      </c>
      <c r="G332" s="39">
        <v>43.437004871496228</v>
      </c>
      <c r="H332" s="40">
        <v>8.5425204094524698E-2</v>
      </c>
      <c r="I332" s="40">
        <v>6.3573070145233279E-2</v>
      </c>
      <c r="J332" s="40">
        <v>7.7295574428431157E-2</v>
      </c>
    </row>
    <row r="333" spans="1:10" ht="11.25" customHeight="1" x14ac:dyDescent="0.2">
      <c r="A333" s="45" t="s">
        <v>25</v>
      </c>
      <c r="B333" s="39">
        <v>0</v>
      </c>
      <c r="C333" s="39">
        <v>0</v>
      </c>
      <c r="D333" s="39">
        <v>17197093.693780001</v>
      </c>
      <c r="E333" s="39">
        <v>18666158.932403821</v>
      </c>
      <c r="F333" s="39">
        <v>10188082.304680001</v>
      </c>
      <c r="G333" s="39">
        <v>10835769.975680834</v>
      </c>
      <c r="H333" s="40">
        <v>8.5425204094525142E-2</v>
      </c>
      <c r="I333" s="40">
        <v>6.3573070145233279E-2</v>
      </c>
      <c r="J333" s="40">
        <v>7.7295574428431379E-2</v>
      </c>
    </row>
    <row r="334" spans="1:10" ht="11.25" customHeight="1" x14ac:dyDescent="0.2">
      <c r="A334" s="46" t="s">
        <v>25</v>
      </c>
      <c r="B334" s="39">
        <v>0</v>
      </c>
      <c r="C334" s="39">
        <v>0</v>
      </c>
      <c r="D334" s="39">
        <v>17197093.693780001</v>
      </c>
      <c r="E334" s="39">
        <v>18666158.932403821</v>
      </c>
      <c r="F334" s="39">
        <v>10188082.304680001</v>
      </c>
      <c r="G334" s="39">
        <v>10835769.975680834</v>
      </c>
      <c r="H334" s="40">
        <v>8.5425204094525142E-2</v>
      </c>
      <c r="I334" s="40">
        <v>6.3573070145233279E-2</v>
      </c>
      <c r="J334" s="40">
        <v>7.7295574428431379E-2</v>
      </c>
    </row>
    <row r="335" spans="1:10" ht="11.25" customHeight="1" x14ac:dyDescent="0.2">
      <c r="A335" s="47" t="s">
        <v>25</v>
      </c>
      <c r="B335" s="39">
        <v>0</v>
      </c>
      <c r="C335" s="39">
        <v>0</v>
      </c>
      <c r="D335" s="39">
        <v>17197093.693780001</v>
      </c>
      <c r="E335" s="39">
        <v>18666158.932403821</v>
      </c>
      <c r="F335" s="39">
        <v>10188082.304680001</v>
      </c>
      <c r="G335" s="39">
        <v>10835769.975680834</v>
      </c>
      <c r="H335" s="40">
        <v>8.5425204094525142E-2</v>
      </c>
      <c r="I335" s="40">
        <v>6.3573070145233279E-2</v>
      </c>
      <c r="J335" s="40">
        <v>7.7295574428431379E-2</v>
      </c>
    </row>
    <row r="336" spans="1:10" ht="11.25" customHeight="1" x14ac:dyDescent="0.2">
      <c r="A336" s="48" t="s">
        <v>25</v>
      </c>
      <c r="B336" s="39">
        <v>0</v>
      </c>
      <c r="C336" s="39">
        <v>0</v>
      </c>
      <c r="D336" s="39">
        <v>17197093.693780001</v>
      </c>
      <c r="E336" s="39">
        <v>18666158.932403821</v>
      </c>
      <c r="F336" s="39">
        <v>10188082.304680001</v>
      </c>
      <c r="G336" s="39">
        <v>10835769.975680834</v>
      </c>
      <c r="H336" s="40">
        <v>8.5425204094525142E-2</v>
      </c>
      <c r="I336" s="40">
        <v>6.3573070145233279E-2</v>
      </c>
      <c r="J336" s="40">
        <v>7.7295574428431379E-2</v>
      </c>
    </row>
    <row r="337" spans="1:10" ht="11.25" customHeight="1" x14ac:dyDescent="0.2">
      <c r="A337" s="49">
        <v>44378</v>
      </c>
      <c r="B337" s="39">
        <v>0</v>
      </c>
      <c r="C337" s="39">
        <v>0</v>
      </c>
      <c r="D337" s="39">
        <v>954455.34184000012</v>
      </c>
      <c r="E337" s="39">
        <v>1035989.8842157915</v>
      </c>
      <c r="F337" s="39">
        <v>565448.4270400001</v>
      </c>
      <c r="G337" s="39">
        <v>601395.71955572593</v>
      </c>
      <c r="H337" s="40">
        <v>8.5425204094524698E-2</v>
      </c>
      <c r="I337" s="40">
        <v>6.3573070145233501E-2</v>
      </c>
      <c r="J337" s="40">
        <v>7.7295574428431157E-2</v>
      </c>
    </row>
    <row r="338" spans="1:10" ht="11.25" customHeight="1" x14ac:dyDescent="0.2">
      <c r="A338" s="49">
        <v>44409</v>
      </c>
      <c r="B338" s="39">
        <v>0</v>
      </c>
      <c r="C338" s="39">
        <v>0</v>
      </c>
      <c r="D338" s="39">
        <v>996508.67888000014</v>
      </c>
      <c r="E338" s="39">
        <v>1081635.6361552896</v>
      </c>
      <c r="F338" s="39">
        <v>590362.10528000013</v>
      </c>
      <c r="G338" s="39">
        <v>627893.23681005312</v>
      </c>
      <c r="H338" s="40">
        <v>8.542520409452492E-2</v>
      </c>
      <c r="I338" s="40">
        <v>6.3573070145233279E-2</v>
      </c>
      <c r="J338" s="40">
        <v>7.7295574428431379E-2</v>
      </c>
    </row>
    <row r="339" spans="1:10" ht="11.25" customHeight="1" x14ac:dyDescent="0.2">
      <c r="A339" s="49">
        <v>44440</v>
      </c>
      <c r="B339" s="39">
        <v>0</v>
      </c>
      <c r="C339" s="39">
        <v>0</v>
      </c>
      <c r="D339" s="39">
        <v>991052.13063999999</v>
      </c>
      <c r="E339" s="39">
        <v>1075712.9611682356</v>
      </c>
      <c r="F339" s="39">
        <v>587129.47984000004</v>
      </c>
      <c r="G339" s="39">
        <v>624455.1034462027</v>
      </c>
      <c r="H339" s="40">
        <v>8.5425204094524698E-2</v>
      </c>
      <c r="I339" s="40">
        <v>6.3573070145233279E-2</v>
      </c>
      <c r="J339" s="40">
        <v>7.7295574428431379E-2</v>
      </c>
    </row>
    <row r="340" spans="1:10" ht="11.25" customHeight="1" x14ac:dyDescent="0.2">
      <c r="A340" s="49">
        <v>44470</v>
      </c>
      <c r="B340" s="39">
        <v>0</v>
      </c>
      <c r="C340" s="39">
        <v>0</v>
      </c>
      <c r="D340" s="39">
        <v>1035240.6550200001</v>
      </c>
      <c r="E340" s="39">
        <v>1123676.2992620328</v>
      </c>
      <c r="F340" s="39">
        <v>613308.10812000011</v>
      </c>
      <c r="G340" s="39">
        <v>652297.98749815323</v>
      </c>
      <c r="H340" s="40">
        <v>8.5425204094524476E-2</v>
      </c>
      <c r="I340" s="40">
        <v>6.3573070145233279E-2</v>
      </c>
      <c r="J340" s="40">
        <v>7.7295574428431157E-2</v>
      </c>
    </row>
    <row r="341" spans="1:10" ht="11.25" customHeight="1" x14ac:dyDescent="0.2">
      <c r="A341" s="49">
        <v>44501</v>
      </c>
      <c r="B341" s="39">
        <v>0</v>
      </c>
      <c r="C341" s="39">
        <v>0</v>
      </c>
      <c r="D341" s="39">
        <v>1459338.5406600002</v>
      </c>
      <c r="E341" s="39">
        <v>1584002.8333388865</v>
      </c>
      <c r="F341" s="39">
        <v>864556.61796000006</v>
      </c>
      <c r="G341" s="39">
        <v>919519.13647809683</v>
      </c>
      <c r="H341" s="40">
        <v>8.5425204094524698E-2</v>
      </c>
      <c r="I341" s="40">
        <v>6.3573070145233279E-2</v>
      </c>
      <c r="J341" s="40">
        <v>7.7295574428431157E-2</v>
      </c>
    </row>
    <row r="342" spans="1:10" ht="11.25" customHeight="1" x14ac:dyDescent="0.2">
      <c r="A342" s="49">
        <v>44531</v>
      </c>
      <c r="B342" s="39">
        <v>0</v>
      </c>
      <c r="C342" s="39">
        <v>0</v>
      </c>
      <c r="D342" s="39">
        <v>1817642.0090400001</v>
      </c>
      <c r="E342" s="39">
        <v>1972914.448633024</v>
      </c>
      <c r="F342" s="39">
        <v>1076826.51024</v>
      </c>
      <c r="G342" s="39">
        <v>1145283.6775097346</v>
      </c>
      <c r="H342" s="40">
        <v>8.5425204094524698E-2</v>
      </c>
      <c r="I342" s="40">
        <v>6.3573070145233723E-2</v>
      </c>
      <c r="J342" s="40">
        <v>7.7295574428431379E-2</v>
      </c>
    </row>
    <row r="343" spans="1:10" ht="11.25" customHeight="1" x14ac:dyDescent="0.2">
      <c r="A343" s="49">
        <v>44562</v>
      </c>
      <c r="B343" s="39">
        <v>0</v>
      </c>
      <c r="C343" s="39">
        <v>0</v>
      </c>
      <c r="D343" s="39">
        <v>2376969.6750799995</v>
      </c>
      <c r="E343" s="39">
        <v>2580022.7947002053</v>
      </c>
      <c r="F343" s="39">
        <v>1408189.26248</v>
      </c>
      <c r="G343" s="39">
        <v>1497712.1772414055</v>
      </c>
      <c r="H343" s="40">
        <v>8.5425204094525142E-2</v>
      </c>
      <c r="I343" s="40">
        <v>6.3573070145233279E-2</v>
      </c>
      <c r="J343" s="40">
        <v>7.7295574428431379E-2</v>
      </c>
    </row>
    <row r="344" spans="1:10" ht="11.25" customHeight="1" x14ac:dyDescent="0.2">
      <c r="A344" s="49">
        <v>44593</v>
      </c>
      <c r="B344" s="39">
        <v>0</v>
      </c>
      <c r="C344" s="39">
        <v>0</v>
      </c>
      <c r="D344" s="39">
        <v>2154611.5877</v>
      </c>
      <c r="E344" s="39">
        <v>2338669.7223237008</v>
      </c>
      <c r="F344" s="39">
        <v>1276457.5562000002</v>
      </c>
      <c r="G344" s="39">
        <v>1357605.8819577158</v>
      </c>
      <c r="H344" s="40">
        <v>8.542520409452492E-2</v>
      </c>
      <c r="I344" s="40">
        <v>6.3573070145233279E-2</v>
      </c>
      <c r="J344" s="40">
        <v>7.7295574428431157E-2</v>
      </c>
    </row>
    <row r="345" spans="1:10" ht="11.25" customHeight="1" x14ac:dyDescent="0.2">
      <c r="A345" s="49">
        <v>44621</v>
      </c>
      <c r="B345" s="39">
        <v>0</v>
      </c>
      <c r="C345" s="39">
        <v>0</v>
      </c>
      <c r="D345" s="39">
        <v>1787642.6081800002</v>
      </c>
      <c r="E345" s="39">
        <v>1940352.3428318452</v>
      </c>
      <c r="F345" s="39">
        <v>1059053.95108</v>
      </c>
      <c r="G345" s="39">
        <v>1126381.2621995956</v>
      </c>
      <c r="H345" s="40">
        <v>8.5425204094524698E-2</v>
      </c>
      <c r="I345" s="40">
        <v>6.3573070145233501E-2</v>
      </c>
      <c r="J345" s="40">
        <v>7.7295574428431157E-2</v>
      </c>
    </row>
    <row r="346" spans="1:10" ht="11.25" customHeight="1" x14ac:dyDescent="0.2">
      <c r="A346" s="49">
        <v>44652</v>
      </c>
      <c r="B346" s="39">
        <v>0</v>
      </c>
      <c r="C346" s="39">
        <v>0</v>
      </c>
      <c r="D346" s="39">
        <v>1378741.3068000001</v>
      </c>
      <c r="E346" s="39">
        <v>1496520.5643269417</v>
      </c>
      <c r="F346" s="39">
        <v>816808.36079999991</v>
      </c>
      <c r="G346" s="39">
        <v>868735.37601635139</v>
      </c>
      <c r="H346" s="40">
        <v>8.5425204094524698E-2</v>
      </c>
      <c r="I346" s="40">
        <v>6.3573070145233279E-2</v>
      </c>
      <c r="J346" s="40">
        <v>7.7295574428431157E-2</v>
      </c>
    </row>
    <row r="347" spans="1:10" ht="11.25" customHeight="1" x14ac:dyDescent="0.2">
      <c r="A347" s="49">
        <v>44682</v>
      </c>
      <c r="B347" s="39">
        <v>0</v>
      </c>
      <c r="C347" s="39">
        <v>0</v>
      </c>
      <c r="D347" s="39">
        <v>1185147.36626</v>
      </c>
      <c r="E347" s="39">
        <v>1286388.821904849</v>
      </c>
      <c r="F347" s="39">
        <v>702117.41155999992</v>
      </c>
      <c r="G347" s="39">
        <v>746753.17101529369</v>
      </c>
      <c r="H347" s="40">
        <v>8.5425204094524698E-2</v>
      </c>
      <c r="I347" s="40">
        <v>6.3573070145233723E-2</v>
      </c>
      <c r="J347" s="40">
        <v>7.7295574428431379E-2</v>
      </c>
    </row>
    <row r="348" spans="1:10" ht="11.25" customHeight="1" x14ac:dyDescent="0.2">
      <c r="A348" s="49">
        <v>44713</v>
      </c>
      <c r="B348" s="39">
        <v>0</v>
      </c>
      <c r="C348" s="39">
        <v>0</v>
      </c>
      <c r="D348" s="39">
        <v>1059743.7936800004</v>
      </c>
      <c r="E348" s="39">
        <v>1150272.6235430201</v>
      </c>
      <c r="F348" s="39">
        <v>627824.51407999999</v>
      </c>
      <c r="G348" s="39">
        <v>667737.24595250492</v>
      </c>
      <c r="H348" s="40">
        <v>8.5425204094524476E-2</v>
      </c>
      <c r="I348" s="40">
        <v>6.3573070145233501E-2</v>
      </c>
      <c r="J348" s="40">
        <v>7.7295574428431157E-2</v>
      </c>
    </row>
    <row r="349" spans="1:10" ht="11.25" customHeight="1" x14ac:dyDescent="0.2">
      <c r="A349" s="42" t="s">
        <v>33</v>
      </c>
      <c r="B349" s="39">
        <v>0</v>
      </c>
      <c r="C349" s="39">
        <v>0</v>
      </c>
      <c r="D349" s="39">
        <v>4040935.9784299997</v>
      </c>
      <c r="E349" s="39">
        <v>4106167.7744955895</v>
      </c>
      <c r="F349" s="39">
        <v>2393904.5742328013</v>
      </c>
      <c r="G349" s="39">
        <v>2383644.6291447952</v>
      </c>
      <c r="H349" s="40">
        <v>1.6142744258703656E-2</v>
      </c>
      <c r="I349" s="40">
        <v>-4.2858621844996669E-3</v>
      </c>
      <c r="J349" s="40">
        <v>8.5428458603900026E-3</v>
      </c>
    </row>
    <row r="350" spans="1:10" ht="11.25" customHeight="1" x14ac:dyDescent="0.2">
      <c r="A350" s="43" t="s">
        <v>23</v>
      </c>
      <c r="B350" s="39">
        <v>0</v>
      </c>
      <c r="C350" s="39">
        <v>0</v>
      </c>
      <c r="D350" s="39">
        <v>4040935.9784299997</v>
      </c>
      <c r="E350" s="39">
        <v>4106167.7744955895</v>
      </c>
      <c r="F350" s="39">
        <v>2393904.5742328013</v>
      </c>
      <c r="G350" s="39">
        <v>2383644.6291447952</v>
      </c>
      <c r="H350" s="40">
        <v>1.6142744258703656E-2</v>
      </c>
      <c r="I350" s="40">
        <v>-4.2858621844996669E-3</v>
      </c>
      <c r="J350" s="40">
        <v>8.5428458603900026E-3</v>
      </c>
    </row>
    <row r="351" spans="1:10" ht="11.25" customHeight="1" x14ac:dyDescent="0.2">
      <c r="A351" s="44" t="s">
        <v>39</v>
      </c>
      <c r="B351" s="39">
        <v>0</v>
      </c>
      <c r="C351" s="39">
        <v>0</v>
      </c>
      <c r="D351" s="39">
        <v>2313032.4814999998</v>
      </c>
      <c r="E351" s="39">
        <v>2350371.1733109304</v>
      </c>
      <c r="F351" s="39">
        <v>1370271.4092400002</v>
      </c>
      <c r="G351" s="39">
        <v>1364398.6148246378</v>
      </c>
      <c r="H351" s="40">
        <v>1.6142744258704766E-2</v>
      </c>
      <c r="I351" s="40">
        <v>-4.2858621844995559E-3</v>
      </c>
      <c r="J351" s="40">
        <v>8.5428458603906687E-3</v>
      </c>
    </row>
    <row r="352" spans="1:10" ht="11.25" customHeight="1" x14ac:dyDescent="0.2">
      <c r="A352" s="45" t="s">
        <v>25</v>
      </c>
      <c r="B352" s="39">
        <v>0</v>
      </c>
      <c r="C352" s="39">
        <v>0</v>
      </c>
      <c r="D352" s="39">
        <v>2313032.4814999998</v>
      </c>
      <c r="E352" s="39">
        <v>2350371.1733109304</v>
      </c>
      <c r="F352" s="39">
        <v>1370271.4092400002</v>
      </c>
      <c r="G352" s="39">
        <v>1364398.6148246378</v>
      </c>
      <c r="H352" s="40">
        <v>1.6142744258704766E-2</v>
      </c>
      <c r="I352" s="40">
        <v>-4.2858621844995559E-3</v>
      </c>
      <c r="J352" s="40">
        <v>8.5428458603906687E-3</v>
      </c>
    </row>
    <row r="353" spans="1:10" ht="11.25" customHeight="1" x14ac:dyDescent="0.2">
      <c r="A353" s="46" t="s">
        <v>25</v>
      </c>
      <c r="B353" s="39">
        <v>0</v>
      </c>
      <c r="C353" s="39">
        <v>0</v>
      </c>
      <c r="D353" s="39">
        <v>2313032.4814999998</v>
      </c>
      <c r="E353" s="39">
        <v>2350371.1733109304</v>
      </c>
      <c r="F353" s="39">
        <v>1370271.4092400002</v>
      </c>
      <c r="G353" s="39">
        <v>1364398.6148246378</v>
      </c>
      <c r="H353" s="40">
        <v>1.6142744258704766E-2</v>
      </c>
      <c r="I353" s="40">
        <v>-4.2858621844995559E-3</v>
      </c>
      <c r="J353" s="40">
        <v>8.5428458603906687E-3</v>
      </c>
    </row>
    <row r="354" spans="1:10" ht="11.25" customHeight="1" x14ac:dyDescent="0.2">
      <c r="A354" s="47" t="s">
        <v>25</v>
      </c>
      <c r="B354" s="39">
        <v>0</v>
      </c>
      <c r="C354" s="39">
        <v>0</v>
      </c>
      <c r="D354" s="39">
        <v>2313032.4814999998</v>
      </c>
      <c r="E354" s="39">
        <v>2350371.1733109304</v>
      </c>
      <c r="F354" s="39">
        <v>1370271.4092400002</v>
      </c>
      <c r="G354" s="39">
        <v>1364398.6148246378</v>
      </c>
      <c r="H354" s="40">
        <v>1.6142744258704766E-2</v>
      </c>
      <c r="I354" s="40">
        <v>-4.2858621844995559E-3</v>
      </c>
      <c r="J354" s="40">
        <v>8.5428458603906687E-3</v>
      </c>
    </row>
    <row r="355" spans="1:10" ht="11.25" customHeight="1" x14ac:dyDescent="0.2">
      <c r="A355" s="48" t="s">
        <v>25</v>
      </c>
      <c r="B355" s="39">
        <v>0</v>
      </c>
      <c r="C355" s="39">
        <v>0</v>
      </c>
      <c r="D355" s="39">
        <v>2313032.4814999998</v>
      </c>
      <c r="E355" s="39">
        <v>2350371.1733109304</v>
      </c>
      <c r="F355" s="39">
        <v>1370271.4092400002</v>
      </c>
      <c r="G355" s="39">
        <v>1364398.6148246378</v>
      </c>
      <c r="H355" s="40">
        <v>1.6142744258704766E-2</v>
      </c>
      <c r="I355" s="40">
        <v>-4.2858621844995559E-3</v>
      </c>
      <c r="J355" s="40">
        <v>8.5428458603906687E-3</v>
      </c>
    </row>
    <row r="356" spans="1:10" ht="11.25" customHeight="1" x14ac:dyDescent="0.2">
      <c r="A356" s="49">
        <v>44378</v>
      </c>
      <c r="B356" s="39">
        <v>0</v>
      </c>
      <c r="C356" s="39">
        <v>0</v>
      </c>
      <c r="D356" s="39">
        <v>171703.69774999999</v>
      </c>
      <c r="E356" s="39">
        <v>174475.46663105208</v>
      </c>
      <c r="F356" s="39">
        <v>101719.56934</v>
      </c>
      <c r="G356" s="39">
        <v>101283.61328434214</v>
      </c>
      <c r="H356" s="40">
        <v>1.61427442587041E-2</v>
      </c>
      <c r="I356" s="40">
        <v>-4.2858621844993339E-3</v>
      </c>
      <c r="J356" s="40">
        <v>8.5428458603904467E-3</v>
      </c>
    </row>
    <row r="357" spans="1:10" ht="11.25" customHeight="1" x14ac:dyDescent="0.2">
      <c r="A357" s="49">
        <v>44409</v>
      </c>
      <c r="B357" s="39">
        <v>0</v>
      </c>
      <c r="C357" s="39">
        <v>0</v>
      </c>
      <c r="D357" s="39">
        <v>168334.31224999999</v>
      </c>
      <c r="E357" s="39">
        <v>171051.69000261658</v>
      </c>
      <c r="F357" s="39">
        <v>99723.500259999986</v>
      </c>
      <c r="G357" s="39">
        <v>99296.099081329754</v>
      </c>
      <c r="H357" s="40">
        <v>1.61427442587041E-2</v>
      </c>
      <c r="I357" s="40">
        <v>-4.2858621844992228E-3</v>
      </c>
      <c r="J357" s="40">
        <v>8.5428458603904467E-3</v>
      </c>
    </row>
    <row r="358" spans="1:10" ht="11.25" customHeight="1" x14ac:dyDescent="0.2">
      <c r="A358" s="49">
        <v>44440</v>
      </c>
      <c r="B358" s="39">
        <v>0</v>
      </c>
      <c r="C358" s="39">
        <v>0</v>
      </c>
      <c r="D358" s="39">
        <v>178717.50325000001</v>
      </c>
      <c r="E358" s="39">
        <v>181602.49419951887</v>
      </c>
      <c r="F358" s="39">
        <v>105874.64161999999</v>
      </c>
      <c r="G358" s="39">
        <v>105420.87749718342</v>
      </c>
      <c r="H358" s="40">
        <v>1.61427442587041E-2</v>
      </c>
      <c r="I358" s="40">
        <v>-4.2858621844993339E-3</v>
      </c>
      <c r="J358" s="40">
        <v>8.5428458603904467E-3</v>
      </c>
    </row>
    <row r="359" spans="1:10" ht="11.25" customHeight="1" x14ac:dyDescent="0.2">
      <c r="A359" s="49">
        <v>44470</v>
      </c>
      <c r="B359" s="39">
        <v>0</v>
      </c>
      <c r="C359" s="39">
        <v>0</v>
      </c>
      <c r="D359" s="39">
        <v>171276.67049999998</v>
      </c>
      <c r="E359" s="39">
        <v>174041.54598936383</v>
      </c>
      <c r="F359" s="39">
        <v>101466.59268</v>
      </c>
      <c r="G359" s="39">
        <v>101031.72084744279</v>
      </c>
      <c r="H359" s="40">
        <v>1.6142744258704322E-2</v>
      </c>
      <c r="I359" s="40">
        <v>-4.2858621844993339E-3</v>
      </c>
      <c r="J359" s="40">
        <v>8.5428458603902246E-3</v>
      </c>
    </row>
    <row r="360" spans="1:10" ht="11.25" customHeight="1" x14ac:dyDescent="0.2">
      <c r="A360" s="49">
        <v>44501</v>
      </c>
      <c r="B360" s="39">
        <v>0</v>
      </c>
      <c r="C360" s="39">
        <v>0</v>
      </c>
      <c r="D360" s="39">
        <v>188241.53075000001</v>
      </c>
      <c r="E360" s="39">
        <v>191280.26563976423</v>
      </c>
      <c r="F360" s="39">
        <v>111516.80301999999</v>
      </c>
      <c r="G360" s="39">
        <v>111038.85737100033</v>
      </c>
      <c r="H360" s="40">
        <v>1.61427442587041E-2</v>
      </c>
      <c r="I360" s="40">
        <v>-4.2858621844992228E-3</v>
      </c>
      <c r="J360" s="40">
        <v>8.5428458603902246E-3</v>
      </c>
    </row>
    <row r="361" spans="1:10" ht="11.25" customHeight="1" x14ac:dyDescent="0.2">
      <c r="A361" s="49">
        <v>44531</v>
      </c>
      <c r="B361" s="39">
        <v>0</v>
      </c>
      <c r="C361" s="39">
        <v>0</v>
      </c>
      <c r="D361" s="39">
        <v>188555.73424999998</v>
      </c>
      <c r="E361" s="39">
        <v>191599.54124650991</v>
      </c>
      <c r="F361" s="39">
        <v>111702.94137999999</v>
      </c>
      <c r="G361" s="39">
        <v>111224.19796764212</v>
      </c>
      <c r="H361" s="40">
        <v>1.61427442587041E-2</v>
      </c>
      <c r="I361" s="40">
        <v>-4.2858621844992228E-3</v>
      </c>
      <c r="J361" s="40">
        <v>8.5428458603904467E-3</v>
      </c>
    </row>
    <row r="362" spans="1:10" ht="11.25" customHeight="1" x14ac:dyDescent="0.2">
      <c r="A362" s="49">
        <v>44562</v>
      </c>
      <c r="B362" s="39">
        <v>0</v>
      </c>
      <c r="C362" s="39">
        <v>0</v>
      </c>
      <c r="D362" s="39">
        <v>221083.88574999999</v>
      </c>
      <c r="E362" s="39">
        <v>224652.78637738278</v>
      </c>
      <c r="F362" s="39">
        <v>130973.05382</v>
      </c>
      <c r="G362" s="39">
        <v>130411.72136144446</v>
      </c>
      <c r="H362" s="40">
        <v>1.61427442587041E-2</v>
      </c>
      <c r="I362" s="40">
        <v>-4.2858621844993339E-3</v>
      </c>
      <c r="J362" s="40">
        <v>8.5428458603904467E-3</v>
      </c>
    </row>
    <row r="363" spans="1:10" ht="11.25" customHeight="1" x14ac:dyDescent="0.2">
      <c r="A363" s="49">
        <v>44593</v>
      </c>
      <c r="B363" s="39">
        <v>0</v>
      </c>
      <c r="C363" s="39">
        <v>0</v>
      </c>
      <c r="D363" s="39">
        <v>223055.53400000001</v>
      </c>
      <c r="E363" s="39">
        <v>226656.26244085067</v>
      </c>
      <c r="F363" s="39">
        <v>132141.08463999999</v>
      </c>
      <c r="G363" s="39">
        <v>131574.7461623227</v>
      </c>
      <c r="H363" s="40">
        <v>1.61427442587041E-2</v>
      </c>
      <c r="I363" s="40">
        <v>-4.2858621844992228E-3</v>
      </c>
      <c r="J363" s="40">
        <v>8.5428458603902246E-3</v>
      </c>
    </row>
    <row r="364" spans="1:10" ht="11.25" customHeight="1" x14ac:dyDescent="0.2">
      <c r="A364" s="49">
        <v>44621</v>
      </c>
      <c r="B364" s="39">
        <v>0</v>
      </c>
      <c r="C364" s="39">
        <v>0</v>
      </c>
      <c r="D364" s="39">
        <v>216605.4215</v>
      </c>
      <c r="E364" s="39">
        <v>220102.02742432331</v>
      </c>
      <c r="F364" s="39">
        <v>128319.95164</v>
      </c>
      <c r="G364" s="39">
        <v>127769.99001174935</v>
      </c>
      <c r="H364" s="40">
        <v>1.61427442587041E-2</v>
      </c>
      <c r="I364" s="40">
        <v>-4.2858621844992228E-3</v>
      </c>
      <c r="J364" s="40">
        <v>8.5428458603904467E-3</v>
      </c>
    </row>
    <row r="365" spans="1:10" ht="11.25" customHeight="1" x14ac:dyDescent="0.2">
      <c r="A365" s="49">
        <v>44652</v>
      </c>
      <c r="B365" s="39">
        <v>0</v>
      </c>
      <c r="C365" s="39">
        <v>0</v>
      </c>
      <c r="D365" s="39">
        <v>191246.47425</v>
      </c>
      <c r="E365" s="39">
        <v>194333.71717419659</v>
      </c>
      <c r="F365" s="39">
        <v>113296.97178000001</v>
      </c>
      <c r="G365" s="39">
        <v>112811.39657302982</v>
      </c>
      <c r="H365" s="40">
        <v>1.61427442587041E-2</v>
      </c>
      <c r="I365" s="40">
        <v>-4.2858621844993339E-3</v>
      </c>
      <c r="J365" s="40">
        <v>8.5428458603904467E-3</v>
      </c>
    </row>
    <row r="366" spans="1:10" ht="11.25" customHeight="1" x14ac:dyDescent="0.2">
      <c r="A366" s="49">
        <v>44682</v>
      </c>
      <c r="B366" s="39">
        <v>0</v>
      </c>
      <c r="C366" s="39">
        <v>0</v>
      </c>
      <c r="D366" s="39">
        <v>207010.29374999998</v>
      </c>
      <c r="E366" s="39">
        <v>210352.00798092547</v>
      </c>
      <c r="F366" s="39">
        <v>122635.66949999999</v>
      </c>
      <c r="G366" s="39">
        <v>122110.06992161919</v>
      </c>
      <c r="H366" s="40">
        <v>1.6142744258704322E-2</v>
      </c>
      <c r="I366" s="40">
        <v>-4.2858621844993339E-3</v>
      </c>
      <c r="J366" s="40">
        <v>8.5428458603904467E-3</v>
      </c>
    </row>
    <row r="367" spans="1:10" ht="11.25" customHeight="1" x14ac:dyDescent="0.2">
      <c r="A367" s="49">
        <v>44713</v>
      </c>
      <c r="B367" s="39">
        <v>0</v>
      </c>
      <c r="C367" s="39">
        <v>0</v>
      </c>
      <c r="D367" s="39">
        <v>187201.42350000003</v>
      </c>
      <c r="E367" s="39">
        <v>190223.36820442585</v>
      </c>
      <c r="F367" s="39">
        <v>110900.62956</v>
      </c>
      <c r="G367" s="39">
        <v>110425.32474553163</v>
      </c>
      <c r="H367" s="40">
        <v>1.6142744258703878E-2</v>
      </c>
      <c r="I367" s="40">
        <v>-4.2858621844993339E-3</v>
      </c>
      <c r="J367" s="40">
        <v>8.5428458603900026E-3</v>
      </c>
    </row>
    <row r="368" spans="1:10" ht="11.25" customHeight="1" x14ac:dyDescent="0.2">
      <c r="A368" s="44" t="s">
        <v>48</v>
      </c>
      <c r="B368" s="39">
        <v>0</v>
      </c>
      <c r="C368" s="39">
        <v>0</v>
      </c>
      <c r="D368" s="39">
        <v>39205.188749999994</v>
      </c>
      <c r="E368" s="39">
        <v>39838.068085605475</v>
      </c>
      <c r="F368" s="39">
        <v>23225.678700000004</v>
      </c>
      <c r="G368" s="39">
        <v>23126.136641950336</v>
      </c>
      <c r="H368" s="40">
        <v>1.6142744258704322E-2</v>
      </c>
      <c r="I368" s="40">
        <v>-4.2858621844996669E-3</v>
      </c>
      <c r="J368" s="40">
        <v>8.5428458603904467E-3</v>
      </c>
    </row>
    <row r="369" spans="1:10" ht="11.25" customHeight="1" x14ac:dyDescent="0.2">
      <c r="A369" s="45" t="s">
        <v>25</v>
      </c>
      <c r="B369" s="39">
        <v>0</v>
      </c>
      <c r="C369" s="39">
        <v>0</v>
      </c>
      <c r="D369" s="39">
        <v>39205.188749999994</v>
      </c>
      <c r="E369" s="39">
        <v>39838.068085605475</v>
      </c>
      <c r="F369" s="39">
        <v>23225.678700000004</v>
      </c>
      <c r="G369" s="39">
        <v>23126.136641950336</v>
      </c>
      <c r="H369" s="40">
        <v>1.6142744258704322E-2</v>
      </c>
      <c r="I369" s="40">
        <v>-4.2858621844996669E-3</v>
      </c>
      <c r="J369" s="40">
        <v>8.5428458603904467E-3</v>
      </c>
    </row>
    <row r="370" spans="1:10" ht="11.25" customHeight="1" x14ac:dyDescent="0.2">
      <c r="A370" s="46" t="s">
        <v>25</v>
      </c>
      <c r="B370" s="39">
        <v>0</v>
      </c>
      <c r="C370" s="39">
        <v>0</v>
      </c>
      <c r="D370" s="39">
        <v>39205.188749999994</v>
      </c>
      <c r="E370" s="39">
        <v>39838.068085605475</v>
      </c>
      <c r="F370" s="39">
        <v>23225.678700000004</v>
      </c>
      <c r="G370" s="39">
        <v>23126.136641950336</v>
      </c>
      <c r="H370" s="40">
        <v>1.6142744258704322E-2</v>
      </c>
      <c r="I370" s="40">
        <v>-4.2858621844996669E-3</v>
      </c>
      <c r="J370" s="40">
        <v>8.5428458603904467E-3</v>
      </c>
    </row>
    <row r="371" spans="1:10" ht="11.25" customHeight="1" x14ac:dyDescent="0.2">
      <c r="A371" s="47" t="s">
        <v>25</v>
      </c>
      <c r="B371" s="39">
        <v>0</v>
      </c>
      <c r="C371" s="39">
        <v>0</v>
      </c>
      <c r="D371" s="39">
        <v>39205.188749999994</v>
      </c>
      <c r="E371" s="39">
        <v>39838.068085605475</v>
      </c>
      <c r="F371" s="39">
        <v>23225.678700000004</v>
      </c>
      <c r="G371" s="39">
        <v>23126.136641950336</v>
      </c>
      <c r="H371" s="40">
        <v>1.6142744258704322E-2</v>
      </c>
      <c r="I371" s="40">
        <v>-4.2858621844996669E-3</v>
      </c>
      <c r="J371" s="40">
        <v>8.5428458603904467E-3</v>
      </c>
    </row>
    <row r="372" spans="1:10" ht="11.25" customHeight="1" x14ac:dyDescent="0.2">
      <c r="A372" s="48" t="s">
        <v>25</v>
      </c>
      <c r="B372" s="39">
        <v>0</v>
      </c>
      <c r="C372" s="39">
        <v>0</v>
      </c>
      <c r="D372" s="39">
        <v>39205.188749999994</v>
      </c>
      <c r="E372" s="39">
        <v>39838.068085605475</v>
      </c>
      <c r="F372" s="39">
        <v>23225.678700000004</v>
      </c>
      <c r="G372" s="39">
        <v>23126.136641950336</v>
      </c>
      <c r="H372" s="40">
        <v>1.6142744258704322E-2</v>
      </c>
      <c r="I372" s="40">
        <v>-4.2858621844996669E-3</v>
      </c>
      <c r="J372" s="40">
        <v>8.5428458603904467E-3</v>
      </c>
    </row>
    <row r="373" spans="1:10" ht="11.25" customHeight="1" x14ac:dyDescent="0.2">
      <c r="A373" s="49">
        <v>44378</v>
      </c>
      <c r="B373" s="39">
        <v>0</v>
      </c>
      <c r="C373" s="39">
        <v>0</v>
      </c>
      <c r="D373" s="39">
        <v>3233.57125</v>
      </c>
      <c r="E373" s="39">
        <v>3285.7699637310479</v>
      </c>
      <c r="F373" s="39">
        <v>1915.6108999999999</v>
      </c>
      <c r="G373" s="39">
        <v>1907.4008556834751</v>
      </c>
      <c r="H373" s="40">
        <v>1.61427442587041E-2</v>
      </c>
      <c r="I373" s="40">
        <v>-4.2858621844993339E-3</v>
      </c>
      <c r="J373" s="40">
        <v>8.5428458603904467E-3</v>
      </c>
    </row>
    <row r="374" spans="1:10" ht="11.25" customHeight="1" x14ac:dyDescent="0.2">
      <c r="A374" s="49">
        <v>44409</v>
      </c>
      <c r="B374" s="39">
        <v>0</v>
      </c>
      <c r="C374" s="39">
        <v>0</v>
      </c>
      <c r="D374" s="39">
        <v>3085.8360000000002</v>
      </c>
      <c r="E374" s="39">
        <v>3135.6498613723024</v>
      </c>
      <c r="F374" s="39">
        <v>1828.0905600000001</v>
      </c>
      <c r="G374" s="39">
        <v>1820.2556157990559</v>
      </c>
      <c r="H374" s="40">
        <v>1.61427442587041E-2</v>
      </c>
      <c r="I374" s="40">
        <v>-4.2858621844993339E-3</v>
      </c>
      <c r="J374" s="40">
        <v>8.5428458603904467E-3</v>
      </c>
    </row>
    <row r="375" spans="1:10" ht="11.25" customHeight="1" x14ac:dyDescent="0.2">
      <c r="A375" s="49">
        <v>44440</v>
      </c>
      <c r="B375" s="39">
        <v>0</v>
      </c>
      <c r="C375" s="39">
        <v>0</v>
      </c>
      <c r="D375" s="39">
        <v>2580.47075</v>
      </c>
      <c r="E375" s="39">
        <v>2622.1266293843164</v>
      </c>
      <c r="F375" s="39">
        <v>1528.70542</v>
      </c>
      <c r="G375" s="39">
        <v>1522.1535992491829</v>
      </c>
      <c r="H375" s="40">
        <v>1.61427442587041E-2</v>
      </c>
      <c r="I375" s="40">
        <v>-4.2858621844993339E-3</v>
      </c>
      <c r="J375" s="40">
        <v>8.5428458603904467E-3</v>
      </c>
    </row>
    <row r="376" spans="1:10" ht="11.25" customHeight="1" x14ac:dyDescent="0.2">
      <c r="A376" s="49">
        <v>44470</v>
      </c>
      <c r="B376" s="39">
        <v>0</v>
      </c>
      <c r="C376" s="39">
        <v>0</v>
      </c>
      <c r="D376" s="39">
        <v>2440.3989999999999</v>
      </c>
      <c r="E376" s="39">
        <v>2479.7937369461974</v>
      </c>
      <c r="F376" s="39">
        <v>1445.72504</v>
      </c>
      <c r="G376" s="39">
        <v>1439.5288617218803</v>
      </c>
      <c r="H376" s="40">
        <v>1.6142744258704322E-2</v>
      </c>
      <c r="I376" s="40">
        <v>-4.2858621844993339E-3</v>
      </c>
      <c r="J376" s="40">
        <v>8.5428458603904467E-3</v>
      </c>
    </row>
    <row r="377" spans="1:10" ht="11.25" customHeight="1" x14ac:dyDescent="0.2">
      <c r="A377" s="49">
        <v>44501</v>
      </c>
      <c r="B377" s="39">
        <v>0</v>
      </c>
      <c r="C377" s="39">
        <v>0</v>
      </c>
      <c r="D377" s="39">
        <v>3041.9837499999999</v>
      </c>
      <c r="E377" s="39">
        <v>3091.0897157153836</v>
      </c>
      <c r="F377" s="39">
        <v>1802.1118999999999</v>
      </c>
      <c r="G377" s="39">
        <v>1794.3882967555537</v>
      </c>
      <c r="H377" s="40">
        <v>1.61427442587041E-2</v>
      </c>
      <c r="I377" s="40">
        <v>-4.2858621844993339E-3</v>
      </c>
      <c r="J377" s="40">
        <v>8.5428458603906687E-3</v>
      </c>
    </row>
    <row r="378" spans="1:10" ht="11.25" customHeight="1" x14ac:dyDescent="0.2">
      <c r="A378" s="49">
        <v>44531</v>
      </c>
      <c r="B378" s="39">
        <v>0</v>
      </c>
      <c r="C378" s="39">
        <v>0</v>
      </c>
      <c r="D378" s="39">
        <v>3176.0949999999998</v>
      </c>
      <c r="E378" s="39">
        <v>3227.3658893263487</v>
      </c>
      <c r="F378" s="39">
        <v>1881.5611999999999</v>
      </c>
      <c r="G378" s="39">
        <v>1873.4970880050987</v>
      </c>
      <c r="H378" s="40">
        <v>1.61427442587041E-2</v>
      </c>
      <c r="I378" s="40">
        <v>-4.2858621844993339E-3</v>
      </c>
      <c r="J378" s="40">
        <v>8.5428458603904467E-3</v>
      </c>
    </row>
    <row r="379" spans="1:10" ht="11.25" customHeight="1" x14ac:dyDescent="0.2">
      <c r="A379" s="49">
        <v>44562</v>
      </c>
      <c r="B379" s="39">
        <v>0</v>
      </c>
      <c r="C379" s="39">
        <v>0</v>
      </c>
      <c r="D379" s="39">
        <v>4607.8922499999999</v>
      </c>
      <c r="E379" s="39">
        <v>4682.2762761634149</v>
      </c>
      <c r="F379" s="39">
        <v>2729.7770599999999</v>
      </c>
      <c r="G379" s="39">
        <v>2718.0776117264322</v>
      </c>
      <c r="H379" s="40">
        <v>1.61427442587041E-2</v>
      </c>
      <c r="I379" s="40">
        <v>-4.2858621844993339E-3</v>
      </c>
      <c r="J379" s="40">
        <v>8.5428458603904467E-3</v>
      </c>
    </row>
    <row r="380" spans="1:10" ht="11.25" customHeight="1" x14ac:dyDescent="0.2">
      <c r="A380" s="49">
        <v>44593</v>
      </c>
      <c r="B380" s="39">
        <v>0</v>
      </c>
      <c r="C380" s="39">
        <v>0</v>
      </c>
      <c r="D380" s="39">
        <v>4251.9652500000002</v>
      </c>
      <c r="E380" s="39">
        <v>4320.603637627647</v>
      </c>
      <c r="F380" s="39">
        <v>2518.9211399999999</v>
      </c>
      <c r="G380" s="39">
        <v>2508.1253911403383</v>
      </c>
      <c r="H380" s="40">
        <v>1.61427442587041E-2</v>
      </c>
      <c r="I380" s="40">
        <v>-4.2858621844992228E-3</v>
      </c>
      <c r="J380" s="40">
        <v>8.5428458603904467E-3</v>
      </c>
    </row>
    <row r="381" spans="1:10" ht="11.25" customHeight="1" x14ac:dyDescent="0.2">
      <c r="A381" s="49">
        <v>44621</v>
      </c>
      <c r="B381" s="39">
        <v>0</v>
      </c>
      <c r="C381" s="39">
        <v>0</v>
      </c>
      <c r="D381" s="39">
        <v>3845.3739999999998</v>
      </c>
      <c r="E381" s="39">
        <v>3907.4488890610701</v>
      </c>
      <c r="F381" s="39">
        <v>2278.0510399999998</v>
      </c>
      <c r="G381" s="39">
        <v>2268.2876271933046</v>
      </c>
      <c r="H381" s="40">
        <v>1.61427442587041E-2</v>
      </c>
      <c r="I381" s="40">
        <v>-4.2858621844992228E-3</v>
      </c>
      <c r="J381" s="40">
        <v>8.5428458603904467E-3</v>
      </c>
    </row>
    <row r="382" spans="1:10" ht="11.25" customHeight="1" x14ac:dyDescent="0.2">
      <c r="A382" s="49">
        <v>44652</v>
      </c>
      <c r="B382" s="39">
        <v>0</v>
      </c>
      <c r="C382" s="39">
        <v>0</v>
      </c>
      <c r="D382" s="39">
        <v>2815.0590000000002</v>
      </c>
      <c r="E382" s="39">
        <v>2860.5017775101633</v>
      </c>
      <c r="F382" s="39">
        <v>1667.6786400000001</v>
      </c>
      <c r="G382" s="39">
        <v>1660.5311991809267</v>
      </c>
      <c r="H382" s="40">
        <v>1.61427442587041E-2</v>
      </c>
      <c r="I382" s="40">
        <v>-4.2858621844994449E-3</v>
      </c>
      <c r="J382" s="40">
        <v>8.5428458603902246E-3</v>
      </c>
    </row>
    <row r="383" spans="1:10" ht="11.25" customHeight="1" x14ac:dyDescent="0.2">
      <c r="A383" s="49">
        <v>44682</v>
      </c>
      <c r="B383" s="39">
        <v>0</v>
      </c>
      <c r="C383" s="39">
        <v>0</v>
      </c>
      <c r="D383" s="39">
        <v>2834.6435000000001</v>
      </c>
      <c r="E383" s="39">
        <v>2880.402425085098</v>
      </c>
      <c r="F383" s="39">
        <v>1679.2807600000001</v>
      </c>
      <c r="G383" s="39">
        <v>1672.0835940935588</v>
      </c>
      <c r="H383" s="40">
        <v>1.61427442587041E-2</v>
      </c>
      <c r="I383" s="40">
        <v>-4.2858621844993339E-3</v>
      </c>
      <c r="J383" s="40">
        <v>8.5428458603904467E-3</v>
      </c>
    </row>
    <row r="384" spans="1:10" ht="11.25" customHeight="1" x14ac:dyDescent="0.2">
      <c r="A384" s="49">
        <v>44713</v>
      </c>
      <c r="B384" s="39">
        <v>0</v>
      </c>
      <c r="C384" s="39">
        <v>0</v>
      </c>
      <c r="D384" s="39">
        <v>3291.8989999999999</v>
      </c>
      <c r="E384" s="39">
        <v>3345.039283682484</v>
      </c>
      <c r="F384" s="39">
        <v>1950.1650400000001</v>
      </c>
      <c r="G384" s="39">
        <v>1941.8069014015314</v>
      </c>
      <c r="H384" s="40">
        <v>1.61427442587041E-2</v>
      </c>
      <c r="I384" s="40">
        <v>-4.2858621844993339E-3</v>
      </c>
      <c r="J384" s="40">
        <v>8.5428458603904467E-3</v>
      </c>
    </row>
    <row r="385" spans="1:10" ht="11.25" customHeight="1" x14ac:dyDescent="0.2">
      <c r="A385" s="44" t="s">
        <v>34</v>
      </c>
      <c r="B385" s="39">
        <v>0</v>
      </c>
      <c r="C385" s="39">
        <v>0</v>
      </c>
      <c r="D385" s="39">
        <v>267717.13475000008</v>
      </c>
      <c r="E385" s="39">
        <v>272038.82398994226</v>
      </c>
      <c r="F385" s="39">
        <v>158599.21485999998</v>
      </c>
      <c r="G385" s="39">
        <v>157919.48048254027</v>
      </c>
      <c r="H385" s="40">
        <v>1.6142744258704322E-2</v>
      </c>
      <c r="I385" s="40">
        <v>-4.2858621844995559E-3</v>
      </c>
      <c r="J385" s="40">
        <v>8.5428458603904467E-3</v>
      </c>
    </row>
    <row r="386" spans="1:10" ht="11.25" customHeight="1" x14ac:dyDescent="0.2">
      <c r="A386" s="45" t="s">
        <v>25</v>
      </c>
      <c r="B386" s="39">
        <v>0</v>
      </c>
      <c r="C386" s="39">
        <v>0</v>
      </c>
      <c r="D386" s="39">
        <v>267717.13475000008</v>
      </c>
      <c r="E386" s="39">
        <v>272038.82398994226</v>
      </c>
      <c r="F386" s="39">
        <v>158599.21485999998</v>
      </c>
      <c r="G386" s="39">
        <v>157919.48048254027</v>
      </c>
      <c r="H386" s="40">
        <v>1.6142744258704322E-2</v>
      </c>
      <c r="I386" s="40">
        <v>-4.2858621844995559E-3</v>
      </c>
      <c r="J386" s="40">
        <v>8.5428458603904467E-3</v>
      </c>
    </row>
    <row r="387" spans="1:10" ht="11.25" customHeight="1" x14ac:dyDescent="0.2">
      <c r="A387" s="46" t="s">
        <v>25</v>
      </c>
      <c r="B387" s="39">
        <v>0</v>
      </c>
      <c r="C387" s="39">
        <v>0</v>
      </c>
      <c r="D387" s="39">
        <v>267717.13475000008</v>
      </c>
      <c r="E387" s="39">
        <v>272038.82398994226</v>
      </c>
      <c r="F387" s="39">
        <v>158599.21485999998</v>
      </c>
      <c r="G387" s="39">
        <v>157919.48048254027</v>
      </c>
      <c r="H387" s="40">
        <v>1.6142744258704322E-2</v>
      </c>
      <c r="I387" s="40">
        <v>-4.2858621844995559E-3</v>
      </c>
      <c r="J387" s="40">
        <v>8.5428458603904467E-3</v>
      </c>
    </row>
    <row r="388" spans="1:10" ht="11.25" customHeight="1" x14ac:dyDescent="0.2">
      <c r="A388" s="47" t="s">
        <v>25</v>
      </c>
      <c r="B388" s="39">
        <v>0</v>
      </c>
      <c r="C388" s="39">
        <v>0</v>
      </c>
      <c r="D388" s="39">
        <v>267717.13475000008</v>
      </c>
      <c r="E388" s="39">
        <v>272038.82398994226</v>
      </c>
      <c r="F388" s="39">
        <v>158599.21485999998</v>
      </c>
      <c r="G388" s="39">
        <v>157919.48048254027</v>
      </c>
      <c r="H388" s="40">
        <v>1.6142744258704322E-2</v>
      </c>
      <c r="I388" s="40">
        <v>-4.2858621844995559E-3</v>
      </c>
      <c r="J388" s="40">
        <v>8.5428458603904467E-3</v>
      </c>
    </row>
    <row r="389" spans="1:10" ht="11.25" customHeight="1" x14ac:dyDescent="0.2">
      <c r="A389" s="48" t="s">
        <v>25</v>
      </c>
      <c r="B389" s="39">
        <v>0</v>
      </c>
      <c r="C389" s="39">
        <v>0</v>
      </c>
      <c r="D389" s="39">
        <v>267717.13475000008</v>
      </c>
      <c r="E389" s="39">
        <v>272038.82398994226</v>
      </c>
      <c r="F389" s="39">
        <v>158599.21485999998</v>
      </c>
      <c r="G389" s="39">
        <v>157919.48048254027</v>
      </c>
      <c r="H389" s="40">
        <v>1.6142744258704322E-2</v>
      </c>
      <c r="I389" s="40">
        <v>-4.2858621844995559E-3</v>
      </c>
      <c r="J389" s="40">
        <v>8.5428458603904467E-3</v>
      </c>
    </row>
    <row r="390" spans="1:10" ht="11.25" customHeight="1" x14ac:dyDescent="0.2">
      <c r="A390" s="49">
        <v>44378</v>
      </c>
      <c r="B390" s="39">
        <v>0</v>
      </c>
      <c r="C390" s="39">
        <v>0</v>
      </c>
      <c r="D390" s="39">
        <v>16678.3305</v>
      </c>
      <c r="E390" s="39">
        <v>16947.564523923647</v>
      </c>
      <c r="F390" s="39">
        <v>9880.4662800000006</v>
      </c>
      <c r="G390" s="39">
        <v>9838.1199632053285</v>
      </c>
      <c r="H390" s="40">
        <v>1.6142744258704322E-2</v>
      </c>
      <c r="I390" s="40">
        <v>-4.2858621844992228E-3</v>
      </c>
      <c r="J390" s="40">
        <v>8.5428458603904467E-3</v>
      </c>
    </row>
    <row r="391" spans="1:10" ht="11.25" customHeight="1" x14ac:dyDescent="0.2">
      <c r="A391" s="49">
        <v>44409</v>
      </c>
      <c r="B391" s="39">
        <v>0</v>
      </c>
      <c r="C391" s="39">
        <v>0</v>
      </c>
      <c r="D391" s="39">
        <v>22723.554750000003</v>
      </c>
      <c r="E391" s="39">
        <v>23090.375282977911</v>
      </c>
      <c r="F391" s="39">
        <v>13461.73806</v>
      </c>
      <c r="G391" s="39">
        <v>13404.04290591101</v>
      </c>
      <c r="H391" s="40">
        <v>1.61427442587041E-2</v>
      </c>
      <c r="I391" s="40">
        <v>-4.2858621844993339E-3</v>
      </c>
      <c r="J391" s="40">
        <v>8.5428458603904467E-3</v>
      </c>
    </row>
    <row r="392" spans="1:10" ht="11.25" customHeight="1" x14ac:dyDescent="0.2">
      <c r="A392" s="49">
        <v>44440</v>
      </c>
      <c r="B392" s="39">
        <v>0</v>
      </c>
      <c r="C392" s="39">
        <v>0</v>
      </c>
      <c r="D392" s="39">
        <v>29298.837750000002</v>
      </c>
      <c r="E392" s="39">
        <v>29771.801394875518</v>
      </c>
      <c r="F392" s="39">
        <v>17357.023740000001</v>
      </c>
      <c r="G392" s="39">
        <v>17282.633928317278</v>
      </c>
      <c r="H392" s="40">
        <v>1.61427442587041E-2</v>
      </c>
      <c r="I392" s="40">
        <v>-4.2858621844992228E-3</v>
      </c>
      <c r="J392" s="40">
        <v>8.5428458603904467E-3</v>
      </c>
    </row>
    <row r="393" spans="1:10" ht="11.25" customHeight="1" x14ac:dyDescent="0.2">
      <c r="A393" s="49">
        <v>44470</v>
      </c>
      <c r="B393" s="39">
        <v>0</v>
      </c>
      <c r="C393" s="39">
        <v>0</v>
      </c>
      <c r="D393" s="39">
        <v>28447.337750000002</v>
      </c>
      <c r="E393" s="39">
        <v>28906.555848139229</v>
      </c>
      <c r="F393" s="39">
        <v>16852.583740000002</v>
      </c>
      <c r="G393" s="39">
        <v>16780.355888637627</v>
      </c>
      <c r="H393" s="40">
        <v>1.61427442587041E-2</v>
      </c>
      <c r="I393" s="40">
        <v>-4.2858621844993339E-3</v>
      </c>
      <c r="J393" s="40">
        <v>8.5428458603902246E-3</v>
      </c>
    </row>
    <row r="394" spans="1:10" ht="11.25" customHeight="1" x14ac:dyDescent="0.2">
      <c r="A394" s="49">
        <v>44501</v>
      </c>
      <c r="B394" s="39">
        <v>0</v>
      </c>
      <c r="C394" s="39">
        <v>0</v>
      </c>
      <c r="D394" s="39">
        <v>29087.66575</v>
      </c>
      <c r="E394" s="39">
        <v>29557.220499284918</v>
      </c>
      <c r="F394" s="39">
        <v>17231.922620000001</v>
      </c>
      <c r="G394" s="39">
        <v>17158.068974476722</v>
      </c>
      <c r="H394" s="40">
        <v>1.61427442587041E-2</v>
      </c>
      <c r="I394" s="40">
        <v>-4.2858621844994449E-3</v>
      </c>
      <c r="J394" s="40">
        <v>8.5428458603904467E-3</v>
      </c>
    </row>
    <row r="395" spans="1:10" ht="11.25" customHeight="1" x14ac:dyDescent="0.2">
      <c r="A395" s="49">
        <v>44531</v>
      </c>
      <c r="B395" s="39">
        <v>0</v>
      </c>
      <c r="C395" s="39">
        <v>0</v>
      </c>
      <c r="D395" s="39">
        <v>27936.437750000001</v>
      </c>
      <c r="E395" s="39">
        <v>28387.408520097459</v>
      </c>
      <c r="F395" s="39">
        <v>16549.919740000001</v>
      </c>
      <c r="G395" s="39">
        <v>16478.989064829835</v>
      </c>
      <c r="H395" s="40">
        <v>1.61427442587041E-2</v>
      </c>
      <c r="I395" s="40">
        <v>-4.2858621844994449E-3</v>
      </c>
      <c r="J395" s="40">
        <v>8.5428458603904467E-3</v>
      </c>
    </row>
    <row r="396" spans="1:10" ht="11.25" customHeight="1" x14ac:dyDescent="0.2">
      <c r="A396" s="49">
        <v>44562</v>
      </c>
      <c r="B396" s="39">
        <v>0</v>
      </c>
      <c r="C396" s="39">
        <v>0</v>
      </c>
      <c r="D396" s="39">
        <v>26903.142500000002</v>
      </c>
      <c r="E396" s="39">
        <v>27337.433049132971</v>
      </c>
      <c r="F396" s="39">
        <v>15937.781799999999</v>
      </c>
      <c r="G396" s="39">
        <v>15869.474663678577</v>
      </c>
      <c r="H396" s="40">
        <v>1.6142744258703878E-2</v>
      </c>
      <c r="I396" s="40">
        <v>-4.2858621844993339E-3</v>
      </c>
      <c r="J396" s="40">
        <v>8.5428458603902246E-3</v>
      </c>
    </row>
    <row r="397" spans="1:10" ht="11.25" customHeight="1" x14ac:dyDescent="0.2">
      <c r="A397" s="49">
        <v>44593</v>
      </c>
      <c r="B397" s="39">
        <v>0</v>
      </c>
      <c r="C397" s="39">
        <v>0</v>
      </c>
      <c r="D397" s="39">
        <v>29741.191999999999</v>
      </c>
      <c r="E397" s="39">
        <v>30221.296456405016</v>
      </c>
      <c r="F397" s="39">
        <v>17619.080320000001</v>
      </c>
      <c r="G397" s="39">
        <v>17543.567369930854</v>
      </c>
      <c r="H397" s="40">
        <v>1.61427442587041E-2</v>
      </c>
      <c r="I397" s="40">
        <v>-4.2858621844994449E-3</v>
      </c>
      <c r="J397" s="40">
        <v>8.5428458603902246E-3</v>
      </c>
    </row>
    <row r="398" spans="1:10" ht="11.25" customHeight="1" x14ac:dyDescent="0.2">
      <c r="A398" s="49">
        <v>44621</v>
      </c>
      <c r="B398" s="39">
        <v>0</v>
      </c>
      <c r="C398" s="39">
        <v>0</v>
      </c>
      <c r="D398" s="39">
        <v>22683.108500000002</v>
      </c>
      <c r="E398" s="39">
        <v>23049.276119507937</v>
      </c>
      <c r="F398" s="39">
        <v>13437.77716</v>
      </c>
      <c r="G398" s="39">
        <v>13380.184699026227</v>
      </c>
      <c r="H398" s="40">
        <v>1.6142744258703878E-2</v>
      </c>
      <c r="I398" s="40">
        <v>-4.2858621844993339E-3</v>
      </c>
      <c r="J398" s="40">
        <v>8.5428458603904467E-3</v>
      </c>
    </row>
    <row r="399" spans="1:10" ht="11.25" customHeight="1" x14ac:dyDescent="0.2">
      <c r="A399" s="49">
        <v>44652</v>
      </c>
      <c r="B399" s="39">
        <v>0</v>
      </c>
      <c r="C399" s="39">
        <v>0</v>
      </c>
      <c r="D399" s="39">
        <v>12920.23525</v>
      </c>
      <c r="E399" s="39">
        <v>13128.803303403043</v>
      </c>
      <c r="F399" s="39">
        <v>7654.1203400000004</v>
      </c>
      <c r="G399" s="39">
        <v>7621.3158350791873</v>
      </c>
      <c r="H399" s="40">
        <v>1.61427442587041E-2</v>
      </c>
      <c r="I399" s="40">
        <v>-4.2858621844993339E-3</v>
      </c>
      <c r="J399" s="40">
        <v>8.5428458603904467E-3</v>
      </c>
    </row>
    <row r="400" spans="1:10" ht="11.25" customHeight="1" x14ac:dyDescent="0.2">
      <c r="A400" s="49">
        <v>44682</v>
      </c>
      <c r="B400" s="39">
        <v>0</v>
      </c>
      <c r="C400" s="39">
        <v>0</v>
      </c>
      <c r="D400" s="39">
        <v>9873.5682500000003</v>
      </c>
      <c r="E400" s="39">
        <v>10032.954737180611</v>
      </c>
      <c r="F400" s="39">
        <v>5849.2340199999999</v>
      </c>
      <c r="G400" s="39">
        <v>5824.1650091053943</v>
      </c>
      <c r="H400" s="40">
        <v>1.61427442587041E-2</v>
      </c>
      <c r="I400" s="40">
        <v>-4.2858621844994449E-3</v>
      </c>
      <c r="J400" s="40">
        <v>8.5428458603904467E-3</v>
      </c>
    </row>
    <row r="401" spans="1:10" ht="11.25" customHeight="1" x14ac:dyDescent="0.2">
      <c r="A401" s="49">
        <v>44713</v>
      </c>
      <c r="B401" s="39">
        <v>0</v>
      </c>
      <c r="C401" s="39">
        <v>0</v>
      </c>
      <c r="D401" s="39">
        <v>11423.724</v>
      </c>
      <c r="E401" s="39">
        <v>11608.13425501402</v>
      </c>
      <c r="F401" s="39">
        <v>6767.5670400000008</v>
      </c>
      <c r="G401" s="39">
        <v>6738.5621803422</v>
      </c>
      <c r="H401" s="40">
        <v>1.61427442587041E-2</v>
      </c>
      <c r="I401" s="40">
        <v>-4.2858621844994449E-3</v>
      </c>
      <c r="J401" s="40">
        <v>8.5428458603904467E-3</v>
      </c>
    </row>
    <row r="402" spans="1:10" ht="11.25" customHeight="1" x14ac:dyDescent="0.2">
      <c r="A402" s="44" t="s">
        <v>42</v>
      </c>
      <c r="B402" s="39">
        <v>0</v>
      </c>
      <c r="C402" s="39">
        <v>0</v>
      </c>
      <c r="D402" s="39">
        <v>1015535.0887500001</v>
      </c>
      <c r="E402" s="39">
        <v>1031928.6119734317</v>
      </c>
      <c r="F402" s="39">
        <v>601616.58270000003</v>
      </c>
      <c r="G402" s="39">
        <v>599038.1369386384</v>
      </c>
      <c r="H402" s="40">
        <v>1.61427442587041E-2</v>
      </c>
      <c r="I402" s="40">
        <v>-4.2858621844994449E-3</v>
      </c>
      <c r="J402" s="40">
        <v>8.5428458603902246E-3</v>
      </c>
    </row>
    <row r="403" spans="1:10" ht="11.25" customHeight="1" x14ac:dyDescent="0.2">
      <c r="A403" s="45" t="s">
        <v>25</v>
      </c>
      <c r="B403" s="39">
        <v>0</v>
      </c>
      <c r="C403" s="39">
        <v>0</v>
      </c>
      <c r="D403" s="39">
        <v>1015535.0887500001</v>
      </c>
      <c r="E403" s="39">
        <v>1031928.6119734317</v>
      </c>
      <c r="F403" s="39">
        <v>601616.58270000003</v>
      </c>
      <c r="G403" s="39">
        <v>599038.1369386384</v>
      </c>
      <c r="H403" s="40">
        <v>1.61427442587041E-2</v>
      </c>
      <c r="I403" s="40">
        <v>-4.2858621844994449E-3</v>
      </c>
      <c r="J403" s="40">
        <v>8.5428458603902246E-3</v>
      </c>
    </row>
    <row r="404" spans="1:10" ht="11.25" customHeight="1" x14ac:dyDescent="0.2">
      <c r="A404" s="46" t="s">
        <v>25</v>
      </c>
      <c r="B404" s="39">
        <v>0</v>
      </c>
      <c r="C404" s="39">
        <v>0</v>
      </c>
      <c r="D404" s="39">
        <v>1015535.0887500001</v>
      </c>
      <c r="E404" s="39">
        <v>1031928.6119734317</v>
      </c>
      <c r="F404" s="39">
        <v>601616.58270000003</v>
      </c>
      <c r="G404" s="39">
        <v>599038.1369386384</v>
      </c>
      <c r="H404" s="40">
        <v>1.61427442587041E-2</v>
      </c>
      <c r="I404" s="40">
        <v>-4.2858621844994449E-3</v>
      </c>
      <c r="J404" s="40">
        <v>8.5428458603902246E-3</v>
      </c>
    </row>
    <row r="405" spans="1:10" ht="11.25" customHeight="1" x14ac:dyDescent="0.2">
      <c r="A405" s="47" t="s">
        <v>25</v>
      </c>
      <c r="B405" s="39">
        <v>0</v>
      </c>
      <c r="C405" s="39">
        <v>0</v>
      </c>
      <c r="D405" s="39">
        <v>1015535.0887500001</v>
      </c>
      <c r="E405" s="39">
        <v>1031928.6119734317</v>
      </c>
      <c r="F405" s="39">
        <v>601616.58270000003</v>
      </c>
      <c r="G405" s="39">
        <v>599038.1369386384</v>
      </c>
      <c r="H405" s="40">
        <v>1.61427442587041E-2</v>
      </c>
      <c r="I405" s="40">
        <v>-4.2858621844994449E-3</v>
      </c>
      <c r="J405" s="40">
        <v>8.5428458603902246E-3</v>
      </c>
    </row>
    <row r="406" spans="1:10" ht="11.25" customHeight="1" x14ac:dyDescent="0.2">
      <c r="A406" s="48" t="s">
        <v>25</v>
      </c>
      <c r="B406" s="39">
        <v>0</v>
      </c>
      <c r="C406" s="39">
        <v>0</v>
      </c>
      <c r="D406" s="39">
        <v>1015535.0887500001</v>
      </c>
      <c r="E406" s="39">
        <v>1031928.6119734317</v>
      </c>
      <c r="F406" s="39">
        <v>601616.58270000003</v>
      </c>
      <c r="G406" s="39">
        <v>599038.1369386384</v>
      </c>
      <c r="H406" s="40">
        <v>1.61427442587041E-2</v>
      </c>
      <c r="I406" s="40">
        <v>-4.2858621844994449E-3</v>
      </c>
      <c r="J406" s="40">
        <v>8.5428458603902246E-3</v>
      </c>
    </row>
    <row r="407" spans="1:10" ht="11.25" customHeight="1" x14ac:dyDescent="0.2">
      <c r="A407" s="49">
        <v>44378</v>
      </c>
      <c r="B407" s="39">
        <v>0</v>
      </c>
      <c r="C407" s="39">
        <v>0</v>
      </c>
      <c r="D407" s="39">
        <v>83892.334499999997</v>
      </c>
      <c r="E407" s="39">
        <v>85246.587001099149</v>
      </c>
      <c r="F407" s="39">
        <v>49698.942119999992</v>
      </c>
      <c r="G407" s="39">
        <v>49485.939303358267</v>
      </c>
      <c r="H407" s="40">
        <v>1.61427442587041E-2</v>
      </c>
      <c r="I407" s="40">
        <v>-4.2858621844992228E-3</v>
      </c>
      <c r="J407" s="40">
        <v>8.5428458603904467E-3</v>
      </c>
    </row>
    <row r="408" spans="1:10" ht="11.25" customHeight="1" x14ac:dyDescent="0.2">
      <c r="A408" s="49">
        <v>44409</v>
      </c>
      <c r="B408" s="39">
        <v>0</v>
      </c>
      <c r="C408" s="39">
        <v>0</v>
      </c>
      <c r="D408" s="39">
        <v>80092.515750000006</v>
      </c>
      <c r="E408" s="39">
        <v>81385.428748788472</v>
      </c>
      <c r="F408" s="39">
        <v>47447.878619999996</v>
      </c>
      <c r="G408" s="39">
        <v>47244.523551287828</v>
      </c>
      <c r="H408" s="40">
        <v>1.6142744258703878E-2</v>
      </c>
      <c r="I408" s="40">
        <v>-4.2858621844992228E-3</v>
      </c>
      <c r="J408" s="40">
        <v>8.5428458603904467E-3</v>
      </c>
    </row>
    <row r="409" spans="1:10" ht="11.25" customHeight="1" x14ac:dyDescent="0.2">
      <c r="A409" s="49">
        <v>44440</v>
      </c>
      <c r="B409" s="39">
        <v>0</v>
      </c>
      <c r="C409" s="39">
        <v>0</v>
      </c>
      <c r="D409" s="39">
        <v>72249.349249999999</v>
      </c>
      <c r="E409" s="39">
        <v>73415.652017800545</v>
      </c>
      <c r="F409" s="39">
        <v>42801.481780000002</v>
      </c>
      <c r="G409" s="39">
        <v>42618.040527798556</v>
      </c>
      <c r="H409" s="40">
        <v>1.61427442587041E-2</v>
      </c>
      <c r="I409" s="40">
        <v>-4.2858621844994449E-3</v>
      </c>
      <c r="J409" s="40">
        <v>8.5428458603902246E-3</v>
      </c>
    </row>
    <row r="410" spans="1:10" ht="11.25" customHeight="1" x14ac:dyDescent="0.2">
      <c r="A410" s="49">
        <v>44470</v>
      </c>
      <c r="B410" s="39">
        <v>0</v>
      </c>
      <c r="C410" s="39">
        <v>0</v>
      </c>
      <c r="D410" s="39">
        <v>66981.970250000013</v>
      </c>
      <c r="E410" s="39">
        <v>68063.24306568988</v>
      </c>
      <c r="F410" s="39">
        <v>39681.015940000005</v>
      </c>
      <c r="G410" s="39">
        <v>39510.94857434024</v>
      </c>
      <c r="H410" s="40">
        <v>1.6142744258703878E-2</v>
      </c>
      <c r="I410" s="40">
        <v>-4.2858621844994449E-3</v>
      </c>
      <c r="J410" s="40">
        <v>8.5428458603902246E-3</v>
      </c>
    </row>
    <row r="411" spans="1:10" ht="11.25" customHeight="1" x14ac:dyDescent="0.2">
      <c r="A411" s="49">
        <v>44501</v>
      </c>
      <c r="B411" s="39">
        <v>0</v>
      </c>
      <c r="C411" s="39">
        <v>0</v>
      </c>
      <c r="D411" s="39">
        <v>77718.108000000007</v>
      </c>
      <c r="E411" s="39">
        <v>78972.691541714346</v>
      </c>
      <c r="F411" s="39">
        <v>46041.24768</v>
      </c>
      <c r="G411" s="39">
        <v>45843.921237641123</v>
      </c>
      <c r="H411" s="40">
        <v>1.61427442587041E-2</v>
      </c>
      <c r="I411" s="40">
        <v>-4.2858621844992228E-3</v>
      </c>
      <c r="J411" s="40">
        <v>8.5428458603902246E-3</v>
      </c>
    </row>
    <row r="412" spans="1:10" ht="11.25" customHeight="1" x14ac:dyDescent="0.2">
      <c r="A412" s="49">
        <v>44531</v>
      </c>
      <c r="B412" s="39">
        <v>0</v>
      </c>
      <c r="C412" s="39">
        <v>0</v>
      </c>
      <c r="D412" s="39">
        <v>83883.819499999998</v>
      </c>
      <c r="E412" s="39">
        <v>85237.934545631797</v>
      </c>
      <c r="F412" s="39">
        <v>49693.897720000001</v>
      </c>
      <c r="G412" s="39">
        <v>49480.916522961474</v>
      </c>
      <c r="H412" s="40">
        <v>1.61427442587041E-2</v>
      </c>
      <c r="I412" s="40">
        <v>-4.2858621844993339E-3</v>
      </c>
      <c r="J412" s="40">
        <v>8.5428458603904467E-3</v>
      </c>
    </row>
    <row r="413" spans="1:10" ht="11.25" customHeight="1" x14ac:dyDescent="0.2">
      <c r="A413" s="49">
        <v>44562</v>
      </c>
      <c r="B413" s="39">
        <v>0</v>
      </c>
      <c r="C413" s="39">
        <v>0</v>
      </c>
      <c r="D413" s="39">
        <v>89077.117999999988</v>
      </c>
      <c r="E413" s="39">
        <v>90515.067135176403</v>
      </c>
      <c r="F413" s="39">
        <v>52770.477279999999</v>
      </c>
      <c r="G413" s="39">
        <v>52544.310286967666</v>
      </c>
      <c r="H413" s="40">
        <v>1.61427442587041E-2</v>
      </c>
      <c r="I413" s="40">
        <v>-4.2858621844993339E-3</v>
      </c>
      <c r="J413" s="40">
        <v>8.5428458603904467E-3</v>
      </c>
    </row>
    <row r="414" spans="1:10" ht="11.25" customHeight="1" x14ac:dyDescent="0.2">
      <c r="A414" s="49">
        <v>44593</v>
      </c>
      <c r="B414" s="39">
        <v>0</v>
      </c>
      <c r="C414" s="39">
        <v>0</v>
      </c>
      <c r="D414" s="39">
        <v>96114.339749999999</v>
      </c>
      <c r="E414" s="39">
        <v>97665.888956178445</v>
      </c>
      <c r="F414" s="39">
        <v>56939.42166</v>
      </c>
      <c r="G414" s="39">
        <v>56695.387145900146</v>
      </c>
      <c r="H414" s="40">
        <v>1.61427442587041E-2</v>
      </c>
      <c r="I414" s="40">
        <v>-4.2858621844993339E-3</v>
      </c>
      <c r="J414" s="40">
        <v>8.5428458603902246E-3</v>
      </c>
    </row>
    <row r="415" spans="1:10" ht="11.25" customHeight="1" x14ac:dyDescent="0.2">
      <c r="A415" s="49">
        <v>44621</v>
      </c>
      <c r="B415" s="39">
        <v>0</v>
      </c>
      <c r="C415" s="39">
        <v>0</v>
      </c>
      <c r="D415" s="39">
        <v>102650.02799999999</v>
      </c>
      <c r="E415" s="39">
        <v>104307.08115015281</v>
      </c>
      <c r="F415" s="39">
        <v>60811.25088</v>
      </c>
      <c r="G415" s="39">
        <v>60550.622239461307</v>
      </c>
      <c r="H415" s="40">
        <v>1.61427442587041E-2</v>
      </c>
      <c r="I415" s="40">
        <v>-4.2858621844993339E-3</v>
      </c>
      <c r="J415" s="40">
        <v>8.5428458603904467E-3</v>
      </c>
    </row>
    <row r="416" spans="1:10" ht="11.25" customHeight="1" x14ac:dyDescent="0.2">
      <c r="A416" s="49">
        <v>44652</v>
      </c>
      <c r="B416" s="39">
        <v>0</v>
      </c>
      <c r="C416" s="39">
        <v>0</v>
      </c>
      <c r="D416" s="39">
        <v>84917.540499999988</v>
      </c>
      <c r="E416" s="39">
        <v>86288.342639369643</v>
      </c>
      <c r="F416" s="39">
        <v>50306.287880000003</v>
      </c>
      <c r="G416" s="39">
        <v>50090.682063132575</v>
      </c>
      <c r="H416" s="40">
        <v>1.61427442587041E-2</v>
      </c>
      <c r="I416" s="40">
        <v>-4.2858621844993339E-3</v>
      </c>
      <c r="J416" s="40">
        <v>8.5428458603904467E-3</v>
      </c>
    </row>
    <row r="417" spans="1:10" ht="11.25" customHeight="1" x14ac:dyDescent="0.2">
      <c r="A417" s="49">
        <v>44682</v>
      </c>
      <c r="B417" s="39">
        <v>0</v>
      </c>
      <c r="C417" s="39">
        <v>0</v>
      </c>
      <c r="D417" s="39">
        <v>86078.986499999999</v>
      </c>
      <c r="E417" s="39">
        <v>87468.537565117949</v>
      </c>
      <c r="F417" s="39">
        <v>50994.344040000004</v>
      </c>
      <c r="G417" s="39">
        <v>50775.789309255619</v>
      </c>
      <c r="H417" s="40">
        <v>1.61427442587041E-2</v>
      </c>
      <c r="I417" s="40">
        <v>-4.2858621844993339E-3</v>
      </c>
      <c r="J417" s="40">
        <v>8.5428458603904467E-3</v>
      </c>
    </row>
    <row r="418" spans="1:10" ht="11.25" customHeight="1" x14ac:dyDescent="0.2">
      <c r="A418" s="49">
        <v>44713</v>
      </c>
      <c r="B418" s="39">
        <v>0</v>
      </c>
      <c r="C418" s="39">
        <v>0</v>
      </c>
      <c r="D418" s="39">
        <v>91878.978749999995</v>
      </c>
      <c r="E418" s="39">
        <v>93362.157606712164</v>
      </c>
      <c r="F418" s="39">
        <v>54430.337099999997</v>
      </c>
      <c r="G418" s="39">
        <v>54197.056176533559</v>
      </c>
      <c r="H418" s="40">
        <v>1.6142744258704322E-2</v>
      </c>
      <c r="I418" s="40">
        <v>-4.2858621844993339E-3</v>
      </c>
      <c r="J418" s="40">
        <v>8.5428458603904467E-3</v>
      </c>
    </row>
    <row r="419" spans="1:10" ht="11.25" customHeight="1" x14ac:dyDescent="0.2">
      <c r="A419" s="44" t="s">
        <v>46</v>
      </c>
      <c r="B419" s="39">
        <v>0</v>
      </c>
      <c r="C419" s="39">
        <v>0</v>
      </c>
      <c r="D419" s="39">
        <v>405446.08467999997</v>
      </c>
      <c r="E419" s="39">
        <v>411991.09713568218</v>
      </c>
      <c r="F419" s="39">
        <v>240191.68873280002</v>
      </c>
      <c r="G419" s="39">
        <v>239162.26025702903</v>
      </c>
      <c r="H419" s="40">
        <v>1.6142744258704322E-2</v>
      </c>
      <c r="I419" s="40">
        <v>-4.2858621844995559E-3</v>
      </c>
      <c r="J419" s="40">
        <v>8.5428458603904467E-3</v>
      </c>
    </row>
    <row r="420" spans="1:10" ht="11.25" customHeight="1" x14ac:dyDescent="0.2">
      <c r="A420" s="45" t="s">
        <v>47</v>
      </c>
      <c r="B420" s="39">
        <v>0</v>
      </c>
      <c r="C420" s="39">
        <v>0</v>
      </c>
      <c r="D420" s="39">
        <v>405446.08467999997</v>
      </c>
      <c r="E420" s="39">
        <v>411991.09713568218</v>
      </c>
      <c r="F420" s="39">
        <v>240191.68873280002</v>
      </c>
      <c r="G420" s="39">
        <v>239162.26025702903</v>
      </c>
      <c r="H420" s="40">
        <v>1.6142744258704322E-2</v>
      </c>
      <c r="I420" s="40">
        <v>-4.2858621844995559E-3</v>
      </c>
      <c r="J420" s="40">
        <v>8.5428458603904467E-3</v>
      </c>
    </row>
    <row r="421" spans="1:10" ht="11.25" customHeight="1" x14ac:dyDescent="0.2">
      <c r="A421" s="46" t="s">
        <v>25</v>
      </c>
      <c r="B421" s="39">
        <v>0</v>
      </c>
      <c r="C421" s="39">
        <v>0</v>
      </c>
      <c r="D421" s="39">
        <v>405446.08467999997</v>
      </c>
      <c r="E421" s="39">
        <v>411991.09713568218</v>
      </c>
      <c r="F421" s="39">
        <v>240191.68873280002</v>
      </c>
      <c r="G421" s="39">
        <v>239162.26025702903</v>
      </c>
      <c r="H421" s="40">
        <v>1.6142744258704322E-2</v>
      </c>
      <c r="I421" s="40">
        <v>-4.2858621844995559E-3</v>
      </c>
      <c r="J421" s="40">
        <v>8.5428458603904467E-3</v>
      </c>
    </row>
    <row r="422" spans="1:10" ht="11.25" customHeight="1" x14ac:dyDescent="0.2">
      <c r="A422" s="47" t="s">
        <v>25</v>
      </c>
      <c r="B422" s="39">
        <v>0</v>
      </c>
      <c r="C422" s="39">
        <v>0</v>
      </c>
      <c r="D422" s="39">
        <v>405446.08467999997</v>
      </c>
      <c r="E422" s="39">
        <v>411991.09713568218</v>
      </c>
      <c r="F422" s="39">
        <v>240191.68873280002</v>
      </c>
      <c r="G422" s="39">
        <v>239162.26025702903</v>
      </c>
      <c r="H422" s="40">
        <v>1.6142744258704322E-2</v>
      </c>
      <c r="I422" s="40">
        <v>-4.2858621844995559E-3</v>
      </c>
      <c r="J422" s="40">
        <v>8.5428458603904467E-3</v>
      </c>
    </row>
    <row r="423" spans="1:10" ht="11.25" customHeight="1" x14ac:dyDescent="0.2">
      <c r="A423" s="48" t="s">
        <v>25</v>
      </c>
      <c r="B423" s="39">
        <v>0</v>
      </c>
      <c r="C423" s="39">
        <v>0</v>
      </c>
      <c r="D423" s="39">
        <v>405446.08467999997</v>
      </c>
      <c r="E423" s="39">
        <v>411991.09713568218</v>
      </c>
      <c r="F423" s="39">
        <v>240191.68873280002</v>
      </c>
      <c r="G423" s="39">
        <v>239162.26025702903</v>
      </c>
      <c r="H423" s="40">
        <v>1.6142744258704322E-2</v>
      </c>
      <c r="I423" s="40">
        <v>-4.2858621844995559E-3</v>
      </c>
      <c r="J423" s="40">
        <v>8.5428458603904467E-3</v>
      </c>
    </row>
    <row r="424" spans="1:10" ht="11.25" customHeight="1" x14ac:dyDescent="0.2">
      <c r="A424" s="49">
        <v>44378</v>
      </c>
      <c r="B424" s="39">
        <v>0</v>
      </c>
      <c r="C424" s="39">
        <v>0</v>
      </c>
      <c r="D424" s="39">
        <v>31937.559614999998</v>
      </c>
      <c r="E424" s="39">
        <v>32453.119472112063</v>
      </c>
      <c r="F424" s="39">
        <v>18920.237900399999</v>
      </c>
      <c r="G424" s="39">
        <v>18839.148368260943</v>
      </c>
      <c r="H424" s="40">
        <v>1.61427442587041E-2</v>
      </c>
      <c r="I424" s="40">
        <v>-4.2858621844993339E-3</v>
      </c>
      <c r="J424" s="40">
        <v>8.5428458603904467E-3</v>
      </c>
    </row>
    <row r="425" spans="1:10" ht="11.25" customHeight="1" x14ac:dyDescent="0.2">
      <c r="A425" s="49">
        <v>44409</v>
      </c>
      <c r="B425" s="39">
        <v>0</v>
      </c>
      <c r="C425" s="39">
        <v>0</v>
      </c>
      <c r="D425" s="39">
        <v>31438.503979999994</v>
      </c>
      <c r="E425" s="39">
        <v>31946.007709625384</v>
      </c>
      <c r="F425" s="39">
        <v>18624.590660799997</v>
      </c>
      <c r="G425" s="39">
        <v>18544.768231985094</v>
      </c>
      <c r="H425" s="40">
        <v>1.61427442587041E-2</v>
      </c>
      <c r="I425" s="40">
        <v>-4.2858621844993339E-3</v>
      </c>
      <c r="J425" s="40">
        <v>8.5428458603904467E-3</v>
      </c>
    </row>
    <row r="426" spans="1:10" ht="11.25" customHeight="1" x14ac:dyDescent="0.2">
      <c r="A426" s="49">
        <v>44440</v>
      </c>
      <c r="B426" s="39">
        <v>0</v>
      </c>
      <c r="C426" s="39">
        <v>0</v>
      </c>
      <c r="D426" s="39">
        <v>31717.446865000002</v>
      </c>
      <c r="E426" s="39">
        <v>32229.453498280734</v>
      </c>
      <c r="F426" s="39">
        <v>18789.840160400003</v>
      </c>
      <c r="G426" s="39">
        <v>18709.309495003756</v>
      </c>
      <c r="H426" s="40">
        <v>1.61427442587041E-2</v>
      </c>
      <c r="I426" s="40">
        <v>-4.2858621844994449E-3</v>
      </c>
      <c r="J426" s="40">
        <v>8.5428458603904467E-3</v>
      </c>
    </row>
    <row r="427" spans="1:10" ht="11.25" customHeight="1" x14ac:dyDescent="0.2">
      <c r="A427" s="49">
        <v>44470</v>
      </c>
      <c r="B427" s="39">
        <v>0</v>
      </c>
      <c r="C427" s="39">
        <v>0</v>
      </c>
      <c r="D427" s="39">
        <v>31137.149615000002</v>
      </c>
      <c r="E427" s="39">
        <v>31639.788658179954</v>
      </c>
      <c r="F427" s="39">
        <v>18446.064300400001</v>
      </c>
      <c r="G427" s="39">
        <v>18367.007010962076</v>
      </c>
      <c r="H427" s="40">
        <v>1.61427442587041E-2</v>
      </c>
      <c r="I427" s="40">
        <v>-4.2858621844992228E-3</v>
      </c>
      <c r="J427" s="40">
        <v>8.5428458603902246E-3</v>
      </c>
    </row>
    <row r="428" spans="1:10" ht="11.25" customHeight="1" x14ac:dyDescent="0.2">
      <c r="A428" s="49">
        <v>44501</v>
      </c>
      <c r="B428" s="39">
        <v>0</v>
      </c>
      <c r="C428" s="39">
        <v>0</v>
      </c>
      <c r="D428" s="39">
        <v>32601.49971</v>
      </c>
      <c r="E428" s="39">
        <v>33127.777382268745</v>
      </c>
      <c r="F428" s="39">
        <v>19313.564901599999</v>
      </c>
      <c r="G428" s="39">
        <v>19230.789624140358</v>
      </c>
      <c r="H428" s="40">
        <v>1.61427442587041E-2</v>
      </c>
      <c r="I428" s="40">
        <v>-4.2858621844993339E-3</v>
      </c>
      <c r="J428" s="40">
        <v>8.5428458603904467E-3</v>
      </c>
    </row>
    <row r="429" spans="1:10" ht="11.25" customHeight="1" x14ac:dyDescent="0.2">
      <c r="A429" s="49">
        <v>44531</v>
      </c>
      <c r="B429" s="39">
        <v>0</v>
      </c>
      <c r="C429" s="39">
        <v>0</v>
      </c>
      <c r="D429" s="39">
        <v>34290.765014999997</v>
      </c>
      <c r="E429" s="39">
        <v>34844.31206507246</v>
      </c>
      <c r="F429" s="39">
        <v>20314.308284399998</v>
      </c>
      <c r="G429" s="39">
        <v>20227.243958719628</v>
      </c>
      <c r="H429" s="40">
        <v>1.61427442587041E-2</v>
      </c>
      <c r="I429" s="40">
        <v>-4.2858621844993339E-3</v>
      </c>
      <c r="J429" s="40">
        <v>8.5428458603902246E-3</v>
      </c>
    </row>
    <row r="430" spans="1:10" ht="11.25" customHeight="1" x14ac:dyDescent="0.2">
      <c r="A430" s="49">
        <v>44562</v>
      </c>
      <c r="B430" s="39">
        <v>0</v>
      </c>
      <c r="C430" s="39">
        <v>0</v>
      </c>
      <c r="D430" s="39">
        <v>35618.244999999995</v>
      </c>
      <c r="E430" s="39">
        <v>36193.221219978863</v>
      </c>
      <c r="F430" s="39">
        <v>21100.725200000001</v>
      </c>
      <c r="G430" s="39">
        <v>21010.290399799807</v>
      </c>
      <c r="H430" s="40">
        <v>1.61427442587041E-2</v>
      </c>
      <c r="I430" s="40">
        <v>-4.2858621844994449E-3</v>
      </c>
      <c r="J430" s="40">
        <v>8.5428458603904467E-3</v>
      </c>
    </row>
    <row r="431" spans="1:10" ht="11.25" customHeight="1" x14ac:dyDescent="0.2">
      <c r="A431" s="49">
        <v>44593</v>
      </c>
      <c r="B431" s="39">
        <v>0</v>
      </c>
      <c r="C431" s="39">
        <v>0</v>
      </c>
      <c r="D431" s="39">
        <v>37387.151100000003</v>
      </c>
      <c r="E431" s="39">
        <v>37990.682318768828</v>
      </c>
      <c r="F431" s="39">
        <v>22148.648856</v>
      </c>
      <c r="G431" s="39">
        <v>22053.722799430318</v>
      </c>
      <c r="H431" s="40">
        <v>1.61427442587041E-2</v>
      </c>
      <c r="I431" s="40">
        <v>-4.2858621844992228E-3</v>
      </c>
      <c r="J431" s="40">
        <v>8.5428458603904467E-3</v>
      </c>
    </row>
    <row r="432" spans="1:10" ht="11.25" customHeight="1" x14ac:dyDescent="0.2">
      <c r="A432" s="49">
        <v>44621</v>
      </c>
      <c r="B432" s="39">
        <v>0</v>
      </c>
      <c r="C432" s="39">
        <v>0</v>
      </c>
      <c r="D432" s="39">
        <v>33872.550790000001</v>
      </c>
      <c r="E432" s="39">
        <v>34419.346714792933</v>
      </c>
      <c r="F432" s="39">
        <v>20066.552578399998</v>
      </c>
      <c r="G432" s="39">
        <v>19980.550099530967</v>
      </c>
      <c r="H432" s="40">
        <v>1.61427442587041E-2</v>
      </c>
      <c r="I432" s="40">
        <v>-4.2858621844993339E-3</v>
      </c>
      <c r="J432" s="40">
        <v>8.5428458603904467E-3</v>
      </c>
    </row>
    <row r="433" spans="1:10" ht="11.25" customHeight="1" x14ac:dyDescent="0.2">
      <c r="A433" s="49">
        <v>44652</v>
      </c>
      <c r="B433" s="39">
        <v>0</v>
      </c>
      <c r="C433" s="39">
        <v>0</v>
      </c>
      <c r="D433" s="39">
        <v>36159.722365000001</v>
      </c>
      <c r="E433" s="39">
        <v>36743.439515603939</v>
      </c>
      <c r="F433" s="39">
        <v>21421.503640400002</v>
      </c>
      <c r="G433" s="39">
        <v>21329.694028012495</v>
      </c>
      <c r="H433" s="40">
        <v>1.61427442587041E-2</v>
      </c>
      <c r="I433" s="40">
        <v>-4.2858621844994449E-3</v>
      </c>
      <c r="J433" s="40">
        <v>8.5428458603902246E-3</v>
      </c>
    </row>
    <row r="434" spans="1:10" ht="11.25" customHeight="1" x14ac:dyDescent="0.2">
      <c r="A434" s="49">
        <v>44682</v>
      </c>
      <c r="B434" s="39">
        <v>0</v>
      </c>
      <c r="C434" s="39">
        <v>0</v>
      </c>
      <c r="D434" s="39">
        <v>34524.08453</v>
      </c>
      <c r="E434" s="39">
        <v>35081.397997333675</v>
      </c>
      <c r="F434" s="39">
        <v>20452.5298888</v>
      </c>
      <c r="G434" s="39">
        <v>20364.873164372249</v>
      </c>
      <c r="H434" s="40">
        <v>1.61427442587041E-2</v>
      </c>
      <c r="I434" s="40">
        <v>-4.2858621844993339E-3</v>
      </c>
      <c r="J434" s="40">
        <v>8.5428458603904467E-3</v>
      </c>
    </row>
    <row r="435" spans="1:10" ht="11.25" customHeight="1" x14ac:dyDescent="0.2">
      <c r="A435" s="49">
        <v>44713</v>
      </c>
      <c r="B435" s="39">
        <v>0</v>
      </c>
      <c r="C435" s="39">
        <v>0</v>
      </c>
      <c r="D435" s="39">
        <v>34761.406094999998</v>
      </c>
      <c r="E435" s="39">
        <v>35322.550583664539</v>
      </c>
      <c r="F435" s="39">
        <v>20593.122361199999</v>
      </c>
      <c r="G435" s="39">
        <v>20504.863076811365</v>
      </c>
      <c r="H435" s="40">
        <v>1.61427442587041E-2</v>
      </c>
      <c r="I435" s="40">
        <v>-4.2858621844993339E-3</v>
      </c>
      <c r="J435" s="40">
        <v>8.5428458603902246E-3</v>
      </c>
    </row>
    <row r="436" spans="1:10" ht="11.25" customHeight="1" x14ac:dyDescent="0.2">
      <c r="A436" s="42" t="s">
        <v>43</v>
      </c>
      <c r="B436" s="39">
        <v>0</v>
      </c>
      <c r="C436" s="39">
        <v>0</v>
      </c>
      <c r="D436" s="39">
        <v>1133431.1080799999</v>
      </c>
      <c r="E436" s="39">
        <v>1151740.0929689682</v>
      </c>
      <c r="F436" s="39">
        <v>671462.09135999996</v>
      </c>
      <c r="G436" s="39">
        <v>668589.11704197235</v>
      </c>
      <c r="H436" s="40">
        <v>1.6153593066616789E-2</v>
      </c>
      <c r="I436" s="40">
        <v>-4.278684314416914E-3</v>
      </c>
      <c r="J436" s="40">
        <v>8.5523124447088872E-3</v>
      </c>
    </row>
    <row r="437" spans="1:10" ht="11.25" customHeight="1" x14ac:dyDescent="0.2">
      <c r="A437" s="43" t="s">
        <v>23</v>
      </c>
      <c r="B437" s="39">
        <v>0</v>
      </c>
      <c r="C437" s="39">
        <v>0</v>
      </c>
      <c r="D437" s="39">
        <v>1133431.1080799999</v>
      </c>
      <c r="E437" s="39">
        <v>1151740.0929689682</v>
      </c>
      <c r="F437" s="39">
        <v>671462.09135999996</v>
      </c>
      <c r="G437" s="39">
        <v>668589.11704197235</v>
      </c>
      <c r="H437" s="40">
        <v>1.6153593066616789E-2</v>
      </c>
      <c r="I437" s="40">
        <v>-4.278684314416914E-3</v>
      </c>
      <c r="J437" s="40">
        <v>8.5523124447088872E-3</v>
      </c>
    </row>
    <row r="438" spans="1:10" ht="11.25" customHeight="1" x14ac:dyDescent="0.2">
      <c r="A438" s="44" t="s">
        <v>44</v>
      </c>
      <c r="B438" s="39">
        <v>0</v>
      </c>
      <c r="C438" s="39">
        <v>0</v>
      </c>
      <c r="D438" s="39">
        <v>1133431.1080799999</v>
      </c>
      <c r="E438" s="39">
        <v>1151740.0929689682</v>
      </c>
      <c r="F438" s="39">
        <v>671462.09135999996</v>
      </c>
      <c r="G438" s="39">
        <v>668589.11704197235</v>
      </c>
      <c r="H438" s="40">
        <v>1.6153593066616789E-2</v>
      </c>
      <c r="I438" s="40">
        <v>-4.278684314416914E-3</v>
      </c>
      <c r="J438" s="40">
        <v>8.5523124447088872E-3</v>
      </c>
    </row>
    <row r="439" spans="1:10" ht="11.25" customHeight="1" x14ac:dyDescent="0.2">
      <c r="A439" s="45" t="s">
        <v>45</v>
      </c>
      <c r="B439" s="39">
        <v>0</v>
      </c>
      <c r="C439" s="39">
        <v>0</v>
      </c>
      <c r="D439" s="39">
        <v>1133431.1080799999</v>
      </c>
      <c r="E439" s="39">
        <v>1151740.0929689682</v>
      </c>
      <c r="F439" s="39">
        <v>671462.09135999996</v>
      </c>
      <c r="G439" s="39">
        <v>668589.11704197235</v>
      </c>
      <c r="H439" s="40">
        <v>1.6153593066616789E-2</v>
      </c>
      <c r="I439" s="40">
        <v>-4.278684314416914E-3</v>
      </c>
      <c r="J439" s="40">
        <v>8.5523124447088872E-3</v>
      </c>
    </row>
    <row r="440" spans="1:10" ht="11.25" customHeight="1" x14ac:dyDescent="0.2">
      <c r="A440" s="46" t="s">
        <v>25</v>
      </c>
      <c r="B440" s="39">
        <v>0</v>
      </c>
      <c r="C440" s="39">
        <v>0</v>
      </c>
      <c r="D440" s="39">
        <v>1133431.1080799999</v>
      </c>
      <c r="E440" s="39">
        <v>1151740.0929689682</v>
      </c>
      <c r="F440" s="39">
        <v>671462.09135999996</v>
      </c>
      <c r="G440" s="39">
        <v>668589.11704197235</v>
      </c>
      <c r="H440" s="40">
        <v>1.6153593066616789E-2</v>
      </c>
      <c r="I440" s="40">
        <v>-4.278684314416914E-3</v>
      </c>
      <c r="J440" s="40">
        <v>8.5523124447088872E-3</v>
      </c>
    </row>
    <row r="441" spans="1:10" ht="11.25" customHeight="1" x14ac:dyDescent="0.2">
      <c r="A441" s="47" t="s">
        <v>25</v>
      </c>
      <c r="B441" s="39">
        <v>0</v>
      </c>
      <c r="C441" s="39">
        <v>0</v>
      </c>
      <c r="D441" s="39">
        <v>1133431.1080799999</v>
      </c>
      <c r="E441" s="39">
        <v>1151740.0929689682</v>
      </c>
      <c r="F441" s="39">
        <v>671462.09135999996</v>
      </c>
      <c r="G441" s="39">
        <v>668589.11704197235</v>
      </c>
      <c r="H441" s="40">
        <v>1.6153593066616789E-2</v>
      </c>
      <c r="I441" s="40">
        <v>-4.278684314416914E-3</v>
      </c>
      <c r="J441" s="40">
        <v>8.5523124447088872E-3</v>
      </c>
    </row>
    <row r="442" spans="1:10" ht="11.25" customHeight="1" x14ac:dyDescent="0.2">
      <c r="A442" s="48" t="s">
        <v>25</v>
      </c>
      <c r="B442" s="39">
        <v>0</v>
      </c>
      <c r="C442" s="39">
        <v>0</v>
      </c>
      <c r="D442" s="39">
        <v>1133431.1080799999</v>
      </c>
      <c r="E442" s="39">
        <v>1151740.0929689682</v>
      </c>
      <c r="F442" s="39">
        <v>671462.09135999996</v>
      </c>
      <c r="G442" s="39">
        <v>668589.11704197235</v>
      </c>
      <c r="H442" s="40">
        <v>1.6153593066616789E-2</v>
      </c>
      <c r="I442" s="40">
        <v>-4.278684314416914E-3</v>
      </c>
      <c r="J442" s="40">
        <v>8.5523124447088872E-3</v>
      </c>
    </row>
    <row r="443" spans="1:10" ht="11.25" customHeight="1" x14ac:dyDescent="0.2">
      <c r="A443" s="49">
        <v>44378</v>
      </c>
      <c r="B443" s="39">
        <v>0</v>
      </c>
      <c r="C443" s="39">
        <v>0</v>
      </c>
      <c r="D443" s="39">
        <v>97534.430639999991</v>
      </c>
      <c r="E443" s="39">
        <v>99109.962142542659</v>
      </c>
      <c r="F443" s="39">
        <v>57780.902880000001</v>
      </c>
      <c r="G443" s="39">
        <v>57533.676637174489</v>
      </c>
      <c r="H443" s="40">
        <v>1.6153593066616345E-2</v>
      </c>
      <c r="I443" s="40">
        <v>-4.278684314417025E-3</v>
      </c>
      <c r="J443" s="40">
        <v>8.5523124447086651E-3</v>
      </c>
    </row>
    <row r="444" spans="1:10" ht="11.25" customHeight="1" x14ac:dyDescent="0.2">
      <c r="A444" s="49">
        <v>44409</v>
      </c>
      <c r="B444" s="39">
        <v>0</v>
      </c>
      <c r="C444" s="39">
        <v>0</v>
      </c>
      <c r="D444" s="39">
        <v>89118.251919999995</v>
      </c>
      <c r="E444" s="39">
        <v>90557.831896323856</v>
      </c>
      <c r="F444" s="39">
        <v>52795.028639999997</v>
      </c>
      <c r="G444" s="39">
        <v>52569.135379078834</v>
      </c>
      <c r="H444" s="40">
        <v>1.6153593066616123E-2</v>
      </c>
      <c r="I444" s="40">
        <v>-4.278684314416914E-3</v>
      </c>
      <c r="J444" s="40">
        <v>8.5523124447084431E-3</v>
      </c>
    </row>
    <row r="445" spans="1:10" ht="11.25" customHeight="1" x14ac:dyDescent="0.2">
      <c r="A445" s="49">
        <v>44440</v>
      </c>
      <c r="B445" s="39">
        <v>0</v>
      </c>
      <c r="C445" s="39">
        <v>0</v>
      </c>
      <c r="D445" s="39">
        <v>88993.912960000001</v>
      </c>
      <c r="E445" s="39">
        <v>90431.484415361687</v>
      </c>
      <c r="F445" s="39">
        <v>52721.368319999994</v>
      </c>
      <c r="G445" s="39">
        <v>52495.790228334612</v>
      </c>
      <c r="H445" s="40">
        <v>1.6153593066616123E-2</v>
      </c>
      <c r="I445" s="40">
        <v>-4.278684314416914E-3</v>
      </c>
      <c r="J445" s="40">
        <v>8.5523124447084431E-3</v>
      </c>
    </row>
    <row r="446" spans="1:10" ht="11.25" customHeight="1" x14ac:dyDescent="0.2">
      <c r="A446" s="49">
        <v>44470</v>
      </c>
      <c r="B446" s="39">
        <v>0</v>
      </c>
      <c r="C446" s="39">
        <v>0</v>
      </c>
      <c r="D446" s="39">
        <v>88595.840960000001</v>
      </c>
      <c r="E446" s="39">
        <v>90026.982122262489</v>
      </c>
      <c r="F446" s="39">
        <v>52485.544320000001</v>
      </c>
      <c r="G446" s="39">
        <v>52260.975244784378</v>
      </c>
      <c r="H446" s="40">
        <v>1.6153593066616123E-2</v>
      </c>
      <c r="I446" s="40">
        <v>-4.278684314417025E-3</v>
      </c>
      <c r="J446" s="40">
        <v>8.5523124447084431E-3</v>
      </c>
    </row>
    <row r="447" spans="1:10" ht="11.25" customHeight="1" x14ac:dyDescent="0.2">
      <c r="A447" s="49">
        <v>44501</v>
      </c>
      <c r="B447" s="39">
        <v>0</v>
      </c>
      <c r="C447" s="39">
        <v>0</v>
      </c>
      <c r="D447" s="39">
        <v>88502.411120000004</v>
      </c>
      <c r="E447" s="39">
        <v>89932.043054646841</v>
      </c>
      <c r="F447" s="39">
        <v>52430.195039999999</v>
      </c>
      <c r="G447" s="39">
        <v>52205.862786880527</v>
      </c>
      <c r="H447" s="40">
        <v>1.6153593066616123E-2</v>
      </c>
      <c r="I447" s="40">
        <v>-4.278684314417025E-3</v>
      </c>
      <c r="J447" s="40">
        <v>8.5523124447084431E-3</v>
      </c>
    </row>
    <row r="448" spans="1:10" ht="11.25" customHeight="1" x14ac:dyDescent="0.2">
      <c r="A448" s="49">
        <v>44531</v>
      </c>
      <c r="B448" s="39">
        <v>0</v>
      </c>
      <c r="C448" s="39">
        <v>0</v>
      </c>
      <c r="D448" s="39">
        <v>90744.727280000006</v>
      </c>
      <c r="E448" s="39">
        <v>92210.580677422186</v>
      </c>
      <c r="F448" s="39">
        <v>53758.57776</v>
      </c>
      <c r="G448" s="39">
        <v>53528.561776572926</v>
      </c>
      <c r="H448" s="40">
        <v>1.6153593066616123E-2</v>
      </c>
      <c r="I448" s="40">
        <v>-4.278684314416914E-3</v>
      </c>
      <c r="J448" s="40">
        <v>8.5523124447086651E-3</v>
      </c>
    </row>
    <row r="449" spans="1:10" ht="11.25" customHeight="1" x14ac:dyDescent="0.2">
      <c r="A449" s="49">
        <v>44562</v>
      </c>
      <c r="B449" s="39">
        <v>0</v>
      </c>
      <c r="C449" s="39">
        <v>0</v>
      </c>
      <c r="D449" s="39">
        <v>91709.934799999988</v>
      </c>
      <c r="E449" s="39">
        <v>93191.379766925093</v>
      </c>
      <c r="F449" s="39">
        <v>54330.381599999993</v>
      </c>
      <c r="G449" s="39">
        <v>54097.919048451789</v>
      </c>
      <c r="H449" s="40">
        <v>1.6153593066616123E-2</v>
      </c>
      <c r="I449" s="40">
        <v>-4.278684314416914E-3</v>
      </c>
      <c r="J449" s="40">
        <v>8.5523124447086651E-3</v>
      </c>
    </row>
    <row r="450" spans="1:10" ht="11.25" customHeight="1" x14ac:dyDescent="0.2">
      <c r="A450" s="49">
        <v>44593</v>
      </c>
      <c r="B450" s="39">
        <v>0</v>
      </c>
      <c r="C450" s="39">
        <v>0</v>
      </c>
      <c r="D450" s="39">
        <v>97462.543519999992</v>
      </c>
      <c r="E450" s="39">
        <v>99036.913787259444</v>
      </c>
      <c r="F450" s="39">
        <v>57738.315839999996</v>
      </c>
      <c r="G450" s="39">
        <v>57491.271813674539</v>
      </c>
      <c r="H450" s="40">
        <v>1.6153593066616123E-2</v>
      </c>
      <c r="I450" s="40">
        <v>-4.278684314416914E-3</v>
      </c>
      <c r="J450" s="40">
        <v>8.5523124447084431E-3</v>
      </c>
    </row>
    <row r="451" spans="1:10" ht="11.25" customHeight="1" x14ac:dyDescent="0.2">
      <c r="A451" s="49">
        <v>44621</v>
      </c>
      <c r="B451" s="39">
        <v>0</v>
      </c>
      <c r="C451" s="39">
        <v>0</v>
      </c>
      <c r="D451" s="39">
        <v>218615.28839999999</v>
      </c>
      <c r="E451" s="39">
        <v>222146.71080695454</v>
      </c>
      <c r="F451" s="39">
        <v>129511.07279999999</v>
      </c>
      <c r="G451" s="39">
        <v>128956.93580426733</v>
      </c>
      <c r="H451" s="40">
        <v>1.6153593066616123E-2</v>
      </c>
      <c r="I451" s="40">
        <v>-4.278684314416914E-3</v>
      </c>
      <c r="J451" s="40">
        <v>8.5523124447084431E-3</v>
      </c>
    </row>
    <row r="452" spans="1:10" ht="11.25" customHeight="1" x14ac:dyDescent="0.2">
      <c r="A452" s="49">
        <v>44652</v>
      </c>
      <c r="B452" s="39">
        <v>0</v>
      </c>
      <c r="C452" s="39">
        <v>0</v>
      </c>
      <c r="D452" s="39">
        <v>-24281.455359999993</v>
      </c>
      <c r="E452" s="39">
        <v>-24673.688108950635</v>
      </c>
      <c r="F452" s="39">
        <v>-14384.709119999992</v>
      </c>
      <c r="G452" s="39">
        <v>-14323.161490720806</v>
      </c>
      <c r="H452" s="40">
        <v>1.6153593066616123E-2</v>
      </c>
      <c r="I452" s="40">
        <v>-4.2786843144163589E-3</v>
      </c>
      <c r="J452" s="40">
        <v>8.5523124447086651E-3</v>
      </c>
    </row>
    <row r="453" spans="1:10" ht="11.25" customHeight="1" x14ac:dyDescent="0.2">
      <c r="A453" s="49">
        <v>44682</v>
      </c>
      <c r="B453" s="39">
        <v>0</v>
      </c>
      <c r="C453" s="39">
        <v>0</v>
      </c>
      <c r="D453" s="39">
        <v>104813.99672000001</v>
      </c>
      <c r="E453" s="39">
        <v>106507.11937070053</v>
      </c>
      <c r="F453" s="39">
        <v>62093.430240000002</v>
      </c>
      <c r="G453" s="39">
        <v>61827.752054003766</v>
      </c>
      <c r="H453" s="40">
        <v>1.6153593066616123E-2</v>
      </c>
      <c r="I453" s="40">
        <v>-4.278684314417025E-3</v>
      </c>
      <c r="J453" s="40">
        <v>8.5523124447084431E-3</v>
      </c>
    </row>
    <row r="454" spans="1:10" ht="11.25" customHeight="1" x14ac:dyDescent="0.2">
      <c r="A454" s="49">
        <v>44713</v>
      </c>
      <c r="B454" s="39">
        <v>0</v>
      </c>
      <c r="C454" s="39">
        <v>0</v>
      </c>
      <c r="D454" s="39">
        <v>101621.22512</v>
      </c>
      <c r="E454" s="39">
        <v>103262.77303751948</v>
      </c>
      <c r="F454" s="39">
        <v>60201.983040000006</v>
      </c>
      <c r="G454" s="39">
        <v>59944.397759469961</v>
      </c>
      <c r="H454" s="40">
        <v>1.6153593066616123E-2</v>
      </c>
      <c r="I454" s="40">
        <v>-4.278684314417025E-3</v>
      </c>
      <c r="J454" s="40">
        <v>8.5523124447084431E-3</v>
      </c>
    </row>
    <row r="455" spans="1:10" ht="11.25" customHeight="1" x14ac:dyDescent="0.2">
      <c r="A455" s="41" t="s">
        <v>54</v>
      </c>
      <c r="B455" s="39">
        <v>180585.378</v>
      </c>
      <c r="C455" s="39">
        <v>182387.28355909622</v>
      </c>
      <c r="D455" s="39">
        <v>65581.535300000003</v>
      </c>
      <c r="E455" s="39">
        <v>69527.606815988955</v>
      </c>
      <c r="F455" s="39">
        <v>0</v>
      </c>
      <c r="G455" s="39">
        <v>0</v>
      </c>
      <c r="H455" s="40">
        <v>2.3349917330604875E-2</v>
      </c>
      <c r="I455" s="40">
        <v>0</v>
      </c>
      <c r="J455" s="40">
        <v>2.3349917330604875E-2</v>
      </c>
    </row>
    <row r="456" spans="1:10" ht="11.25" customHeight="1" x14ac:dyDescent="0.2">
      <c r="A456" s="42" t="s">
        <v>35</v>
      </c>
      <c r="B456" s="39">
        <v>180585.378</v>
      </c>
      <c r="C456" s="39">
        <v>182387.28355909622</v>
      </c>
      <c r="D456" s="39">
        <v>65581.535300000003</v>
      </c>
      <c r="E456" s="39">
        <v>69527.606815988955</v>
      </c>
      <c r="F456" s="39">
        <v>0</v>
      </c>
      <c r="G456" s="39">
        <v>0</v>
      </c>
      <c r="H456" s="40">
        <v>2.3349917330604875E-2</v>
      </c>
      <c r="I456" s="40">
        <v>0</v>
      </c>
      <c r="J456" s="40">
        <v>2.3349917330604875E-2</v>
      </c>
    </row>
    <row r="457" spans="1:10" ht="11.25" customHeight="1" x14ac:dyDescent="0.2">
      <c r="A457" s="43" t="s">
        <v>36</v>
      </c>
      <c r="B457" s="39">
        <v>180585.378</v>
      </c>
      <c r="C457" s="39">
        <v>182387.28355909622</v>
      </c>
      <c r="D457" s="39">
        <v>65581.535300000003</v>
      </c>
      <c r="E457" s="39">
        <v>69527.606815988955</v>
      </c>
      <c r="F457" s="39">
        <v>0</v>
      </c>
      <c r="G457" s="39">
        <v>0</v>
      </c>
      <c r="H457" s="40">
        <v>2.3349917330604875E-2</v>
      </c>
      <c r="I457" s="40">
        <v>0</v>
      </c>
      <c r="J457" s="40">
        <v>2.3349917330604875E-2</v>
      </c>
    </row>
    <row r="458" spans="1:10" ht="11.25" customHeight="1" x14ac:dyDescent="0.2">
      <c r="A458" s="44" t="s">
        <v>34</v>
      </c>
      <c r="B458" s="39">
        <v>180585.378</v>
      </c>
      <c r="C458" s="39">
        <v>182387.28355909622</v>
      </c>
      <c r="D458" s="39">
        <v>65581.535300000003</v>
      </c>
      <c r="E458" s="39">
        <v>69527.606815988955</v>
      </c>
      <c r="F458" s="39">
        <v>0</v>
      </c>
      <c r="G458" s="39">
        <v>0</v>
      </c>
      <c r="H458" s="40">
        <v>2.3349917330604875E-2</v>
      </c>
      <c r="I458" s="40">
        <v>0</v>
      </c>
      <c r="J458" s="40">
        <v>2.3349917330604875E-2</v>
      </c>
    </row>
    <row r="459" spans="1:10" ht="11.25" customHeight="1" x14ac:dyDescent="0.2">
      <c r="A459" s="45" t="s">
        <v>25</v>
      </c>
      <c r="B459" s="39">
        <v>180585.378</v>
      </c>
      <c r="C459" s="39">
        <v>182387.28355909622</v>
      </c>
      <c r="D459" s="39">
        <v>65581.535300000003</v>
      </c>
      <c r="E459" s="39">
        <v>69527.606815988955</v>
      </c>
      <c r="F459" s="39">
        <v>0</v>
      </c>
      <c r="G459" s="39">
        <v>0</v>
      </c>
      <c r="H459" s="40">
        <v>2.3349917330604875E-2</v>
      </c>
      <c r="I459" s="40">
        <v>0</v>
      </c>
      <c r="J459" s="40">
        <v>2.3349917330604875E-2</v>
      </c>
    </row>
    <row r="460" spans="1:10" ht="11.25" customHeight="1" x14ac:dyDescent="0.2">
      <c r="A460" s="46" t="s">
        <v>53</v>
      </c>
      <c r="B460" s="39">
        <v>180585.378</v>
      </c>
      <c r="C460" s="39">
        <v>182387.28355909622</v>
      </c>
      <c r="D460" s="39">
        <v>65581.535300000003</v>
      </c>
      <c r="E460" s="39">
        <v>69527.606815988955</v>
      </c>
      <c r="F460" s="39">
        <v>0</v>
      </c>
      <c r="G460" s="39">
        <v>0</v>
      </c>
      <c r="H460" s="40">
        <v>2.3349917330604875E-2</v>
      </c>
      <c r="I460" s="40">
        <v>0</v>
      </c>
      <c r="J460" s="40">
        <v>2.3349917330604875E-2</v>
      </c>
    </row>
    <row r="461" spans="1:10" ht="11.25" customHeight="1" x14ac:dyDescent="0.2">
      <c r="A461" s="47" t="s">
        <v>25</v>
      </c>
      <c r="B461" s="39">
        <v>180585.378</v>
      </c>
      <c r="C461" s="39">
        <v>182387.28355909622</v>
      </c>
      <c r="D461" s="39">
        <v>65581.535300000003</v>
      </c>
      <c r="E461" s="39">
        <v>69527.606815988955</v>
      </c>
      <c r="F461" s="39">
        <v>0</v>
      </c>
      <c r="G461" s="39">
        <v>0</v>
      </c>
      <c r="H461" s="40">
        <v>2.3349917330604875E-2</v>
      </c>
      <c r="I461" s="40">
        <v>0</v>
      </c>
      <c r="J461" s="40">
        <v>2.3349917330604875E-2</v>
      </c>
    </row>
    <row r="462" spans="1:10" ht="11.25" customHeight="1" x14ac:dyDescent="0.2">
      <c r="A462" s="48" t="s">
        <v>38</v>
      </c>
      <c r="B462" s="39">
        <v>0</v>
      </c>
      <c r="C462" s="39">
        <v>0</v>
      </c>
      <c r="D462" s="39">
        <v>20774.502899999996</v>
      </c>
      <c r="E462" s="39">
        <v>23498.303001469554</v>
      </c>
      <c r="F462" s="39">
        <v>0</v>
      </c>
      <c r="G462" s="39">
        <v>0</v>
      </c>
      <c r="H462" s="40">
        <v>0.13111264873969897</v>
      </c>
      <c r="I462" s="40">
        <v>0</v>
      </c>
      <c r="J462" s="40">
        <v>0.13111264873969897</v>
      </c>
    </row>
    <row r="463" spans="1:10" ht="11.25" customHeight="1" x14ac:dyDescent="0.2">
      <c r="A463" s="49">
        <v>44440</v>
      </c>
      <c r="B463" s="39">
        <v>0</v>
      </c>
      <c r="C463" s="39">
        <v>0</v>
      </c>
      <c r="D463" s="39">
        <v>386.28839999999997</v>
      </c>
      <c r="E463" s="39">
        <v>436.93569530142031</v>
      </c>
      <c r="F463" s="39">
        <v>0</v>
      </c>
      <c r="G463" s="39">
        <v>0</v>
      </c>
      <c r="H463" s="40">
        <v>0.13111264873969897</v>
      </c>
      <c r="I463" s="40">
        <v>0</v>
      </c>
      <c r="J463" s="40">
        <v>0.13111264873969897</v>
      </c>
    </row>
    <row r="464" spans="1:10" ht="11.25" customHeight="1" x14ac:dyDescent="0.2">
      <c r="A464" s="49">
        <v>44470</v>
      </c>
      <c r="B464" s="39">
        <v>0</v>
      </c>
      <c r="C464" s="39">
        <v>0</v>
      </c>
      <c r="D464" s="39">
        <v>302.64545999999996</v>
      </c>
      <c r="E464" s="39">
        <v>342.32610788964456</v>
      </c>
      <c r="F464" s="39">
        <v>0</v>
      </c>
      <c r="G464" s="39">
        <v>0</v>
      </c>
      <c r="H464" s="40">
        <v>0.13111264873969897</v>
      </c>
      <c r="I464" s="40">
        <v>0</v>
      </c>
      <c r="J464" s="40">
        <v>0.13111264873969897</v>
      </c>
    </row>
    <row r="465" spans="1:10" ht="11.25" customHeight="1" x14ac:dyDescent="0.2">
      <c r="A465" s="49">
        <v>44501</v>
      </c>
      <c r="B465" s="39">
        <v>0</v>
      </c>
      <c r="C465" s="39">
        <v>0</v>
      </c>
      <c r="D465" s="39">
        <v>817.07531999999992</v>
      </c>
      <c r="E465" s="39">
        <v>924.20422942503706</v>
      </c>
      <c r="F465" s="39">
        <v>0</v>
      </c>
      <c r="G465" s="39">
        <v>0</v>
      </c>
      <c r="H465" s="40">
        <v>0.13111264873969897</v>
      </c>
      <c r="I465" s="40">
        <v>0</v>
      </c>
      <c r="J465" s="40">
        <v>0.13111264873969897</v>
      </c>
    </row>
    <row r="466" spans="1:10" ht="11.25" customHeight="1" x14ac:dyDescent="0.2">
      <c r="A466" s="49">
        <v>44531</v>
      </c>
      <c r="B466" s="39">
        <v>0</v>
      </c>
      <c r="C466" s="39">
        <v>0</v>
      </c>
      <c r="D466" s="39">
        <v>1534.9213199999997</v>
      </c>
      <c r="E466" s="39">
        <v>1736.1689198722347</v>
      </c>
      <c r="F466" s="39">
        <v>0</v>
      </c>
      <c r="G466" s="39">
        <v>0</v>
      </c>
      <c r="H466" s="40">
        <v>0.13111264873969897</v>
      </c>
      <c r="I466" s="40">
        <v>0</v>
      </c>
      <c r="J466" s="40">
        <v>0.13111264873969897</v>
      </c>
    </row>
    <row r="467" spans="1:10" ht="11.25" customHeight="1" x14ac:dyDescent="0.2">
      <c r="A467" s="49">
        <v>44562</v>
      </c>
      <c r="B467" s="39">
        <v>0</v>
      </c>
      <c r="C467" s="39">
        <v>0</v>
      </c>
      <c r="D467" s="39">
        <v>736.72415999999998</v>
      </c>
      <c r="E467" s="39">
        <v>833.31801600812969</v>
      </c>
      <c r="F467" s="39">
        <v>0</v>
      </c>
      <c r="G467" s="39">
        <v>0</v>
      </c>
      <c r="H467" s="40">
        <v>0.13111264873969897</v>
      </c>
      <c r="I467" s="40">
        <v>0</v>
      </c>
      <c r="J467" s="40">
        <v>0.13111264873969897</v>
      </c>
    </row>
    <row r="468" spans="1:10" ht="11.25" customHeight="1" x14ac:dyDescent="0.2">
      <c r="A468" s="49">
        <v>44593</v>
      </c>
      <c r="B468" s="39">
        <v>0</v>
      </c>
      <c r="C468" s="39">
        <v>0</v>
      </c>
      <c r="D468" s="39">
        <v>551.59127999999998</v>
      </c>
      <c r="E468" s="39">
        <v>623.91187374252081</v>
      </c>
      <c r="F468" s="39">
        <v>0</v>
      </c>
      <c r="G468" s="39">
        <v>0</v>
      </c>
      <c r="H468" s="40">
        <v>0.13111264873969875</v>
      </c>
      <c r="I468" s="40">
        <v>0</v>
      </c>
      <c r="J468" s="40">
        <v>0.13111264873969875</v>
      </c>
    </row>
    <row r="469" spans="1:10" ht="11.25" customHeight="1" x14ac:dyDescent="0.2">
      <c r="A469" s="49">
        <v>44621</v>
      </c>
      <c r="B469" s="39">
        <v>0</v>
      </c>
      <c r="C469" s="39">
        <v>0</v>
      </c>
      <c r="D469" s="39">
        <v>797.56259999999986</v>
      </c>
      <c r="E469" s="39">
        <v>902.13314502172091</v>
      </c>
      <c r="F469" s="39">
        <v>0</v>
      </c>
      <c r="G469" s="39">
        <v>0</v>
      </c>
      <c r="H469" s="40">
        <v>0.13111264873969897</v>
      </c>
      <c r="I469" s="40">
        <v>0</v>
      </c>
      <c r="J469" s="40">
        <v>0.13111264873969897</v>
      </c>
    </row>
    <row r="470" spans="1:10" ht="11.25" customHeight="1" x14ac:dyDescent="0.2">
      <c r="A470" s="49">
        <v>44652</v>
      </c>
      <c r="B470" s="39">
        <v>0</v>
      </c>
      <c r="C470" s="39">
        <v>0</v>
      </c>
      <c r="D470" s="39">
        <v>3037.9559999999997</v>
      </c>
      <c r="E470" s="39">
        <v>3436.2704579146603</v>
      </c>
      <c r="F470" s="39">
        <v>0</v>
      </c>
      <c r="G470" s="39">
        <v>0</v>
      </c>
      <c r="H470" s="40">
        <v>0.13111264873969897</v>
      </c>
      <c r="I470" s="40">
        <v>0</v>
      </c>
      <c r="J470" s="40">
        <v>0.13111264873969897</v>
      </c>
    </row>
    <row r="471" spans="1:10" ht="11.25" customHeight="1" x14ac:dyDescent="0.2">
      <c r="A471" s="49">
        <v>44682</v>
      </c>
      <c r="B471" s="39">
        <v>0</v>
      </c>
      <c r="C471" s="39">
        <v>0</v>
      </c>
      <c r="D471" s="39">
        <v>9151.7829599999986</v>
      </c>
      <c r="E471" s="39">
        <v>10351.69746457644</v>
      </c>
      <c r="F471" s="39">
        <v>0</v>
      </c>
      <c r="G471" s="39">
        <v>0</v>
      </c>
      <c r="H471" s="40">
        <v>0.13111264873969897</v>
      </c>
      <c r="I471" s="40">
        <v>0</v>
      </c>
      <c r="J471" s="40">
        <v>0.13111264873969897</v>
      </c>
    </row>
    <row r="472" spans="1:10" ht="11.25" customHeight="1" x14ac:dyDescent="0.2">
      <c r="A472" s="49">
        <v>44713</v>
      </c>
      <c r="B472" s="39">
        <v>0</v>
      </c>
      <c r="C472" s="39">
        <v>0</v>
      </c>
      <c r="D472" s="39">
        <v>3457.9553999999998</v>
      </c>
      <c r="E472" s="39">
        <v>3911.3370917177444</v>
      </c>
      <c r="F472" s="39">
        <v>0</v>
      </c>
      <c r="G472" s="39">
        <v>0</v>
      </c>
      <c r="H472" s="40">
        <v>0.13111264873969875</v>
      </c>
      <c r="I472" s="40">
        <v>0</v>
      </c>
      <c r="J472" s="40">
        <v>0.13111264873969875</v>
      </c>
    </row>
    <row r="473" spans="1:10" ht="11.25" customHeight="1" x14ac:dyDescent="0.2">
      <c r="A473" s="48" t="s">
        <v>25</v>
      </c>
      <c r="B473" s="39">
        <v>180585.378</v>
      </c>
      <c r="C473" s="39">
        <v>182387.28355909622</v>
      </c>
      <c r="D473" s="39">
        <v>0</v>
      </c>
      <c r="E473" s="39">
        <v>0</v>
      </c>
      <c r="F473" s="39">
        <v>0</v>
      </c>
      <c r="G473" s="39">
        <v>0</v>
      </c>
      <c r="H473" s="40">
        <v>9.9781365415765322E-3</v>
      </c>
      <c r="I473" s="40">
        <v>0</v>
      </c>
      <c r="J473" s="40">
        <v>9.9781365415765322E-3</v>
      </c>
    </row>
    <row r="474" spans="1:10" ht="11.25" customHeight="1" x14ac:dyDescent="0.2">
      <c r="A474" s="49">
        <v>44378</v>
      </c>
      <c r="B474" s="39">
        <v>27252</v>
      </c>
      <c r="C474" s="39">
        <v>27523.924177031047</v>
      </c>
      <c r="D474" s="39">
        <v>0</v>
      </c>
      <c r="E474" s="39">
        <v>0</v>
      </c>
      <c r="F474" s="39">
        <v>0</v>
      </c>
      <c r="G474" s="39">
        <v>0</v>
      </c>
      <c r="H474" s="40">
        <v>9.9781365415767542E-3</v>
      </c>
      <c r="I474" s="40">
        <v>0</v>
      </c>
      <c r="J474" s="40">
        <v>9.9781365415767542E-3</v>
      </c>
    </row>
    <row r="475" spans="1:10" ht="11.25" customHeight="1" x14ac:dyDescent="0.2">
      <c r="A475" s="49">
        <v>44409</v>
      </c>
      <c r="B475" s="39">
        <v>27252</v>
      </c>
      <c r="C475" s="39">
        <v>27523.924177031047</v>
      </c>
      <c r="D475" s="39">
        <v>0</v>
      </c>
      <c r="E475" s="39">
        <v>0</v>
      </c>
      <c r="F475" s="39">
        <v>0</v>
      </c>
      <c r="G475" s="39">
        <v>0</v>
      </c>
      <c r="H475" s="40">
        <v>9.9781365415767542E-3</v>
      </c>
      <c r="I475" s="40">
        <v>0</v>
      </c>
      <c r="J475" s="40">
        <v>9.9781365415767542E-3</v>
      </c>
    </row>
    <row r="476" spans="1:10" ht="11.25" customHeight="1" x14ac:dyDescent="0.2">
      <c r="A476" s="49">
        <v>44440</v>
      </c>
      <c r="B476" s="39">
        <v>27252</v>
      </c>
      <c r="C476" s="39">
        <v>27523.924177031047</v>
      </c>
      <c r="D476" s="39">
        <v>0</v>
      </c>
      <c r="E476" s="39">
        <v>0</v>
      </c>
      <c r="F476" s="39">
        <v>0</v>
      </c>
      <c r="G476" s="39">
        <v>0</v>
      </c>
      <c r="H476" s="40">
        <v>9.9781365415767542E-3</v>
      </c>
      <c r="I476" s="40">
        <v>0</v>
      </c>
      <c r="J476" s="40">
        <v>9.9781365415767542E-3</v>
      </c>
    </row>
    <row r="477" spans="1:10" ht="11.25" customHeight="1" x14ac:dyDescent="0.2">
      <c r="A477" s="49">
        <v>44470</v>
      </c>
      <c r="B477" s="39">
        <v>14427.2088</v>
      </c>
      <c r="C477" s="39">
        <v>14571.165459320235</v>
      </c>
      <c r="D477" s="39">
        <v>0</v>
      </c>
      <c r="E477" s="39">
        <v>0</v>
      </c>
      <c r="F477" s="39">
        <v>0</v>
      </c>
      <c r="G477" s="39">
        <v>0</v>
      </c>
      <c r="H477" s="40">
        <v>9.9781365415765322E-3</v>
      </c>
      <c r="I477" s="40">
        <v>0</v>
      </c>
      <c r="J477" s="40">
        <v>9.9781365415765322E-3</v>
      </c>
    </row>
    <row r="478" spans="1:10" ht="11.25" customHeight="1" x14ac:dyDescent="0.2">
      <c r="A478" s="49">
        <v>44501</v>
      </c>
      <c r="B478" s="39">
        <v>9494.5967999999993</v>
      </c>
      <c r="C478" s="39">
        <v>9589.3351832776152</v>
      </c>
      <c r="D478" s="39">
        <v>0</v>
      </c>
      <c r="E478" s="39">
        <v>0</v>
      </c>
      <c r="F478" s="39">
        <v>0</v>
      </c>
      <c r="G478" s="39">
        <v>0</v>
      </c>
      <c r="H478" s="40">
        <v>9.9781365415765322E-3</v>
      </c>
      <c r="I478" s="40">
        <v>0</v>
      </c>
      <c r="J478" s="40">
        <v>9.9781365415765322E-3</v>
      </c>
    </row>
    <row r="479" spans="1:10" ht="11.25" customHeight="1" x14ac:dyDescent="0.2">
      <c r="A479" s="49">
        <v>44531</v>
      </c>
      <c r="B479" s="39">
        <v>14647.95</v>
      </c>
      <c r="C479" s="39">
        <v>14794.109245154186</v>
      </c>
      <c r="D479" s="39">
        <v>0</v>
      </c>
      <c r="E479" s="39">
        <v>0</v>
      </c>
      <c r="F479" s="39">
        <v>0</v>
      </c>
      <c r="G479" s="39">
        <v>0</v>
      </c>
      <c r="H479" s="40">
        <v>9.9781365415765322E-3</v>
      </c>
      <c r="I479" s="40">
        <v>0</v>
      </c>
      <c r="J479" s="40">
        <v>9.9781365415765322E-3</v>
      </c>
    </row>
    <row r="480" spans="1:10" ht="11.25" customHeight="1" x14ac:dyDescent="0.2">
      <c r="A480" s="49">
        <v>44562</v>
      </c>
      <c r="B480" s="39">
        <v>27252</v>
      </c>
      <c r="C480" s="39">
        <v>27523.924177031047</v>
      </c>
      <c r="D480" s="39">
        <v>0</v>
      </c>
      <c r="E480" s="39">
        <v>0</v>
      </c>
      <c r="F480" s="39">
        <v>0</v>
      </c>
      <c r="G480" s="39">
        <v>0</v>
      </c>
      <c r="H480" s="40">
        <v>9.9781365415767542E-3</v>
      </c>
      <c r="I480" s="40">
        <v>0</v>
      </c>
      <c r="J480" s="40">
        <v>9.9781365415767542E-3</v>
      </c>
    </row>
    <row r="481" spans="1:10" ht="11.25" customHeight="1" x14ac:dyDescent="0.2">
      <c r="A481" s="49">
        <v>44593</v>
      </c>
      <c r="B481" s="39">
        <v>9982.4076000000005</v>
      </c>
      <c r="C481" s="39">
        <v>10082.013426046473</v>
      </c>
      <c r="D481" s="39">
        <v>0</v>
      </c>
      <c r="E481" s="39">
        <v>0</v>
      </c>
      <c r="F481" s="39">
        <v>0</v>
      </c>
      <c r="G481" s="39">
        <v>0</v>
      </c>
      <c r="H481" s="40">
        <v>9.9781365415767542E-3</v>
      </c>
      <c r="I481" s="40">
        <v>0</v>
      </c>
      <c r="J481" s="40">
        <v>9.9781365415767542E-3</v>
      </c>
    </row>
    <row r="482" spans="1:10" ht="11.25" customHeight="1" x14ac:dyDescent="0.2">
      <c r="A482" s="49">
        <v>44621</v>
      </c>
      <c r="B482" s="39">
        <v>5845.5540000000001</v>
      </c>
      <c r="C482" s="39">
        <v>5903.8817359731584</v>
      </c>
      <c r="D482" s="39">
        <v>0</v>
      </c>
      <c r="E482" s="39">
        <v>0</v>
      </c>
      <c r="F482" s="39">
        <v>0</v>
      </c>
      <c r="G482" s="39">
        <v>0</v>
      </c>
      <c r="H482" s="40">
        <v>9.9781365415765322E-3</v>
      </c>
      <c r="I482" s="40">
        <v>0</v>
      </c>
      <c r="J482" s="40">
        <v>9.9781365415765322E-3</v>
      </c>
    </row>
    <row r="483" spans="1:10" ht="11.25" customHeight="1" x14ac:dyDescent="0.2">
      <c r="A483" s="49">
        <v>44652</v>
      </c>
      <c r="B483" s="39">
        <v>6638.5871999999999</v>
      </c>
      <c r="C483" s="39">
        <v>6704.827929524763</v>
      </c>
      <c r="D483" s="39">
        <v>0</v>
      </c>
      <c r="E483" s="39">
        <v>0</v>
      </c>
      <c r="F483" s="39">
        <v>0</v>
      </c>
      <c r="G483" s="39">
        <v>0</v>
      </c>
      <c r="H483" s="40">
        <v>9.9781365415767542E-3</v>
      </c>
      <c r="I483" s="40">
        <v>0</v>
      </c>
      <c r="J483" s="40">
        <v>9.9781365415767542E-3</v>
      </c>
    </row>
    <row r="484" spans="1:10" ht="11.25" customHeight="1" x14ac:dyDescent="0.2">
      <c r="A484" s="49">
        <v>44682</v>
      </c>
      <c r="B484" s="39">
        <v>1152.7596000000001</v>
      </c>
      <c r="C484" s="39">
        <v>1164.2619926884131</v>
      </c>
      <c r="D484" s="39">
        <v>0</v>
      </c>
      <c r="E484" s="39">
        <v>0</v>
      </c>
      <c r="F484" s="39">
        <v>0</v>
      </c>
      <c r="G484" s="39">
        <v>0</v>
      </c>
      <c r="H484" s="40">
        <v>9.9781365415763101E-3</v>
      </c>
      <c r="I484" s="40">
        <v>0</v>
      </c>
      <c r="J484" s="40">
        <v>9.9781365415763101E-3</v>
      </c>
    </row>
    <row r="485" spans="1:10" ht="11.25" customHeight="1" x14ac:dyDescent="0.2">
      <c r="A485" s="49">
        <v>44713</v>
      </c>
      <c r="B485" s="39">
        <v>9388.3140000000003</v>
      </c>
      <c r="C485" s="39">
        <v>9481.9918789871954</v>
      </c>
      <c r="D485" s="39">
        <v>0</v>
      </c>
      <c r="E485" s="39">
        <v>0</v>
      </c>
      <c r="F485" s="39">
        <v>0</v>
      </c>
      <c r="G485" s="39">
        <v>0</v>
      </c>
      <c r="H485" s="40">
        <v>9.9781365415765322E-3</v>
      </c>
      <c r="I485" s="40">
        <v>0</v>
      </c>
      <c r="J485" s="40">
        <v>9.9781365415765322E-3</v>
      </c>
    </row>
    <row r="486" spans="1:10" ht="11.25" customHeight="1" x14ac:dyDescent="0.2">
      <c r="A486" s="48" t="s">
        <v>37</v>
      </c>
      <c r="B486" s="39">
        <v>0</v>
      </c>
      <c r="C486" s="39">
        <v>0</v>
      </c>
      <c r="D486" s="39">
        <v>44807.032400000004</v>
      </c>
      <c r="E486" s="39">
        <v>46029.3038145194</v>
      </c>
      <c r="F486" s="39">
        <v>0</v>
      </c>
      <c r="G486" s="39">
        <v>0</v>
      </c>
      <c r="H486" s="40">
        <v>2.7278562070524481E-2</v>
      </c>
      <c r="I486" s="40">
        <v>0</v>
      </c>
      <c r="J486" s="40">
        <v>2.7278562070524481E-2</v>
      </c>
    </row>
    <row r="487" spans="1:10" ht="11.25" customHeight="1" x14ac:dyDescent="0.2">
      <c r="A487" s="49">
        <v>44440</v>
      </c>
      <c r="B487" s="39">
        <v>0</v>
      </c>
      <c r="C487" s="39">
        <v>0</v>
      </c>
      <c r="D487" s="39">
        <v>879.07199999999989</v>
      </c>
      <c r="E487" s="39">
        <v>903.05182011646002</v>
      </c>
      <c r="F487" s="39">
        <v>0</v>
      </c>
      <c r="G487" s="39">
        <v>0</v>
      </c>
      <c r="H487" s="40">
        <v>2.7278562070524481E-2</v>
      </c>
      <c r="I487" s="40">
        <v>0</v>
      </c>
      <c r="J487" s="40">
        <v>2.7278562070524481E-2</v>
      </c>
    </row>
    <row r="488" spans="1:10" ht="11.25" customHeight="1" x14ac:dyDescent="0.2">
      <c r="A488" s="49">
        <v>44470</v>
      </c>
      <c r="B488" s="39">
        <v>0</v>
      </c>
      <c r="C488" s="39">
        <v>0</v>
      </c>
      <c r="D488" s="39">
        <v>397.78008</v>
      </c>
      <c r="E488" s="39">
        <v>408.6309486026982</v>
      </c>
      <c r="F488" s="39">
        <v>0</v>
      </c>
      <c r="G488" s="39">
        <v>0</v>
      </c>
      <c r="H488" s="40">
        <v>2.7278562070524481E-2</v>
      </c>
      <c r="I488" s="40">
        <v>0</v>
      </c>
      <c r="J488" s="40">
        <v>2.7278562070524481E-2</v>
      </c>
    </row>
    <row r="489" spans="1:10" ht="11.25" customHeight="1" x14ac:dyDescent="0.2">
      <c r="A489" s="49">
        <v>44501</v>
      </c>
      <c r="B489" s="39">
        <v>0</v>
      </c>
      <c r="C489" s="39">
        <v>0</v>
      </c>
      <c r="D489" s="39">
        <v>934.74655999999993</v>
      </c>
      <c r="E489" s="39">
        <v>960.24510205716922</v>
      </c>
      <c r="F489" s="39">
        <v>0</v>
      </c>
      <c r="G489" s="39">
        <v>0</v>
      </c>
      <c r="H489" s="40">
        <v>2.7278562070524481E-2</v>
      </c>
      <c r="I489" s="40">
        <v>0</v>
      </c>
      <c r="J489" s="40">
        <v>2.7278562070524481E-2</v>
      </c>
    </row>
    <row r="490" spans="1:10" ht="11.25" customHeight="1" x14ac:dyDescent="0.2">
      <c r="A490" s="49">
        <v>44531</v>
      </c>
      <c r="B490" s="39">
        <v>0</v>
      </c>
      <c r="C490" s="39">
        <v>0</v>
      </c>
      <c r="D490" s="39">
        <v>1186.7472</v>
      </c>
      <c r="E490" s="39">
        <v>1219.1199571572211</v>
      </c>
      <c r="F490" s="39">
        <v>0</v>
      </c>
      <c r="G490" s="39">
        <v>0</v>
      </c>
      <c r="H490" s="40">
        <v>2.7278562070524481E-2</v>
      </c>
      <c r="I490" s="40">
        <v>0</v>
      </c>
      <c r="J490" s="40">
        <v>2.7278562070524481E-2</v>
      </c>
    </row>
    <row r="491" spans="1:10" ht="11.25" customHeight="1" x14ac:dyDescent="0.2">
      <c r="A491" s="49">
        <v>44562</v>
      </c>
      <c r="B491" s="39">
        <v>0</v>
      </c>
      <c r="C491" s="39">
        <v>0</v>
      </c>
      <c r="D491" s="39">
        <v>1128.1424</v>
      </c>
      <c r="E491" s="39">
        <v>1158.9165024827903</v>
      </c>
      <c r="F491" s="39">
        <v>0</v>
      </c>
      <c r="G491" s="39">
        <v>0</v>
      </c>
      <c r="H491" s="40">
        <v>2.7278562070524481E-2</v>
      </c>
      <c r="I491" s="40">
        <v>0</v>
      </c>
      <c r="J491" s="40">
        <v>2.7278562070524481E-2</v>
      </c>
    </row>
    <row r="492" spans="1:10" ht="11.25" customHeight="1" x14ac:dyDescent="0.2">
      <c r="A492" s="49">
        <v>44593</v>
      </c>
      <c r="B492" s="39">
        <v>0</v>
      </c>
      <c r="C492" s="39">
        <v>0</v>
      </c>
      <c r="D492" s="39">
        <v>1138.39824</v>
      </c>
      <c r="E492" s="39">
        <v>1169.4521070508158</v>
      </c>
      <c r="F492" s="39">
        <v>0</v>
      </c>
      <c r="G492" s="39">
        <v>0</v>
      </c>
      <c r="H492" s="40">
        <v>2.7278562070524481E-2</v>
      </c>
      <c r="I492" s="40">
        <v>0</v>
      </c>
      <c r="J492" s="40">
        <v>2.7278562070524481E-2</v>
      </c>
    </row>
    <row r="493" spans="1:10" ht="11.25" customHeight="1" x14ac:dyDescent="0.2">
      <c r="A493" s="49">
        <v>44621</v>
      </c>
      <c r="B493" s="39">
        <v>0</v>
      </c>
      <c r="C493" s="39">
        <v>0</v>
      </c>
      <c r="D493" s="39">
        <v>2240.1684799999998</v>
      </c>
      <c r="E493" s="39">
        <v>2301.2770549301122</v>
      </c>
      <c r="F493" s="39">
        <v>0</v>
      </c>
      <c r="G493" s="39">
        <v>0</v>
      </c>
      <c r="H493" s="40">
        <v>2.7278562070524481E-2</v>
      </c>
      <c r="I493" s="40">
        <v>0</v>
      </c>
      <c r="J493" s="40">
        <v>2.7278562070524481E-2</v>
      </c>
    </row>
    <row r="494" spans="1:10" ht="11.25" customHeight="1" x14ac:dyDescent="0.2">
      <c r="A494" s="49">
        <v>44652</v>
      </c>
      <c r="B494" s="39">
        <v>0</v>
      </c>
      <c r="C494" s="39">
        <v>0</v>
      </c>
      <c r="D494" s="39">
        <v>7308.0185600000004</v>
      </c>
      <c r="E494" s="39">
        <v>7507.3707979015053</v>
      </c>
      <c r="F494" s="39">
        <v>0</v>
      </c>
      <c r="G494" s="39">
        <v>0</v>
      </c>
      <c r="H494" s="40">
        <v>2.7278562070524481E-2</v>
      </c>
      <c r="I494" s="40">
        <v>0</v>
      </c>
      <c r="J494" s="40">
        <v>2.7278562070524481E-2</v>
      </c>
    </row>
    <row r="495" spans="1:10" ht="11.25" customHeight="1" x14ac:dyDescent="0.2">
      <c r="A495" s="49">
        <v>44682</v>
      </c>
      <c r="B495" s="39">
        <v>0</v>
      </c>
      <c r="C495" s="39">
        <v>0</v>
      </c>
      <c r="D495" s="39">
        <v>25947.2752</v>
      </c>
      <c r="E495" s="39">
        <v>26655.079557104178</v>
      </c>
      <c r="F495" s="39">
        <v>0</v>
      </c>
      <c r="G495" s="39">
        <v>0</v>
      </c>
      <c r="H495" s="40">
        <v>2.7278562070524481E-2</v>
      </c>
      <c r="I495" s="40">
        <v>0</v>
      </c>
      <c r="J495" s="40">
        <v>2.7278562070524481E-2</v>
      </c>
    </row>
    <row r="496" spans="1:10" ht="11.25" customHeight="1" x14ac:dyDescent="0.2">
      <c r="A496" s="49">
        <v>44713</v>
      </c>
      <c r="B496" s="39">
        <v>0</v>
      </c>
      <c r="C496" s="39">
        <v>0</v>
      </c>
      <c r="D496" s="39">
        <v>3646.6836799999996</v>
      </c>
      <c r="E496" s="39">
        <v>3746.1599671164481</v>
      </c>
      <c r="F496" s="39">
        <v>0</v>
      </c>
      <c r="G496" s="39">
        <v>0</v>
      </c>
      <c r="H496" s="40">
        <v>2.7278562070524481E-2</v>
      </c>
      <c r="I496" s="40">
        <v>0</v>
      </c>
      <c r="J496" s="40">
        <v>2.7278562070524481E-2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B570-2AF5-4D90-BD18-E5F43B1982EE}">
  <sheetPr codeName="Planilha19"/>
  <dimension ref="A1:G332"/>
  <sheetViews>
    <sheetView showGridLines="0" workbookViewId="0"/>
  </sheetViews>
  <sheetFormatPr defaultColWidth="9.140625" defaultRowHeight="11.25" customHeight="1" x14ac:dyDescent="0.2"/>
  <cols>
    <col min="1" max="1" width="34.7109375" style="14" bestFit="1" customWidth="1"/>
    <col min="2" max="2" width="20.42578125" style="39" bestFit="1" customWidth="1"/>
    <col min="3" max="3" width="21.85546875" style="39" bestFit="1" customWidth="1"/>
    <col min="4" max="4" width="20.28515625" style="39" bestFit="1" customWidth="1"/>
    <col min="5" max="5" width="21.7109375" style="39" bestFit="1" customWidth="1"/>
    <col min="6" max="6" width="14.85546875" style="39" bestFit="1" customWidth="1"/>
    <col min="7" max="7" width="14.7109375" style="39" bestFit="1" customWidth="1"/>
    <col min="8" max="16384" width="9.140625" style="14"/>
  </cols>
  <sheetData>
    <row r="1" spans="1:7" ht="11.25" customHeight="1" x14ac:dyDescent="0.2">
      <c r="A1" s="38" t="s">
        <v>546</v>
      </c>
      <c r="B1" s="39" t="s">
        <v>572</v>
      </c>
      <c r="C1" s="39" t="s">
        <v>573</v>
      </c>
      <c r="D1" s="39" t="s">
        <v>574</v>
      </c>
      <c r="E1" s="39" t="s">
        <v>575</v>
      </c>
      <c r="F1" s="39" t="s">
        <v>576</v>
      </c>
      <c r="G1" s="39" t="s">
        <v>577</v>
      </c>
    </row>
    <row r="2" spans="1:7" ht="11.25" customHeight="1" x14ac:dyDescent="0.2">
      <c r="A2" s="41" t="s">
        <v>565</v>
      </c>
      <c r="B2" s="39">
        <v>0</v>
      </c>
      <c r="C2" s="39">
        <v>41210.92170720001</v>
      </c>
      <c r="D2" s="39">
        <v>0</v>
      </c>
      <c r="E2" s="39">
        <v>41562.98025910923</v>
      </c>
      <c r="F2" s="39">
        <v>41210.92170720001</v>
      </c>
      <c r="G2" s="39">
        <v>41562.98025910923</v>
      </c>
    </row>
    <row r="3" spans="1:7" ht="11.25" customHeight="1" x14ac:dyDescent="0.2">
      <c r="A3" s="42" t="s">
        <v>33</v>
      </c>
      <c r="B3" s="39">
        <v>0</v>
      </c>
      <c r="C3" s="39">
        <v>41210.92170720001</v>
      </c>
      <c r="D3" s="39">
        <v>0</v>
      </c>
      <c r="E3" s="39">
        <v>41562.98025910923</v>
      </c>
      <c r="F3" s="39">
        <v>41210.92170720001</v>
      </c>
      <c r="G3" s="39">
        <v>41562.98025910923</v>
      </c>
    </row>
    <row r="4" spans="1:7" ht="11.25" customHeight="1" x14ac:dyDescent="0.2">
      <c r="A4" s="43" t="s">
        <v>23</v>
      </c>
      <c r="B4" s="39">
        <v>0</v>
      </c>
      <c r="C4" s="39">
        <v>41210.92170720001</v>
      </c>
      <c r="D4" s="39">
        <v>0</v>
      </c>
      <c r="E4" s="39">
        <v>41562.98025910923</v>
      </c>
      <c r="F4" s="39">
        <v>41210.92170720001</v>
      </c>
      <c r="G4" s="39">
        <v>41562.98025910923</v>
      </c>
    </row>
    <row r="5" spans="1:7" ht="11.25" customHeight="1" x14ac:dyDescent="0.2">
      <c r="A5" s="44" t="s">
        <v>46</v>
      </c>
      <c r="B5" s="39">
        <v>0</v>
      </c>
      <c r="C5" s="39">
        <v>41210.92170720001</v>
      </c>
      <c r="D5" s="39">
        <v>0</v>
      </c>
      <c r="E5" s="39">
        <v>41562.98025910923</v>
      </c>
      <c r="F5" s="39">
        <v>41210.92170720001</v>
      </c>
      <c r="G5" s="39">
        <v>41562.98025910923</v>
      </c>
    </row>
    <row r="6" spans="1:7" ht="11.25" customHeight="1" x14ac:dyDescent="0.2">
      <c r="A6" s="45" t="s">
        <v>47</v>
      </c>
      <c r="B6" s="39">
        <v>0</v>
      </c>
      <c r="C6" s="39">
        <v>41210.92170720001</v>
      </c>
      <c r="D6" s="39">
        <v>0</v>
      </c>
      <c r="E6" s="39">
        <v>41562.98025910923</v>
      </c>
      <c r="F6" s="39">
        <v>41210.92170720001</v>
      </c>
      <c r="G6" s="39">
        <v>41562.98025910923</v>
      </c>
    </row>
    <row r="7" spans="1:7" ht="11.25" customHeight="1" x14ac:dyDescent="0.2">
      <c r="A7" s="46" t="s">
        <v>25</v>
      </c>
      <c r="B7" s="39">
        <v>0</v>
      </c>
      <c r="C7" s="39">
        <v>41210.92170720001</v>
      </c>
      <c r="D7" s="39">
        <v>0</v>
      </c>
      <c r="E7" s="39">
        <v>41562.98025910923</v>
      </c>
      <c r="F7" s="39">
        <v>41210.92170720001</v>
      </c>
      <c r="G7" s="39">
        <v>41562.98025910923</v>
      </c>
    </row>
    <row r="8" spans="1:7" ht="11.25" customHeight="1" x14ac:dyDescent="0.2">
      <c r="A8" s="47" t="s">
        <v>25</v>
      </c>
      <c r="B8" s="39">
        <v>0</v>
      </c>
      <c r="C8" s="39">
        <v>41210.92170720001</v>
      </c>
      <c r="D8" s="39">
        <v>0</v>
      </c>
      <c r="E8" s="39">
        <v>41562.98025910923</v>
      </c>
      <c r="F8" s="39">
        <v>41210.92170720001</v>
      </c>
      <c r="G8" s="39">
        <v>41562.98025910923</v>
      </c>
    </row>
    <row r="9" spans="1:7" ht="11.25" customHeight="1" x14ac:dyDescent="0.2">
      <c r="A9" s="48" t="s">
        <v>25</v>
      </c>
      <c r="B9" s="39">
        <v>0</v>
      </c>
      <c r="C9" s="39">
        <v>41210.92170720001</v>
      </c>
      <c r="D9" s="39">
        <v>0</v>
      </c>
      <c r="E9" s="39">
        <v>41562.98025910923</v>
      </c>
      <c r="F9" s="39">
        <v>41210.92170720001</v>
      </c>
      <c r="G9" s="39">
        <v>41562.98025910923</v>
      </c>
    </row>
    <row r="10" spans="1:7" ht="11.25" customHeight="1" x14ac:dyDescent="0.2">
      <c r="A10" s="49">
        <v>44378</v>
      </c>
      <c r="B10" s="39">
        <v>0</v>
      </c>
      <c r="C10" s="39">
        <v>3246.2423945999981</v>
      </c>
      <c r="D10" s="39">
        <v>0</v>
      </c>
      <c r="E10" s="39">
        <v>3273.9745430025305</v>
      </c>
      <c r="F10" s="39">
        <v>3246.2423945999981</v>
      </c>
      <c r="G10" s="39">
        <v>3273.9745430025305</v>
      </c>
    </row>
    <row r="11" spans="1:7" ht="11.25" customHeight="1" x14ac:dyDescent="0.2">
      <c r="A11" s="49">
        <v>44409</v>
      </c>
      <c r="B11" s="39">
        <v>0</v>
      </c>
      <c r="C11" s="39">
        <v>3195.5166792000059</v>
      </c>
      <c r="D11" s="39">
        <v>0</v>
      </c>
      <c r="E11" s="39">
        <v>3222.8154856347178</v>
      </c>
      <c r="F11" s="39">
        <v>3195.5166792000059</v>
      </c>
      <c r="G11" s="39">
        <v>3222.8154856347178</v>
      </c>
    </row>
    <row r="12" spans="1:7" ht="11.25" customHeight="1" x14ac:dyDescent="0.2">
      <c r="A12" s="49">
        <v>44440</v>
      </c>
      <c r="B12" s="39">
        <v>0</v>
      </c>
      <c r="C12" s="39">
        <v>3223.8693845999969</v>
      </c>
      <c r="D12" s="39">
        <v>0</v>
      </c>
      <c r="E12" s="39">
        <v>3251.4104038266664</v>
      </c>
      <c r="F12" s="39">
        <v>3223.8693845999969</v>
      </c>
      <c r="G12" s="39">
        <v>3251.4104038266664</v>
      </c>
    </row>
    <row r="13" spans="1:7" ht="11.25" customHeight="1" x14ac:dyDescent="0.2">
      <c r="A13" s="49">
        <v>44470</v>
      </c>
      <c r="B13" s="39">
        <v>0</v>
      </c>
      <c r="C13" s="39">
        <v>3164.8859945999948</v>
      </c>
      <c r="D13" s="39">
        <v>0</v>
      </c>
      <c r="E13" s="39">
        <v>3191.9231278175712</v>
      </c>
      <c r="F13" s="39">
        <v>3164.8859945999948</v>
      </c>
      <c r="G13" s="39">
        <v>3191.9231278175712</v>
      </c>
    </row>
    <row r="14" spans="1:7" ht="11.25" customHeight="1" x14ac:dyDescent="0.2">
      <c r="A14" s="49">
        <v>44501</v>
      </c>
      <c r="B14" s="39">
        <v>0</v>
      </c>
      <c r="C14" s="39">
        <v>3313.7275284000016</v>
      </c>
      <c r="D14" s="39">
        <v>0</v>
      </c>
      <c r="E14" s="39">
        <v>3342.0361918984545</v>
      </c>
      <c r="F14" s="39">
        <v>3313.7275284000016</v>
      </c>
      <c r="G14" s="39">
        <v>3342.0361918984545</v>
      </c>
    </row>
    <row r="15" spans="1:7" ht="11.25" customHeight="1" x14ac:dyDescent="0.2">
      <c r="A15" s="49">
        <v>44531</v>
      </c>
      <c r="B15" s="39">
        <v>0</v>
      </c>
      <c r="C15" s="39">
        <v>3485.4302106000091</v>
      </c>
      <c r="D15" s="39">
        <v>0</v>
      </c>
      <c r="E15" s="39">
        <v>3515.2057036463129</v>
      </c>
      <c r="F15" s="39">
        <v>3485.4302106000091</v>
      </c>
      <c r="G15" s="39">
        <v>3515.2057036463129</v>
      </c>
    </row>
    <row r="16" spans="1:7" ht="11.25" customHeight="1" x14ac:dyDescent="0.2">
      <c r="A16" s="49">
        <v>44562</v>
      </c>
      <c r="B16" s="39">
        <v>0</v>
      </c>
      <c r="C16" s="39">
        <v>3620.359800000002</v>
      </c>
      <c r="D16" s="39">
        <v>0</v>
      </c>
      <c r="E16" s="39">
        <v>3651.2879757305564</v>
      </c>
      <c r="F16" s="39">
        <v>3620.359800000002</v>
      </c>
      <c r="G16" s="39">
        <v>3651.2879757305564</v>
      </c>
    </row>
    <row r="17" spans="1:7" ht="11.25" customHeight="1" x14ac:dyDescent="0.2">
      <c r="A17" s="49">
        <v>44593</v>
      </c>
      <c r="B17" s="39">
        <v>0</v>
      </c>
      <c r="C17" s="39">
        <v>3800.1574439999977</v>
      </c>
      <c r="D17" s="39">
        <v>0</v>
      </c>
      <c r="E17" s="39">
        <v>3832.6216032893044</v>
      </c>
      <c r="F17" s="39">
        <v>3800.1574439999977</v>
      </c>
      <c r="G17" s="39">
        <v>3832.6216032893044</v>
      </c>
    </row>
    <row r="18" spans="1:7" ht="11.25" customHeight="1" x14ac:dyDescent="0.2">
      <c r="A18" s="49">
        <v>44621</v>
      </c>
      <c r="B18" s="39">
        <v>0</v>
      </c>
      <c r="C18" s="39">
        <v>3442.9214916000046</v>
      </c>
      <c r="D18" s="39">
        <v>0</v>
      </c>
      <c r="E18" s="39">
        <v>3472.3338392121686</v>
      </c>
      <c r="F18" s="39">
        <v>3442.9214916000046</v>
      </c>
      <c r="G18" s="39">
        <v>3472.3338392121686</v>
      </c>
    </row>
    <row r="19" spans="1:7" ht="11.25" customHeight="1" x14ac:dyDescent="0.2">
      <c r="A19" s="49">
        <v>44652</v>
      </c>
      <c r="B19" s="39">
        <v>0</v>
      </c>
      <c r="C19" s="39">
        <v>3675.3974045999948</v>
      </c>
      <c r="D19" s="39">
        <v>0</v>
      </c>
      <c r="E19" s="39">
        <v>3706.7957581031715</v>
      </c>
      <c r="F19" s="39">
        <v>3675.3974045999948</v>
      </c>
      <c r="G19" s="39">
        <v>3706.7957581031715</v>
      </c>
    </row>
    <row r="20" spans="1:7" ht="11.25" customHeight="1" x14ac:dyDescent="0.2">
      <c r="A20" s="49">
        <v>44682</v>
      </c>
      <c r="B20" s="39">
        <v>0</v>
      </c>
      <c r="C20" s="39">
        <v>3509.1456012000026</v>
      </c>
      <c r="D20" s="39">
        <v>0</v>
      </c>
      <c r="E20" s="39">
        <v>3539.123691172721</v>
      </c>
      <c r="F20" s="39">
        <v>3509.1456012000026</v>
      </c>
      <c r="G20" s="39">
        <v>3539.123691172721</v>
      </c>
    </row>
    <row r="21" spans="1:7" ht="11.25" customHeight="1" x14ac:dyDescent="0.2">
      <c r="A21" s="49">
        <v>44713</v>
      </c>
      <c r="B21" s="39">
        <v>0</v>
      </c>
      <c r="C21" s="39">
        <v>3533.2677737999998</v>
      </c>
      <c r="D21" s="39">
        <v>0</v>
      </c>
      <c r="E21" s="39">
        <v>3563.4519357750578</v>
      </c>
      <c r="F21" s="39">
        <v>3533.2677737999998</v>
      </c>
      <c r="G21" s="39">
        <v>3563.4519357750578</v>
      </c>
    </row>
    <row r="22" spans="1:7" ht="11.25" customHeight="1" x14ac:dyDescent="0.2">
      <c r="A22" s="41" t="s">
        <v>564</v>
      </c>
      <c r="B22" s="39">
        <v>0</v>
      </c>
      <c r="C22" s="39">
        <v>140502.08239650005</v>
      </c>
      <c r="D22" s="39">
        <v>0</v>
      </c>
      <c r="E22" s="39">
        <v>134450.91888729148</v>
      </c>
      <c r="F22" s="39">
        <v>140502.08239649999</v>
      </c>
      <c r="G22" s="39">
        <v>134450.91888729142</v>
      </c>
    </row>
    <row r="23" spans="1:7" ht="11.25" customHeight="1" x14ac:dyDescent="0.2">
      <c r="A23" s="42" t="s">
        <v>22</v>
      </c>
      <c r="B23" s="39">
        <v>0</v>
      </c>
      <c r="C23" s="39">
        <v>140502.08239650005</v>
      </c>
      <c r="D23" s="39">
        <v>0</v>
      </c>
      <c r="E23" s="39">
        <v>134450.91888729148</v>
      </c>
      <c r="F23" s="39">
        <v>140502.08239649999</v>
      </c>
      <c r="G23" s="39">
        <v>134450.91888729142</v>
      </c>
    </row>
    <row r="24" spans="1:7" ht="11.25" customHeight="1" x14ac:dyDescent="0.2">
      <c r="A24" s="43" t="s">
        <v>23</v>
      </c>
      <c r="B24" s="39">
        <v>0</v>
      </c>
      <c r="C24" s="39">
        <v>140502.08239650005</v>
      </c>
      <c r="D24" s="39">
        <v>0</v>
      </c>
      <c r="E24" s="39">
        <v>134450.91888729148</v>
      </c>
      <c r="F24" s="39">
        <v>140502.08239649999</v>
      </c>
      <c r="G24" s="39">
        <v>134450.91888729142</v>
      </c>
    </row>
    <row r="25" spans="1:7" ht="11.25" customHeight="1" x14ac:dyDescent="0.2">
      <c r="A25" s="44" t="s">
        <v>24</v>
      </c>
      <c r="B25" s="39">
        <v>0</v>
      </c>
      <c r="C25" s="39">
        <v>140502.08239650005</v>
      </c>
      <c r="D25" s="39">
        <v>0</v>
      </c>
      <c r="E25" s="39">
        <v>134450.91888729148</v>
      </c>
      <c r="F25" s="39">
        <v>140502.08239649999</v>
      </c>
      <c r="G25" s="39">
        <v>134450.91888729142</v>
      </c>
    </row>
    <row r="26" spans="1:7" ht="11.25" customHeight="1" x14ac:dyDescent="0.2">
      <c r="A26" s="45" t="s">
        <v>29</v>
      </c>
      <c r="B26" s="39">
        <v>0</v>
      </c>
      <c r="C26" s="39">
        <v>61358.660254500006</v>
      </c>
      <c r="D26" s="39">
        <v>0</v>
      </c>
      <c r="E26" s="39">
        <v>58716.048592280538</v>
      </c>
      <c r="F26" s="39">
        <v>61358.660254500013</v>
      </c>
      <c r="G26" s="39">
        <v>58716.048592280524</v>
      </c>
    </row>
    <row r="27" spans="1:7" ht="11.25" customHeight="1" x14ac:dyDescent="0.2">
      <c r="A27" s="46" t="s">
        <v>25</v>
      </c>
      <c r="B27" s="39">
        <v>0</v>
      </c>
      <c r="C27" s="39">
        <v>61358.660254500006</v>
      </c>
      <c r="D27" s="39">
        <v>0</v>
      </c>
      <c r="E27" s="39">
        <v>58716.048592280538</v>
      </c>
      <c r="F27" s="39">
        <v>61358.660254500013</v>
      </c>
      <c r="G27" s="39">
        <v>58716.048592280524</v>
      </c>
    </row>
    <row r="28" spans="1:7" ht="11.25" customHeight="1" x14ac:dyDescent="0.2">
      <c r="A28" s="47" t="s">
        <v>25</v>
      </c>
      <c r="B28" s="39">
        <v>0</v>
      </c>
      <c r="C28" s="39">
        <v>61358.660254500006</v>
      </c>
      <c r="D28" s="39">
        <v>0</v>
      </c>
      <c r="E28" s="39">
        <v>58716.048592280538</v>
      </c>
      <c r="F28" s="39">
        <v>61358.660254500013</v>
      </c>
      <c r="G28" s="39">
        <v>58716.048592280524</v>
      </c>
    </row>
    <row r="29" spans="1:7" ht="11.25" customHeight="1" x14ac:dyDescent="0.2">
      <c r="A29" s="48" t="s">
        <v>25</v>
      </c>
      <c r="B29" s="39">
        <v>0</v>
      </c>
      <c r="C29" s="39">
        <v>61358.660254500006</v>
      </c>
      <c r="D29" s="39">
        <v>0</v>
      </c>
      <c r="E29" s="39">
        <v>58716.048592280538</v>
      </c>
      <c r="F29" s="39">
        <v>61358.660254500013</v>
      </c>
      <c r="G29" s="39">
        <v>58716.048592280524</v>
      </c>
    </row>
    <row r="30" spans="1:7" ht="11.25" customHeight="1" x14ac:dyDescent="0.2">
      <c r="A30" s="49">
        <v>44378</v>
      </c>
      <c r="B30" s="39">
        <v>0</v>
      </c>
      <c r="C30" s="39">
        <v>3253.4486550000001</v>
      </c>
      <c r="D30" s="39">
        <v>0</v>
      </c>
      <c r="E30" s="39">
        <v>3113.3287945095367</v>
      </c>
      <c r="F30" s="39">
        <v>3253.4486550000001</v>
      </c>
      <c r="G30" s="39">
        <v>3113.3287945095367</v>
      </c>
    </row>
    <row r="31" spans="1:7" ht="11.25" customHeight="1" x14ac:dyDescent="0.2">
      <c r="A31" s="49">
        <v>44409</v>
      </c>
      <c r="B31" s="39">
        <v>0</v>
      </c>
      <c r="C31" s="39">
        <v>3431.9737620000001</v>
      </c>
      <c r="D31" s="39">
        <v>0</v>
      </c>
      <c r="E31" s="39">
        <v>3284.1653541742162</v>
      </c>
      <c r="F31" s="39">
        <v>3431.9737620000001</v>
      </c>
      <c r="G31" s="39">
        <v>3284.1653541742162</v>
      </c>
    </row>
    <row r="32" spans="1:7" ht="11.25" customHeight="1" x14ac:dyDescent="0.2">
      <c r="A32" s="49">
        <v>44440</v>
      </c>
      <c r="B32" s="39">
        <v>0</v>
      </c>
      <c r="C32" s="39">
        <v>3422.8754920000001</v>
      </c>
      <c r="D32" s="39">
        <v>0</v>
      </c>
      <c r="E32" s="39">
        <v>3275.458859885965</v>
      </c>
      <c r="F32" s="39">
        <v>3422.8754920000001</v>
      </c>
      <c r="G32" s="39">
        <v>3275.458859885965</v>
      </c>
    </row>
    <row r="33" spans="1:7" ht="11.25" customHeight="1" x14ac:dyDescent="0.2">
      <c r="A33" s="49">
        <v>44470</v>
      </c>
      <c r="B33" s="39">
        <v>0</v>
      </c>
      <c r="C33" s="39">
        <v>3480.9465240000004</v>
      </c>
      <c r="D33" s="39">
        <v>0</v>
      </c>
      <c r="E33" s="39">
        <v>3331.0290060388011</v>
      </c>
      <c r="F33" s="39">
        <v>3480.9465240000004</v>
      </c>
      <c r="G33" s="39">
        <v>3331.0290060388011</v>
      </c>
    </row>
    <row r="34" spans="1:7" ht="11.25" customHeight="1" x14ac:dyDescent="0.2">
      <c r="A34" s="49">
        <v>44501</v>
      </c>
      <c r="B34" s="39">
        <v>0</v>
      </c>
      <c r="C34" s="39">
        <v>3510.3777600000003</v>
      </c>
      <c r="D34" s="39">
        <v>0</v>
      </c>
      <c r="E34" s="39">
        <v>3359.1926223451433</v>
      </c>
      <c r="F34" s="39">
        <v>3510.3777600000003</v>
      </c>
      <c r="G34" s="39">
        <v>3359.1926223451433</v>
      </c>
    </row>
    <row r="35" spans="1:7" ht="11.25" customHeight="1" x14ac:dyDescent="0.2">
      <c r="A35" s="49">
        <v>44531</v>
      </c>
      <c r="B35" s="39">
        <v>0</v>
      </c>
      <c r="C35" s="39">
        <v>3632.6117700000004</v>
      </c>
      <c r="D35" s="39">
        <v>0</v>
      </c>
      <c r="E35" s="39">
        <v>3476.1624803916443</v>
      </c>
      <c r="F35" s="39">
        <v>3632.6117700000004</v>
      </c>
      <c r="G35" s="39">
        <v>3476.1624803916443</v>
      </c>
    </row>
    <row r="36" spans="1:7" ht="11.25" customHeight="1" x14ac:dyDescent="0.2">
      <c r="A36" s="49">
        <v>44562</v>
      </c>
      <c r="B36" s="39">
        <v>0</v>
      </c>
      <c r="C36" s="39">
        <v>3691.9487700000009</v>
      </c>
      <c r="D36" s="39">
        <v>0</v>
      </c>
      <c r="E36" s="39">
        <v>3532.9439648802372</v>
      </c>
      <c r="F36" s="39">
        <v>3691.9487700000009</v>
      </c>
      <c r="G36" s="39">
        <v>3532.9439648802372</v>
      </c>
    </row>
    <row r="37" spans="1:7" ht="11.25" customHeight="1" x14ac:dyDescent="0.2">
      <c r="A37" s="49">
        <v>44593</v>
      </c>
      <c r="B37" s="39">
        <v>0</v>
      </c>
      <c r="C37" s="39">
        <v>3763.7468550000003</v>
      </c>
      <c r="D37" s="39">
        <v>0</v>
      </c>
      <c r="E37" s="39">
        <v>3601.6495611114342</v>
      </c>
      <c r="F37" s="39">
        <v>3763.7468550000003</v>
      </c>
      <c r="G37" s="39">
        <v>3601.6495611114342</v>
      </c>
    </row>
    <row r="38" spans="1:7" ht="11.25" customHeight="1" x14ac:dyDescent="0.2">
      <c r="A38" s="49">
        <v>44621</v>
      </c>
      <c r="B38" s="39">
        <v>0</v>
      </c>
      <c r="C38" s="39">
        <v>3894.8819400000007</v>
      </c>
      <c r="D38" s="39">
        <v>0</v>
      </c>
      <c r="E38" s="39">
        <v>3727.1366418312241</v>
      </c>
      <c r="F38" s="39">
        <v>3894.8819400000007</v>
      </c>
      <c r="G38" s="39">
        <v>3727.1366418312241</v>
      </c>
    </row>
    <row r="39" spans="1:7" ht="11.25" customHeight="1" x14ac:dyDescent="0.2">
      <c r="A39" s="49">
        <v>44652</v>
      </c>
      <c r="B39" s="39">
        <v>0</v>
      </c>
      <c r="C39" s="39">
        <v>9248.5253735000006</v>
      </c>
      <c r="D39" s="39">
        <v>0</v>
      </c>
      <c r="E39" s="39">
        <v>8850.2082254915058</v>
      </c>
      <c r="F39" s="39">
        <v>9248.5253735000006</v>
      </c>
      <c r="G39" s="39">
        <v>8850.2082254915058</v>
      </c>
    </row>
    <row r="40" spans="1:7" ht="11.25" customHeight="1" x14ac:dyDescent="0.2">
      <c r="A40" s="49">
        <v>44682</v>
      </c>
      <c r="B40" s="39">
        <v>0</v>
      </c>
      <c r="C40" s="39">
        <v>9660.9217585000006</v>
      </c>
      <c r="D40" s="39">
        <v>0</v>
      </c>
      <c r="E40" s="39">
        <v>9244.8395426872266</v>
      </c>
      <c r="F40" s="39">
        <v>9660.9217585000006</v>
      </c>
      <c r="G40" s="39">
        <v>9244.8395426872266</v>
      </c>
    </row>
    <row r="41" spans="1:7" ht="11.25" customHeight="1" x14ac:dyDescent="0.2">
      <c r="A41" s="49">
        <v>44713</v>
      </c>
      <c r="B41" s="39">
        <v>0</v>
      </c>
      <c r="C41" s="39">
        <v>10366.401594500001</v>
      </c>
      <c r="D41" s="39">
        <v>0</v>
      </c>
      <c r="E41" s="39">
        <v>9919.9335389336011</v>
      </c>
      <c r="F41" s="39">
        <v>10366.401594500001</v>
      </c>
      <c r="G41" s="39">
        <v>9919.9335389336011</v>
      </c>
    </row>
    <row r="42" spans="1:7" ht="11.25" customHeight="1" x14ac:dyDescent="0.2">
      <c r="A42" s="45" t="s">
        <v>30</v>
      </c>
      <c r="B42" s="39">
        <v>0</v>
      </c>
      <c r="C42" s="39">
        <v>67069.252120000005</v>
      </c>
      <c r="D42" s="39">
        <v>0</v>
      </c>
      <c r="E42" s="39">
        <v>64179.127705058527</v>
      </c>
      <c r="F42" s="39">
        <v>67069.252120000005</v>
      </c>
      <c r="G42" s="39">
        <v>64179.127705058527</v>
      </c>
    </row>
    <row r="43" spans="1:7" ht="11.25" customHeight="1" x14ac:dyDescent="0.2">
      <c r="A43" s="46" t="s">
        <v>25</v>
      </c>
      <c r="B43" s="39">
        <v>0</v>
      </c>
      <c r="C43" s="39">
        <v>67069.252120000005</v>
      </c>
      <c r="D43" s="39">
        <v>0</v>
      </c>
      <c r="E43" s="39">
        <v>64179.127705058527</v>
      </c>
      <c r="F43" s="39">
        <v>67069.252120000005</v>
      </c>
      <c r="G43" s="39">
        <v>64179.127705058527</v>
      </c>
    </row>
    <row r="44" spans="1:7" ht="11.25" customHeight="1" x14ac:dyDescent="0.2">
      <c r="A44" s="47" t="s">
        <v>25</v>
      </c>
      <c r="B44" s="39">
        <v>0</v>
      </c>
      <c r="C44" s="39">
        <v>67069.252120000005</v>
      </c>
      <c r="D44" s="39">
        <v>0</v>
      </c>
      <c r="E44" s="39">
        <v>64179.127705058527</v>
      </c>
      <c r="F44" s="39">
        <v>67069.252120000005</v>
      </c>
      <c r="G44" s="39">
        <v>64179.127705058527</v>
      </c>
    </row>
    <row r="45" spans="1:7" ht="11.25" customHeight="1" x14ac:dyDescent="0.2">
      <c r="A45" s="48" t="s">
        <v>25</v>
      </c>
      <c r="B45" s="39">
        <v>0</v>
      </c>
      <c r="C45" s="39">
        <v>67069.252120000005</v>
      </c>
      <c r="D45" s="39">
        <v>0</v>
      </c>
      <c r="E45" s="39">
        <v>64179.127705058527</v>
      </c>
      <c r="F45" s="39">
        <v>67069.252120000005</v>
      </c>
      <c r="G45" s="39">
        <v>64179.127705058527</v>
      </c>
    </row>
    <row r="46" spans="1:7" ht="11.25" customHeight="1" x14ac:dyDescent="0.2">
      <c r="A46" s="49">
        <v>44378</v>
      </c>
      <c r="B46" s="39">
        <v>0</v>
      </c>
      <c r="C46" s="39">
        <v>3276.3123799999998</v>
      </c>
      <c r="D46" s="39">
        <v>0</v>
      </c>
      <c r="E46" s="39">
        <v>3135.1299726821571</v>
      </c>
      <c r="F46" s="39">
        <v>3276.3123799999998</v>
      </c>
      <c r="G46" s="39">
        <v>3135.1299726821571</v>
      </c>
    </row>
    <row r="47" spans="1:7" ht="11.25" customHeight="1" x14ac:dyDescent="0.2">
      <c r="A47" s="49">
        <v>44409</v>
      </c>
      <c r="B47" s="39">
        <v>0</v>
      </c>
      <c r="C47" s="39">
        <v>3533.5316000000007</v>
      </c>
      <c r="D47" s="39">
        <v>0</v>
      </c>
      <c r="E47" s="39">
        <v>3381.2646045207093</v>
      </c>
      <c r="F47" s="39">
        <v>3533.5316000000007</v>
      </c>
      <c r="G47" s="39">
        <v>3381.2646045207093</v>
      </c>
    </row>
    <row r="48" spans="1:7" ht="11.25" customHeight="1" x14ac:dyDescent="0.2">
      <c r="A48" s="49">
        <v>44440</v>
      </c>
      <c r="B48" s="39">
        <v>0</v>
      </c>
      <c r="C48" s="39">
        <v>3671.6592800000003</v>
      </c>
      <c r="D48" s="39">
        <v>0</v>
      </c>
      <c r="E48" s="39">
        <v>3513.4402529261556</v>
      </c>
      <c r="F48" s="39">
        <v>3671.6592800000003</v>
      </c>
      <c r="G48" s="39">
        <v>3513.4402529261556</v>
      </c>
    </row>
    <row r="49" spans="1:7" ht="11.25" customHeight="1" x14ac:dyDescent="0.2">
      <c r="A49" s="49">
        <v>44470</v>
      </c>
      <c r="B49" s="39">
        <v>0</v>
      </c>
      <c r="C49" s="39">
        <v>3758.4701600000003</v>
      </c>
      <c r="D49" s="39">
        <v>0</v>
      </c>
      <c r="E49" s="39">
        <v>3596.5101087974667</v>
      </c>
      <c r="F49" s="39">
        <v>3758.4701600000003</v>
      </c>
      <c r="G49" s="39">
        <v>3596.5101087974667</v>
      </c>
    </row>
    <row r="50" spans="1:7" ht="11.25" customHeight="1" x14ac:dyDescent="0.2">
      <c r="A50" s="49">
        <v>44501</v>
      </c>
      <c r="B50" s="39">
        <v>0</v>
      </c>
      <c r="C50" s="39">
        <v>4020.3627200000005</v>
      </c>
      <c r="D50" s="39">
        <v>0</v>
      </c>
      <c r="E50" s="39">
        <v>3847.1173744911207</v>
      </c>
      <c r="F50" s="39">
        <v>4020.3627200000005</v>
      </c>
      <c r="G50" s="39">
        <v>3847.1173744911207</v>
      </c>
    </row>
    <row r="51" spans="1:7" ht="11.25" customHeight="1" x14ac:dyDescent="0.2">
      <c r="A51" s="49">
        <v>44531</v>
      </c>
      <c r="B51" s="39">
        <v>0</v>
      </c>
      <c r="C51" s="39">
        <v>4323.7361600000004</v>
      </c>
      <c r="D51" s="39">
        <v>0</v>
      </c>
      <c r="E51" s="39">
        <v>4137.4192656487994</v>
      </c>
      <c r="F51" s="39">
        <v>4323.7361600000004</v>
      </c>
      <c r="G51" s="39">
        <v>4137.4192656487994</v>
      </c>
    </row>
    <row r="52" spans="1:7" ht="11.25" customHeight="1" x14ac:dyDescent="0.2">
      <c r="A52" s="49">
        <v>44562</v>
      </c>
      <c r="B52" s="39">
        <v>0</v>
      </c>
      <c r="C52" s="39">
        <v>4576.1834400000007</v>
      </c>
      <c r="D52" s="39">
        <v>0</v>
      </c>
      <c r="E52" s="39">
        <v>4378.9880837602686</v>
      </c>
      <c r="F52" s="39">
        <v>4576.1834400000007</v>
      </c>
      <c r="G52" s="39">
        <v>4378.9880837602686</v>
      </c>
    </row>
    <row r="53" spans="1:7" ht="11.25" customHeight="1" x14ac:dyDescent="0.2">
      <c r="A53" s="49">
        <v>44593</v>
      </c>
      <c r="B53" s="39">
        <v>0</v>
      </c>
      <c r="C53" s="39">
        <v>4720.0564800000011</v>
      </c>
      <c r="D53" s="39">
        <v>0</v>
      </c>
      <c r="E53" s="39">
        <v>4516.6613446126103</v>
      </c>
      <c r="F53" s="39">
        <v>4720.0564800000011</v>
      </c>
      <c r="G53" s="39">
        <v>4516.6613446126103</v>
      </c>
    </row>
    <row r="54" spans="1:7" ht="11.25" customHeight="1" x14ac:dyDescent="0.2">
      <c r="A54" s="49">
        <v>44621</v>
      </c>
      <c r="B54" s="39">
        <v>0</v>
      </c>
      <c r="C54" s="39">
        <v>4838.8546400000005</v>
      </c>
      <c r="D54" s="39">
        <v>0</v>
      </c>
      <c r="E54" s="39">
        <v>4630.3407884297721</v>
      </c>
      <c r="F54" s="39">
        <v>4838.8546400000005</v>
      </c>
      <c r="G54" s="39">
        <v>4630.3407884297721</v>
      </c>
    </row>
    <row r="55" spans="1:7" ht="11.25" customHeight="1" x14ac:dyDescent="0.2">
      <c r="A55" s="49">
        <v>44652</v>
      </c>
      <c r="B55" s="39">
        <v>0</v>
      </c>
      <c r="C55" s="39">
        <v>9888.4822199999999</v>
      </c>
      <c r="D55" s="39">
        <v>0</v>
      </c>
      <c r="E55" s="39">
        <v>9462.369409763025</v>
      </c>
      <c r="F55" s="39">
        <v>9888.4822199999999</v>
      </c>
      <c r="G55" s="39">
        <v>9462.369409763025</v>
      </c>
    </row>
    <row r="56" spans="1:7" ht="11.25" customHeight="1" x14ac:dyDescent="0.2">
      <c r="A56" s="49">
        <v>44682</v>
      </c>
      <c r="B56" s="39">
        <v>0</v>
      </c>
      <c r="C56" s="39">
        <v>10123.396760000001</v>
      </c>
      <c r="D56" s="39">
        <v>0</v>
      </c>
      <c r="E56" s="39">
        <v>9687.1658509178633</v>
      </c>
      <c r="F56" s="39">
        <v>10123.396760000001</v>
      </c>
      <c r="G56" s="39">
        <v>9687.1658509178633</v>
      </c>
    </row>
    <row r="57" spans="1:7" ht="11.25" customHeight="1" x14ac:dyDescent="0.2">
      <c r="A57" s="49">
        <v>44713</v>
      </c>
      <c r="B57" s="39">
        <v>0</v>
      </c>
      <c r="C57" s="39">
        <v>10338.206280000002</v>
      </c>
      <c r="D57" s="39">
        <v>0</v>
      </c>
      <c r="E57" s="39">
        <v>9892.7206485085699</v>
      </c>
      <c r="F57" s="39">
        <v>10338.206280000002</v>
      </c>
      <c r="G57" s="39">
        <v>9892.7206485085699</v>
      </c>
    </row>
    <row r="58" spans="1:7" ht="11.25" customHeight="1" x14ac:dyDescent="0.2">
      <c r="A58" s="45" t="s">
        <v>31</v>
      </c>
      <c r="B58" s="39">
        <v>0</v>
      </c>
      <c r="C58" s="39">
        <v>12074.170022000006</v>
      </c>
      <c r="D58" s="39">
        <v>0</v>
      </c>
      <c r="E58" s="39">
        <v>11555.742589952464</v>
      </c>
      <c r="F58" s="39">
        <v>12074.170022000006</v>
      </c>
      <c r="G58" s="39">
        <v>11555.742589952462</v>
      </c>
    </row>
    <row r="59" spans="1:7" ht="11.25" customHeight="1" x14ac:dyDescent="0.2">
      <c r="A59" s="46" t="s">
        <v>25</v>
      </c>
      <c r="B59" s="39">
        <v>0</v>
      </c>
      <c r="C59" s="39">
        <v>12074.170022000006</v>
      </c>
      <c r="D59" s="39">
        <v>0</v>
      </c>
      <c r="E59" s="39">
        <v>11555.742589952464</v>
      </c>
      <c r="F59" s="39">
        <v>12074.170022000006</v>
      </c>
      <c r="G59" s="39">
        <v>11555.742589952462</v>
      </c>
    </row>
    <row r="60" spans="1:7" ht="11.25" customHeight="1" x14ac:dyDescent="0.2">
      <c r="A60" s="47" t="s">
        <v>25</v>
      </c>
      <c r="B60" s="39">
        <v>0</v>
      </c>
      <c r="C60" s="39">
        <v>12074.170022000006</v>
      </c>
      <c r="D60" s="39">
        <v>0</v>
      </c>
      <c r="E60" s="39">
        <v>11555.742589952464</v>
      </c>
      <c r="F60" s="39">
        <v>12074.170022000006</v>
      </c>
      <c r="G60" s="39">
        <v>11555.742589952462</v>
      </c>
    </row>
    <row r="61" spans="1:7" ht="11.25" customHeight="1" x14ac:dyDescent="0.2">
      <c r="A61" s="48" t="s">
        <v>25</v>
      </c>
      <c r="B61" s="39">
        <v>0</v>
      </c>
      <c r="C61" s="39">
        <v>12074.170022000006</v>
      </c>
      <c r="D61" s="39">
        <v>0</v>
      </c>
      <c r="E61" s="39">
        <v>11555.742589952464</v>
      </c>
      <c r="F61" s="39">
        <v>12074.170022000006</v>
      </c>
      <c r="G61" s="39">
        <v>11555.742589952462</v>
      </c>
    </row>
    <row r="62" spans="1:7" ht="11.25" customHeight="1" x14ac:dyDescent="0.2">
      <c r="A62" s="49">
        <v>44378</v>
      </c>
      <c r="B62" s="39">
        <v>0</v>
      </c>
      <c r="C62" s="39">
        <v>509.86215000000016</v>
      </c>
      <c r="D62" s="39">
        <v>0</v>
      </c>
      <c r="E62" s="39">
        <v>487.97134208196701</v>
      </c>
      <c r="F62" s="39">
        <v>509.86215000000016</v>
      </c>
      <c r="G62" s="39">
        <v>487.97134208196701</v>
      </c>
    </row>
    <row r="63" spans="1:7" ht="11.25" customHeight="1" x14ac:dyDescent="0.2">
      <c r="A63" s="49">
        <v>44409</v>
      </c>
      <c r="B63" s="39">
        <v>0</v>
      </c>
      <c r="C63" s="39">
        <v>562.55825000000016</v>
      </c>
      <c r="D63" s="39">
        <v>0</v>
      </c>
      <c r="E63" s="39">
        <v>538.40494779183496</v>
      </c>
      <c r="F63" s="39">
        <v>562.55825000000016</v>
      </c>
      <c r="G63" s="39">
        <v>538.40494779183496</v>
      </c>
    </row>
    <row r="64" spans="1:7" ht="11.25" customHeight="1" x14ac:dyDescent="0.2">
      <c r="A64" s="49">
        <v>44440</v>
      </c>
      <c r="B64" s="39">
        <v>0</v>
      </c>
      <c r="C64" s="39">
        <v>637.8905500000003</v>
      </c>
      <c r="D64" s="39">
        <v>0</v>
      </c>
      <c r="E64" s="39">
        <v>610.50287373735057</v>
      </c>
      <c r="F64" s="39">
        <v>637.8905500000003</v>
      </c>
      <c r="G64" s="39">
        <v>610.50287373735057</v>
      </c>
    </row>
    <row r="65" spans="1:7" ht="11.25" customHeight="1" x14ac:dyDescent="0.2">
      <c r="A65" s="49">
        <v>44470</v>
      </c>
      <c r="B65" s="39">
        <v>0</v>
      </c>
      <c r="C65" s="39">
        <v>631.25790000000029</v>
      </c>
      <c r="D65" s="39">
        <v>0</v>
      </c>
      <c r="E65" s="39">
        <v>604.15499495862593</v>
      </c>
      <c r="F65" s="39">
        <v>631.25790000000029</v>
      </c>
      <c r="G65" s="39">
        <v>604.15499495862593</v>
      </c>
    </row>
    <row r="66" spans="1:7" ht="11.25" customHeight="1" x14ac:dyDescent="0.2">
      <c r="A66" s="49">
        <v>44501</v>
      </c>
      <c r="B66" s="39">
        <v>0</v>
      </c>
      <c r="C66" s="39">
        <v>771.33460000000025</v>
      </c>
      <c r="D66" s="39">
        <v>0</v>
      </c>
      <c r="E66" s="39">
        <v>738.21753577169284</v>
      </c>
      <c r="F66" s="39">
        <v>771.33460000000025</v>
      </c>
      <c r="G66" s="39">
        <v>738.21753577169284</v>
      </c>
    </row>
    <row r="67" spans="1:7" ht="11.25" customHeight="1" x14ac:dyDescent="0.2">
      <c r="A67" s="49">
        <v>44531</v>
      </c>
      <c r="B67" s="39">
        <v>0</v>
      </c>
      <c r="C67" s="39">
        <v>825.98141000000032</v>
      </c>
      <c r="D67" s="39">
        <v>0</v>
      </c>
      <c r="E67" s="39">
        <v>790.51473892118645</v>
      </c>
      <c r="F67" s="39">
        <v>825.98141000000032</v>
      </c>
      <c r="G67" s="39">
        <v>790.51473892118645</v>
      </c>
    </row>
    <row r="68" spans="1:7" ht="11.25" customHeight="1" x14ac:dyDescent="0.2">
      <c r="A68" s="49">
        <v>44562</v>
      </c>
      <c r="B68" s="39">
        <v>0</v>
      </c>
      <c r="C68" s="39">
        <v>1073.0337600000005</v>
      </c>
      <c r="D68" s="39">
        <v>0</v>
      </c>
      <c r="E68" s="39">
        <v>1026.958664073685</v>
      </c>
      <c r="F68" s="39">
        <v>1073.0337600000005</v>
      </c>
      <c r="G68" s="39">
        <v>1026.958664073685</v>
      </c>
    </row>
    <row r="69" spans="1:7" ht="11.25" customHeight="1" x14ac:dyDescent="0.2">
      <c r="A69" s="49">
        <v>44593</v>
      </c>
      <c r="B69" s="39">
        <v>0</v>
      </c>
      <c r="C69" s="39">
        <v>1192.8490300000003</v>
      </c>
      <c r="D69" s="39">
        <v>0</v>
      </c>
      <c r="E69" s="39">
        <v>1141.6281440306482</v>
      </c>
      <c r="F69" s="39">
        <v>1192.8490300000003</v>
      </c>
      <c r="G69" s="39">
        <v>1141.6281440306482</v>
      </c>
    </row>
    <row r="70" spans="1:7" ht="11.25" customHeight="1" x14ac:dyDescent="0.2">
      <c r="A70" s="49">
        <v>44621</v>
      </c>
      <c r="B70" s="39">
        <v>0</v>
      </c>
      <c r="C70" s="39">
        <v>1159.2493880000004</v>
      </c>
      <c r="D70" s="39">
        <v>0</v>
      </c>
      <c r="E70" s="39">
        <v>1109.4694407131087</v>
      </c>
      <c r="F70" s="39">
        <v>1159.2493880000004</v>
      </c>
      <c r="G70" s="39">
        <v>1109.4694407131087</v>
      </c>
    </row>
    <row r="71" spans="1:7" ht="11.25" customHeight="1" x14ac:dyDescent="0.2">
      <c r="A71" s="49">
        <v>44652</v>
      </c>
      <c r="B71" s="39">
        <v>0</v>
      </c>
      <c r="C71" s="39">
        <v>1710.6152000000006</v>
      </c>
      <c r="D71" s="39">
        <v>0</v>
      </c>
      <c r="E71" s="39">
        <v>1637.170350711094</v>
      </c>
      <c r="F71" s="39">
        <v>1710.6152000000006</v>
      </c>
      <c r="G71" s="39">
        <v>1637.170350711094</v>
      </c>
    </row>
    <row r="72" spans="1:7" ht="11.25" customHeight="1" x14ac:dyDescent="0.2">
      <c r="A72" s="49">
        <v>44682</v>
      </c>
      <c r="B72" s="39">
        <v>0</v>
      </c>
      <c r="C72" s="39">
        <v>1525.9300940000005</v>
      </c>
      <c r="D72" s="39">
        <v>0</v>
      </c>
      <c r="E72" s="39">
        <v>1460.4139573046041</v>
      </c>
      <c r="F72" s="39">
        <v>1525.9300940000005</v>
      </c>
      <c r="G72" s="39">
        <v>1460.4139573046041</v>
      </c>
    </row>
    <row r="73" spans="1:7" ht="11.25" customHeight="1" x14ac:dyDescent="0.2">
      <c r="A73" s="49">
        <v>44713</v>
      </c>
      <c r="B73" s="39">
        <v>0</v>
      </c>
      <c r="C73" s="39">
        <v>1473.6076900000005</v>
      </c>
      <c r="D73" s="39">
        <v>0</v>
      </c>
      <c r="E73" s="39">
        <v>1410.3355998566649</v>
      </c>
      <c r="F73" s="39">
        <v>1473.6076900000005</v>
      </c>
      <c r="G73" s="39">
        <v>1410.3355998566649</v>
      </c>
    </row>
    <row r="74" spans="1:7" ht="11.25" customHeight="1" x14ac:dyDescent="0.2">
      <c r="A74" s="45" t="s">
        <v>32</v>
      </c>
      <c r="B74" s="39">
        <v>0</v>
      </c>
      <c r="C74" s="39">
        <v>1.600739096829784E-12</v>
      </c>
      <c r="D74" s="39">
        <v>0</v>
      </c>
      <c r="E74" s="39">
        <v>-1.600739096829784E-12</v>
      </c>
      <c r="F74" s="39">
        <v>1.600739096829784E-12</v>
      </c>
      <c r="G74" s="39">
        <v>-1.600739096829784E-12</v>
      </c>
    </row>
    <row r="75" spans="1:7" ht="11.25" customHeight="1" x14ac:dyDescent="0.2">
      <c r="A75" s="46" t="s">
        <v>25</v>
      </c>
      <c r="B75" s="39">
        <v>0</v>
      </c>
      <c r="C75" s="39">
        <v>1.600739096829784E-12</v>
      </c>
      <c r="D75" s="39">
        <v>0</v>
      </c>
      <c r="E75" s="39">
        <v>-1.600739096829784E-12</v>
      </c>
      <c r="F75" s="39">
        <v>1.600739096829784E-12</v>
      </c>
      <c r="G75" s="39">
        <v>-1.600739096829784E-12</v>
      </c>
    </row>
    <row r="76" spans="1:7" ht="11.25" customHeight="1" x14ac:dyDescent="0.2">
      <c r="A76" s="47" t="s">
        <v>25</v>
      </c>
      <c r="B76" s="39">
        <v>0</v>
      </c>
      <c r="C76" s="39">
        <v>1.600739096829784E-12</v>
      </c>
      <c r="D76" s="39">
        <v>0</v>
      </c>
      <c r="E76" s="39">
        <v>-1.600739096829784E-12</v>
      </c>
      <c r="F76" s="39">
        <v>1.600739096829784E-12</v>
      </c>
      <c r="G76" s="39">
        <v>-1.600739096829784E-12</v>
      </c>
    </row>
    <row r="77" spans="1:7" ht="11.25" customHeight="1" x14ac:dyDescent="0.2">
      <c r="A77" s="48" t="s">
        <v>25</v>
      </c>
      <c r="B77" s="39">
        <v>0</v>
      </c>
      <c r="C77" s="39">
        <v>1.600739096829784E-12</v>
      </c>
      <c r="D77" s="39">
        <v>0</v>
      </c>
      <c r="E77" s="39">
        <v>-1.600739096829784E-12</v>
      </c>
      <c r="F77" s="39">
        <v>1.600739096829784E-12</v>
      </c>
      <c r="G77" s="39">
        <v>-1.600739096829784E-12</v>
      </c>
    </row>
    <row r="78" spans="1:7" ht="11.25" customHeight="1" x14ac:dyDescent="0.2">
      <c r="A78" s="49">
        <v>44378</v>
      </c>
      <c r="B78" s="39">
        <v>0</v>
      </c>
      <c r="C78" s="39">
        <v>3.4674485505092888E-14</v>
      </c>
      <c r="D78" s="39">
        <v>0</v>
      </c>
      <c r="E78" s="39">
        <v>-3.4674485505092888E-14</v>
      </c>
      <c r="F78" s="39">
        <v>3.4674485505092888E-14</v>
      </c>
      <c r="G78" s="39">
        <v>-3.4674485505092888E-14</v>
      </c>
    </row>
    <row r="79" spans="1:7" ht="11.25" customHeight="1" x14ac:dyDescent="0.2">
      <c r="A79" s="49">
        <v>44409</v>
      </c>
      <c r="B79" s="39">
        <v>0</v>
      </c>
      <c r="C79" s="39">
        <v>4.6668446884723377E-14</v>
      </c>
      <c r="D79" s="39">
        <v>0</v>
      </c>
      <c r="E79" s="39">
        <v>-4.6668446884723377E-14</v>
      </c>
      <c r="F79" s="39">
        <v>4.6668446884723377E-14</v>
      </c>
      <c r="G79" s="39">
        <v>-4.6668446884723377E-14</v>
      </c>
    </row>
    <row r="80" spans="1:7" ht="11.25" customHeight="1" x14ac:dyDescent="0.2">
      <c r="A80" s="49">
        <v>44440</v>
      </c>
      <c r="B80" s="39">
        <v>0</v>
      </c>
      <c r="C80" s="39">
        <v>6.4119376474991435E-14</v>
      </c>
      <c r="D80" s="39">
        <v>0</v>
      </c>
      <c r="E80" s="39">
        <v>-6.4119376474991435E-14</v>
      </c>
      <c r="F80" s="39">
        <v>6.4119376474991435E-14</v>
      </c>
      <c r="G80" s="39">
        <v>-6.4119376474991435E-14</v>
      </c>
    </row>
    <row r="81" spans="1:7" ht="11.25" customHeight="1" x14ac:dyDescent="0.2">
      <c r="A81" s="49">
        <v>44470</v>
      </c>
      <c r="B81" s="39">
        <v>0</v>
      </c>
      <c r="C81" s="39">
        <v>5.2409632189664992E-14</v>
      </c>
      <c r="D81" s="39">
        <v>0</v>
      </c>
      <c r="E81" s="39">
        <v>-5.2409632189664992E-14</v>
      </c>
      <c r="F81" s="39">
        <v>5.2409632189664992E-14</v>
      </c>
      <c r="G81" s="39">
        <v>-5.2409632189664992E-14</v>
      </c>
    </row>
    <row r="82" spans="1:7" ht="11.25" customHeight="1" x14ac:dyDescent="0.2">
      <c r="A82" s="49">
        <v>44501</v>
      </c>
      <c r="B82" s="39">
        <v>0</v>
      </c>
      <c r="C82" s="39">
        <v>1.0120970728166867E-13</v>
      </c>
      <c r="D82" s="39">
        <v>0</v>
      </c>
      <c r="E82" s="39">
        <v>-1.0120970728166867E-13</v>
      </c>
      <c r="F82" s="39">
        <v>1.0120970728166867E-13</v>
      </c>
      <c r="G82" s="39">
        <v>-1.0120970728166867E-13</v>
      </c>
    </row>
    <row r="83" spans="1:7" ht="11.25" customHeight="1" x14ac:dyDescent="0.2">
      <c r="A83" s="49">
        <v>44531</v>
      </c>
      <c r="B83" s="39">
        <v>0</v>
      </c>
      <c r="C83" s="39">
        <v>1.156479356723139E-13</v>
      </c>
      <c r="D83" s="39">
        <v>0</v>
      </c>
      <c r="E83" s="39">
        <v>-1.156479356723139E-13</v>
      </c>
      <c r="F83" s="39">
        <v>1.156479356723139E-13</v>
      </c>
      <c r="G83" s="39">
        <v>-1.156479356723139E-13</v>
      </c>
    </row>
    <row r="84" spans="1:7" ht="11.25" customHeight="1" x14ac:dyDescent="0.2">
      <c r="A84" s="49">
        <v>44562</v>
      </c>
      <c r="B84" s="39">
        <v>0</v>
      </c>
      <c r="C84" s="39">
        <v>2.389128894719761E-13</v>
      </c>
      <c r="D84" s="39">
        <v>0</v>
      </c>
      <c r="E84" s="39">
        <v>-2.389128894719761E-13</v>
      </c>
      <c r="F84" s="39">
        <v>2.389128894719761E-13</v>
      </c>
      <c r="G84" s="39">
        <v>-2.389128894719761E-13</v>
      </c>
    </row>
    <row r="85" spans="1:7" ht="11.25" customHeight="1" x14ac:dyDescent="0.2">
      <c r="A85" s="49">
        <v>44593</v>
      </c>
      <c r="B85" s="39">
        <v>0</v>
      </c>
      <c r="C85" s="39">
        <v>2.5744384402059949E-13</v>
      </c>
      <c r="D85" s="39">
        <v>0</v>
      </c>
      <c r="E85" s="39">
        <v>-2.5744384402059949E-13</v>
      </c>
      <c r="F85" s="39">
        <v>2.5744384402059949E-13</v>
      </c>
      <c r="G85" s="39">
        <v>-2.5744384402059949E-13</v>
      </c>
    </row>
    <row r="86" spans="1:7" ht="11.25" customHeight="1" x14ac:dyDescent="0.2">
      <c r="A86" s="49">
        <v>44621</v>
      </c>
      <c r="B86" s="39">
        <v>0</v>
      </c>
      <c r="C86" s="39">
        <v>1.6405010683229194E-13</v>
      </c>
      <c r="D86" s="39">
        <v>0</v>
      </c>
      <c r="E86" s="39">
        <v>-1.6405010683229194E-13</v>
      </c>
      <c r="F86" s="39">
        <v>1.6405010683229194E-13</v>
      </c>
      <c r="G86" s="39">
        <v>-1.6405010683229194E-13</v>
      </c>
    </row>
    <row r="87" spans="1:7" ht="11.25" customHeight="1" x14ac:dyDescent="0.2">
      <c r="A87" s="49">
        <v>44652</v>
      </c>
      <c r="B87" s="39">
        <v>0</v>
      </c>
      <c r="C87" s="39">
        <v>2.000604126806138E-13</v>
      </c>
      <c r="D87" s="39">
        <v>0</v>
      </c>
      <c r="E87" s="39">
        <v>-2.000604126806138E-13</v>
      </c>
      <c r="F87" s="39">
        <v>2.000604126806138E-13</v>
      </c>
      <c r="G87" s="39">
        <v>-2.000604126806138E-13</v>
      </c>
    </row>
    <row r="88" spans="1:7" ht="11.25" customHeight="1" x14ac:dyDescent="0.2">
      <c r="A88" s="49">
        <v>44682</v>
      </c>
      <c r="B88" s="39">
        <v>0</v>
      </c>
      <c r="C88" s="39">
        <v>1.5921841622912323E-13</v>
      </c>
      <c r="D88" s="39">
        <v>0</v>
      </c>
      <c r="E88" s="39">
        <v>-1.5921841622912323E-13</v>
      </c>
      <c r="F88" s="39">
        <v>1.5921841622912323E-13</v>
      </c>
      <c r="G88" s="39">
        <v>-1.5921841622912323E-13</v>
      </c>
    </row>
    <row r="89" spans="1:7" ht="11.25" customHeight="1" x14ac:dyDescent="0.2">
      <c r="A89" s="49">
        <v>44713</v>
      </c>
      <c r="B89" s="39">
        <v>0</v>
      </c>
      <c r="C89" s="39">
        <v>1.6632384358672426E-13</v>
      </c>
      <c r="D89" s="39">
        <v>0</v>
      </c>
      <c r="E89" s="39">
        <v>-1.6632384358672426E-13</v>
      </c>
      <c r="F89" s="39">
        <v>1.6632384358672426E-13</v>
      </c>
      <c r="G89" s="39">
        <v>-1.6632384358672426E-13</v>
      </c>
    </row>
    <row r="90" spans="1:7" ht="11.25" customHeight="1" x14ac:dyDescent="0.2">
      <c r="A90" s="41" t="s">
        <v>562</v>
      </c>
      <c r="B90" s="39">
        <v>173690.62199999997</v>
      </c>
      <c r="C90" s="39">
        <v>700.42553999999996</v>
      </c>
      <c r="D90" s="39">
        <v>175423.73074230738</v>
      </c>
      <c r="E90" s="39">
        <v>750.95705649234276</v>
      </c>
      <c r="F90" s="39">
        <v>174391.04753999997</v>
      </c>
      <c r="G90" s="39">
        <v>176174.68779879971</v>
      </c>
    </row>
    <row r="91" spans="1:7" ht="11.25" customHeight="1" x14ac:dyDescent="0.2">
      <c r="A91" s="42" t="s">
        <v>35</v>
      </c>
      <c r="B91" s="39">
        <v>173690.62199999997</v>
      </c>
      <c r="C91" s="39">
        <v>700.42553999999996</v>
      </c>
      <c r="D91" s="39">
        <v>175423.73074230738</v>
      </c>
      <c r="E91" s="39">
        <v>750.95705649234276</v>
      </c>
      <c r="F91" s="39">
        <v>174391.04753999997</v>
      </c>
      <c r="G91" s="39">
        <v>176174.68779879971</v>
      </c>
    </row>
    <row r="92" spans="1:7" ht="11.25" customHeight="1" x14ac:dyDescent="0.2">
      <c r="A92" s="43" t="s">
        <v>36</v>
      </c>
      <c r="B92" s="39">
        <v>173690.62199999997</v>
      </c>
      <c r="C92" s="39">
        <v>700.42553999999996</v>
      </c>
      <c r="D92" s="39">
        <v>175423.73074230738</v>
      </c>
      <c r="E92" s="39">
        <v>750.95705649234276</v>
      </c>
      <c r="F92" s="39">
        <v>174391.04753999997</v>
      </c>
      <c r="G92" s="39">
        <v>176174.68779879971</v>
      </c>
    </row>
    <row r="93" spans="1:7" ht="11.25" customHeight="1" x14ac:dyDescent="0.2">
      <c r="A93" s="44" t="s">
        <v>34</v>
      </c>
      <c r="B93" s="39">
        <v>173690.62199999997</v>
      </c>
      <c r="C93" s="39">
        <v>700.42553999999996</v>
      </c>
      <c r="D93" s="39">
        <v>175423.73074230738</v>
      </c>
      <c r="E93" s="39">
        <v>750.95705649234276</v>
      </c>
      <c r="F93" s="39">
        <v>174391.04753999997</v>
      </c>
      <c r="G93" s="39">
        <v>176174.68779879971</v>
      </c>
    </row>
    <row r="94" spans="1:7" ht="11.25" customHeight="1" x14ac:dyDescent="0.2">
      <c r="A94" s="45" t="s">
        <v>25</v>
      </c>
      <c r="B94" s="39">
        <v>173690.62199999997</v>
      </c>
      <c r="C94" s="39">
        <v>700.42553999999996</v>
      </c>
      <c r="D94" s="39">
        <v>175423.73074230738</v>
      </c>
      <c r="E94" s="39">
        <v>750.95705649234276</v>
      </c>
      <c r="F94" s="39">
        <v>174391.04753999997</v>
      </c>
      <c r="G94" s="39">
        <v>176174.68779879971</v>
      </c>
    </row>
    <row r="95" spans="1:7" ht="11.25" customHeight="1" x14ac:dyDescent="0.2">
      <c r="A95" s="46" t="s">
        <v>53</v>
      </c>
      <c r="B95" s="39">
        <v>173690.62199999997</v>
      </c>
      <c r="C95" s="39">
        <v>700.42553999999996</v>
      </c>
      <c r="D95" s="39">
        <v>175423.73074230738</v>
      </c>
      <c r="E95" s="39">
        <v>750.95705649234276</v>
      </c>
      <c r="F95" s="39">
        <v>174391.04753999997</v>
      </c>
      <c r="G95" s="39">
        <v>176174.68779879971</v>
      </c>
    </row>
    <row r="96" spans="1:7" ht="11.25" customHeight="1" x14ac:dyDescent="0.2">
      <c r="A96" s="47" t="s">
        <v>25</v>
      </c>
      <c r="B96" s="39">
        <v>173690.62199999997</v>
      </c>
      <c r="C96" s="39">
        <v>700.42553999999996</v>
      </c>
      <c r="D96" s="39">
        <v>175423.73074230738</v>
      </c>
      <c r="E96" s="39">
        <v>750.95705649234276</v>
      </c>
      <c r="F96" s="39">
        <v>174391.04753999997</v>
      </c>
      <c r="G96" s="39">
        <v>176174.68779879971</v>
      </c>
    </row>
    <row r="97" spans="1:7" ht="11.25" customHeight="1" x14ac:dyDescent="0.2">
      <c r="A97" s="48" t="s">
        <v>38</v>
      </c>
      <c r="B97" s="39">
        <v>0</v>
      </c>
      <c r="C97" s="39">
        <v>302.64545999999996</v>
      </c>
      <c r="D97" s="39">
        <v>0</v>
      </c>
      <c r="E97" s="39">
        <v>342.32610788964456</v>
      </c>
      <c r="F97" s="39">
        <v>302.64545999999996</v>
      </c>
      <c r="G97" s="39">
        <v>342.32610788964456</v>
      </c>
    </row>
    <row r="98" spans="1:7" ht="11.25" customHeight="1" x14ac:dyDescent="0.2">
      <c r="A98" s="49">
        <v>44440</v>
      </c>
      <c r="B98" s="39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</row>
    <row r="99" spans="1:7" ht="11.25" customHeight="1" x14ac:dyDescent="0.2">
      <c r="A99" s="49">
        <v>44470</v>
      </c>
      <c r="B99" s="39">
        <v>0</v>
      </c>
      <c r="C99" s="39">
        <v>302.64545999999996</v>
      </c>
      <c r="D99" s="39">
        <v>0</v>
      </c>
      <c r="E99" s="39">
        <v>342.32610788964456</v>
      </c>
      <c r="F99" s="39">
        <v>302.64545999999996</v>
      </c>
      <c r="G99" s="39">
        <v>342.32610788964456</v>
      </c>
    </row>
    <row r="100" spans="1:7" ht="11.25" customHeight="1" x14ac:dyDescent="0.2">
      <c r="A100" s="49">
        <v>44501</v>
      </c>
      <c r="B100" s="39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</row>
    <row r="101" spans="1:7" ht="11.25" customHeight="1" x14ac:dyDescent="0.2">
      <c r="A101" s="49">
        <v>44531</v>
      </c>
      <c r="B101" s="39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</row>
    <row r="102" spans="1:7" ht="11.25" customHeight="1" x14ac:dyDescent="0.2">
      <c r="A102" s="49">
        <v>44562</v>
      </c>
      <c r="B102" s="39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</row>
    <row r="103" spans="1:7" ht="11.25" customHeight="1" x14ac:dyDescent="0.2">
      <c r="A103" s="49">
        <v>44593</v>
      </c>
      <c r="B103" s="39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</row>
    <row r="104" spans="1:7" ht="11.25" customHeight="1" x14ac:dyDescent="0.2">
      <c r="A104" s="49">
        <v>44621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</row>
    <row r="105" spans="1:7" ht="11.25" customHeight="1" x14ac:dyDescent="0.2">
      <c r="A105" s="49">
        <v>44652</v>
      </c>
      <c r="B105" s="39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</row>
    <row r="106" spans="1:7" ht="11.25" customHeight="1" x14ac:dyDescent="0.2">
      <c r="A106" s="49">
        <v>44682</v>
      </c>
      <c r="B106" s="39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</row>
    <row r="107" spans="1:7" ht="11.25" customHeight="1" x14ac:dyDescent="0.2">
      <c r="A107" s="49">
        <v>44713</v>
      </c>
      <c r="B107" s="39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</row>
    <row r="108" spans="1:7" ht="11.25" customHeight="1" x14ac:dyDescent="0.2">
      <c r="A108" s="48" t="s">
        <v>25</v>
      </c>
      <c r="B108" s="39">
        <v>173690.62199999997</v>
      </c>
      <c r="C108" s="39">
        <v>0</v>
      </c>
      <c r="D108" s="39">
        <v>175423.73074230738</v>
      </c>
      <c r="E108" s="39">
        <v>0</v>
      </c>
      <c r="F108" s="39">
        <v>173690.62199999997</v>
      </c>
      <c r="G108" s="39">
        <v>175423.73074230738</v>
      </c>
    </row>
    <row r="109" spans="1:7" ht="11.25" customHeight="1" x14ac:dyDescent="0.2">
      <c r="A109" s="49">
        <v>44378</v>
      </c>
      <c r="B109" s="39">
        <v>27252</v>
      </c>
      <c r="C109" s="39">
        <v>0</v>
      </c>
      <c r="D109" s="39">
        <v>27523.924177031047</v>
      </c>
      <c r="E109" s="39">
        <v>0</v>
      </c>
      <c r="F109" s="39">
        <v>27252</v>
      </c>
      <c r="G109" s="39">
        <v>27523.924177031047</v>
      </c>
    </row>
    <row r="110" spans="1:7" ht="11.25" customHeight="1" x14ac:dyDescent="0.2">
      <c r="A110" s="49">
        <v>44409</v>
      </c>
      <c r="B110" s="39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</row>
    <row r="111" spans="1:7" ht="11.25" customHeight="1" x14ac:dyDescent="0.2">
      <c r="A111" s="49">
        <v>44440</v>
      </c>
      <c r="B111" s="39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</row>
    <row r="112" spans="1:7" ht="11.25" customHeight="1" x14ac:dyDescent="0.2">
      <c r="A112" s="49">
        <v>44470</v>
      </c>
      <c r="B112" s="39">
        <v>12824.791200000001</v>
      </c>
      <c r="C112" s="39">
        <v>0</v>
      </c>
      <c r="D112" s="39">
        <v>12952.758717710811</v>
      </c>
      <c r="E112" s="39">
        <v>0</v>
      </c>
      <c r="F112" s="39">
        <v>12824.791200000001</v>
      </c>
      <c r="G112" s="39">
        <v>12952.758717710811</v>
      </c>
    </row>
    <row r="113" spans="1:7" ht="11.25" customHeight="1" x14ac:dyDescent="0.2">
      <c r="A113" s="49">
        <v>44501</v>
      </c>
      <c r="B113" s="39">
        <v>17757.403200000001</v>
      </c>
      <c r="C113" s="39">
        <v>0</v>
      </c>
      <c r="D113" s="39">
        <v>17934.58899375343</v>
      </c>
      <c r="E113" s="39">
        <v>0</v>
      </c>
      <c r="F113" s="39">
        <v>17757.403200000001</v>
      </c>
      <c r="G113" s="39">
        <v>17934.58899375343</v>
      </c>
    </row>
    <row r="114" spans="1:7" ht="11.25" customHeight="1" x14ac:dyDescent="0.2">
      <c r="A114" s="49">
        <v>44531</v>
      </c>
      <c r="B114" s="39">
        <v>12604.050000000001</v>
      </c>
      <c r="C114" s="39">
        <v>0</v>
      </c>
      <c r="D114" s="39">
        <v>12729.814931876859</v>
      </c>
      <c r="E114" s="39">
        <v>0</v>
      </c>
      <c r="F114" s="39">
        <v>12604.050000000001</v>
      </c>
      <c r="G114" s="39">
        <v>12729.814931876859</v>
      </c>
    </row>
    <row r="115" spans="1:7" ht="11.25" customHeight="1" x14ac:dyDescent="0.2">
      <c r="A115" s="49">
        <v>44562</v>
      </c>
      <c r="B115" s="39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</row>
    <row r="116" spans="1:7" ht="11.25" customHeight="1" x14ac:dyDescent="0.2">
      <c r="A116" s="49">
        <v>44593</v>
      </c>
      <c r="B116" s="39">
        <v>17269.592400000001</v>
      </c>
      <c r="C116" s="39">
        <v>0</v>
      </c>
      <c r="D116" s="39">
        <v>17441.910750984574</v>
      </c>
      <c r="E116" s="39">
        <v>0</v>
      </c>
      <c r="F116" s="39">
        <v>17269.592400000001</v>
      </c>
      <c r="G116" s="39">
        <v>17441.910750984574</v>
      </c>
    </row>
    <row r="117" spans="1:7" ht="11.25" customHeight="1" x14ac:dyDescent="0.2">
      <c r="A117" s="49">
        <v>44621</v>
      </c>
      <c r="B117" s="39">
        <v>21406.446</v>
      </c>
      <c r="C117" s="39">
        <v>0</v>
      </c>
      <c r="D117" s="39">
        <v>21620.042441057885</v>
      </c>
      <c r="E117" s="39">
        <v>0</v>
      </c>
      <c r="F117" s="39">
        <v>21406.446</v>
      </c>
      <c r="G117" s="39">
        <v>21620.042441057885</v>
      </c>
    </row>
    <row r="118" spans="1:7" ht="11.25" customHeight="1" x14ac:dyDescent="0.2">
      <c r="A118" s="49">
        <v>44652</v>
      </c>
      <c r="B118" s="39">
        <v>20613.412800000002</v>
      </c>
      <c r="C118" s="39">
        <v>0</v>
      </c>
      <c r="D118" s="39">
        <v>20819.096247506284</v>
      </c>
      <c r="E118" s="39">
        <v>0</v>
      </c>
      <c r="F118" s="39">
        <v>20613.412800000002</v>
      </c>
      <c r="G118" s="39">
        <v>20819.096247506284</v>
      </c>
    </row>
    <row r="119" spans="1:7" ht="11.25" customHeight="1" x14ac:dyDescent="0.2">
      <c r="A119" s="49">
        <v>44682</v>
      </c>
      <c r="B119" s="39">
        <v>26099.240400000002</v>
      </c>
      <c r="C119" s="39">
        <v>0</v>
      </c>
      <c r="D119" s="39">
        <v>26359.662184342633</v>
      </c>
      <c r="E119" s="39">
        <v>0</v>
      </c>
      <c r="F119" s="39">
        <v>26099.240400000002</v>
      </c>
      <c r="G119" s="39">
        <v>26359.662184342633</v>
      </c>
    </row>
    <row r="120" spans="1:7" ht="11.25" customHeight="1" x14ac:dyDescent="0.2">
      <c r="A120" s="49">
        <v>44713</v>
      </c>
      <c r="B120" s="39">
        <v>17863.686000000002</v>
      </c>
      <c r="C120" s="39">
        <v>0</v>
      </c>
      <c r="D120" s="39">
        <v>18041.932298043852</v>
      </c>
      <c r="E120" s="39">
        <v>0</v>
      </c>
      <c r="F120" s="39">
        <v>17863.686000000002</v>
      </c>
      <c r="G120" s="39">
        <v>18041.932298043852</v>
      </c>
    </row>
    <row r="121" spans="1:7" ht="11.25" customHeight="1" x14ac:dyDescent="0.2">
      <c r="A121" s="48" t="s">
        <v>37</v>
      </c>
      <c r="B121" s="39">
        <v>0</v>
      </c>
      <c r="C121" s="39">
        <v>397.78008</v>
      </c>
      <c r="D121" s="39">
        <v>0</v>
      </c>
      <c r="E121" s="39">
        <v>408.6309486026982</v>
      </c>
      <c r="F121" s="39">
        <v>397.78008</v>
      </c>
      <c r="G121" s="39">
        <v>408.6309486026982</v>
      </c>
    </row>
    <row r="122" spans="1:7" ht="11.25" customHeight="1" x14ac:dyDescent="0.2">
      <c r="A122" s="49">
        <v>44440</v>
      </c>
      <c r="B122" s="39">
        <v>0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</row>
    <row r="123" spans="1:7" ht="11.25" customHeight="1" x14ac:dyDescent="0.2">
      <c r="A123" s="49">
        <v>44470</v>
      </c>
      <c r="B123" s="39">
        <v>0</v>
      </c>
      <c r="C123" s="39">
        <v>397.78008</v>
      </c>
      <c r="D123" s="39">
        <v>0</v>
      </c>
      <c r="E123" s="39">
        <v>408.6309486026982</v>
      </c>
      <c r="F123" s="39">
        <v>397.78008</v>
      </c>
      <c r="G123" s="39">
        <v>408.6309486026982</v>
      </c>
    </row>
    <row r="124" spans="1:7" ht="11.25" customHeight="1" x14ac:dyDescent="0.2">
      <c r="A124" s="49">
        <v>44501</v>
      </c>
      <c r="B124" s="39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</row>
    <row r="125" spans="1:7" ht="11.25" customHeight="1" x14ac:dyDescent="0.2">
      <c r="A125" s="49">
        <v>44531</v>
      </c>
      <c r="B125" s="39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</row>
    <row r="126" spans="1:7" ht="11.25" customHeight="1" x14ac:dyDescent="0.2">
      <c r="A126" s="49">
        <v>44562</v>
      </c>
      <c r="B126" s="39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</row>
    <row r="127" spans="1:7" ht="11.25" customHeight="1" x14ac:dyDescent="0.2">
      <c r="A127" s="49">
        <v>44593</v>
      </c>
      <c r="B127" s="39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</row>
    <row r="128" spans="1:7" ht="11.25" customHeight="1" x14ac:dyDescent="0.2">
      <c r="A128" s="49">
        <v>44621</v>
      </c>
      <c r="B128" s="39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</row>
    <row r="129" spans="1:7" ht="11.25" customHeight="1" x14ac:dyDescent="0.2">
      <c r="A129" s="49">
        <v>44652</v>
      </c>
      <c r="B129" s="39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</row>
    <row r="130" spans="1:7" ht="11.25" customHeight="1" x14ac:dyDescent="0.2">
      <c r="A130" s="49">
        <v>44682</v>
      </c>
      <c r="B130" s="39">
        <v>0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</row>
    <row r="131" spans="1:7" ht="11.25" customHeight="1" x14ac:dyDescent="0.2">
      <c r="A131" s="49">
        <v>44713</v>
      </c>
      <c r="B131" s="39">
        <v>0</v>
      </c>
      <c r="C131" s="39">
        <v>0</v>
      </c>
      <c r="D131" s="39">
        <v>0</v>
      </c>
      <c r="E131" s="39">
        <v>0</v>
      </c>
      <c r="F131" s="39">
        <v>0</v>
      </c>
      <c r="G131" s="39">
        <v>0</v>
      </c>
    </row>
    <row r="132" spans="1:7" ht="11.25" customHeight="1" x14ac:dyDescent="0.2">
      <c r="A132" s="41" t="s">
        <v>563</v>
      </c>
      <c r="B132" s="39">
        <v>0</v>
      </c>
      <c r="C132" s="39">
        <v>809591.62921200017</v>
      </c>
      <c r="D132" s="39">
        <v>0</v>
      </c>
      <c r="E132" s="39">
        <v>811097.10041364469</v>
      </c>
      <c r="F132" s="39">
        <v>809591.62921200017</v>
      </c>
      <c r="G132" s="39">
        <v>811097.10041364469</v>
      </c>
    </row>
    <row r="133" spans="1:7" ht="11.25" customHeight="1" x14ac:dyDescent="0.2">
      <c r="A133" s="42" t="s">
        <v>35</v>
      </c>
      <c r="B133" s="39">
        <v>0</v>
      </c>
      <c r="C133" s="39">
        <v>436206.15022600011</v>
      </c>
      <c r="D133" s="39">
        <v>0</v>
      </c>
      <c r="E133" s="39">
        <v>448466.96535636752</v>
      </c>
      <c r="F133" s="39">
        <v>436206.15022600011</v>
      </c>
      <c r="G133" s="39">
        <v>448466.96535636752</v>
      </c>
    </row>
    <row r="134" spans="1:7" ht="11.25" customHeight="1" x14ac:dyDescent="0.2">
      <c r="A134" s="43" t="s">
        <v>36</v>
      </c>
      <c r="B134" s="39">
        <v>0</v>
      </c>
      <c r="C134" s="39">
        <v>436206.15022600011</v>
      </c>
      <c r="D134" s="39">
        <v>0</v>
      </c>
      <c r="E134" s="39">
        <v>448466.96535636752</v>
      </c>
      <c r="F134" s="39">
        <v>436206.15022600011</v>
      </c>
      <c r="G134" s="39">
        <v>448466.96535636752</v>
      </c>
    </row>
    <row r="135" spans="1:7" ht="11.25" customHeight="1" x14ac:dyDescent="0.2">
      <c r="A135" s="44" t="s">
        <v>41</v>
      </c>
      <c r="B135" s="39">
        <v>0</v>
      </c>
      <c r="C135" s="39">
        <v>436206.15022600011</v>
      </c>
      <c r="D135" s="39">
        <v>0</v>
      </c>
      <c r="E135" s="39">
        <v>448466.96535636752</v>
      </c>
      <c r="F135" s="39">
        <v>436206.15022600011</v>
      </c>
      <c r="G135" s="39">
        <v>448466.96535636752</v>
      </c>
    </row>
    <row r="136" spans="1:7" ht="11.25" customHeight="1" x14ac:dyDescent="0.2">
      <c r="A136" s="45" t="s">
        <v>49</v>
      </c>
      <c r="B136" s="39">
        <v>0</v>
      </c>
      <c r="C136" s="39">
        <v>436206.15022600011</v>
      </c>
      <c r="D136" s="39">
        <v>0</v>
      </c>
      <c r="E136" s="39">
        <v>448466.96535636752</v>
      </c>
      <c r="F136" s="39">
        <v>436206.15022600011</v>
      </c>
      <c r="G136" s="39">
        <v>448466.96535636752</v>
      </c>
    </row>
    <row r="137" spans="1:7" ht="11.25" customHeight="1" x14ac:dyDescent="0.2">
      <c r="A137" s="46" t="s">
        <v>51</v>
      </c>
      <c r="B137" s="39">
        <v>0</v>
      </c>
      <c r="C137" s="39">
        <v>436206.15022600011</v>
      </c>
      <c r="D137" s="39">
        <v>0</v>
      </c>
      <c r="E137" s="39">
        <v>448466.96535636752</v>
      </c>
      <c r="F137" s="39">
        <v>436206.15022600011</v>
      </c>
      <c r="G137" s="39">
        <v>448466.96535636752</v>
      </c>
    </row>
    <row r="138" spans="1:7" ht="11.25" customHeight="1" x14ac:dyDescent="0.2">
      <c r="A138" s="47" t="s">
        <v>25</v>
      </c>
      <c r="B138" s="39">
        <v>0</v>
      </c>
      <c r="C138" s="39">
        <v>436206.15022600011</v>
      </c>
      <c r="D138" s="39">
        <v>0</v>
      </c>
      <c r="E138" s="39">
        <v>448466.96535636752</v>
      </c>
      <c r="F138" s="39">
        <v>436206.15022600011</v>
      </c>
      <c r="G138" s="39">
        <v>448466.96535636752</v>
      </c>
    </row>
    <row r="139" spans="1:7" ht="11.25" customHeight="1" x14ac:dyDescent="0.2">
      <c r="A139" s="48" t="s">
        <v>38</v>
      </c>
      <c r="B139" s="39">
        <v>0</v>
      </c>
      <c r="C139" s="39">
        <v>436206.15022600011</v>
      </c>
      <c r="D139" s="39">
        <v>0</v>
      </c>
      <c r="E139" s="39">
        <v>448466.96535636752</v>
      </c>
      <c r="F139" s="39">
        <v>436206.15022600011</v>
      </c>
      <c r="G139" s="39">
        <v>448466.96535636752</v>
      </c>
    </row>
    <row r="140" spans="1:7" ht="11.25" customHeight="1" x14ac:dyDescent="0.2">
      <c r="A140" s="49">
        <v>44378</v>
      </c>
      <c r="B140" s="39">
        <v>0</v>
      </c>
      <c r="C140" s="39">
        <v>3973.1753600000006</v>
      </c>
      <c r="D140" s="39">
        <v>0</v>
      </c>
      <c r="E140" s="39">
        <v>4084.8527596520971</v>
      </c>
      <c r="F140" s="39">
        <v>3973.1753600000006</v>
      </c>
      <c r="G140" s="39">
        <v>4084.8527596520971</v>
      </c>
    </row>
    <row r="141" spans="1:7" ht="11.25" customHeight="1" x14ac:dyDescent="0.2">
      <c r="A141" s="49">
        <v>44409</v>
      </c>
      <c r="B141" s="39">
        <v>0</v>
      </c>
      <c r="C141" s="39">
        <v>6312.5216</v>
      </c>
      <c r="D141" s="39">
        <v>0</v>
      </c>
      <c r="E141" s="39">
        <v>6489.9529826248254</v>
      </c>
      <c r="F141" s="39">
        <v>6312.5216</v>
      </c>
      <c r="G141" s="39">
        <v>6489.9529826248254</v>
      </c>
    </row>
    <row r="142" spans="1:7" ht="11.25" customHeight="1" x14ac:dyDescent="0.2">
      <c r="A142" s="49">
        <v>44440</v>
      </c>
      <c r="B142" s="39">
        <v>0</v>
      </c>
      <c r="C142" s="39">
        <v>4430.6010980000001</v>
      </c>
      <c r="D142" s="39">
        <v>0</v>
      </c>
      <c r="E142" s="39">
        <v>4555.1357496798</v>
      </c>
      <c r="F142" s="39">
        <v>4430.6010980000001</v>
      </c>
      <c r="G142" s="39">
        <v>4555.1357496798</v>
      </c>
    </row>
    <row r="143" spans="1:7" ht="11.25" customHeight="1" x14ac:dyDescent="0.2">
      <c r="A143" s="49">
        <v>44470</v>
      </c>
      <c r="B143" s="39">
        <v>0</v>
      </c>
      <c r="C143" s="39">
        <v>7871.6216039999999</v>
      </c>
      <c r="D143" s="39">
        <v>0</v>
      </c>
      <c r="E143" s="39">
        <v>8092.8759288481197</v>
      </c>
      <c r="F143" s="39">
        <v>7871.6216039999999</v>
      </c>
      <c r="G143" s="39">
        <v>8092.8759288481197</v>
      </c>
    </row>
    <row r="144" spans="1:7" ht="11.25" customHeight="1" x14ac:dyDescent="0.2">
      <c r="A144" s="49">
        <v>44501</v>
      </c>
      <c r="B144" s="39">
        <v>0</v>
      </c>
      <c r="C144" s="39">
        <v>72837.448222000006</v>
      </c>
      <c r="D144" s="39">
        <v>0</v>
      </c>
      <c r="E144" s="39">
        <v>74884.751972199214</v>
      </c>
      <c r="F144" s="39">
        <v>72837.448222000006</v>
      </c>
      <c r="G144" s="39">
        <v>74884.751972199214</v>
      </c>
    </row>
    <row r="145" spans="1:7" ht="11.25" customHeight="1" x14ac:dyDescent="0.2">
      <c r="A145" s="49">
        <v>44531</v>
      </c>
      <c r="B145" s="39">
        <v>0</v>
      </c>
      <c r="C145" s="39">
        <v>101891.52512000001</v>
      </c>
      <c r="D145" s="39">
        <v>0</v>
      </c>
      <c r="E145" s="39">
        <v>104755.47637836779</v>
      </c>
      <c r="F145" s="39">
        <v>101891.52512000001</v>
      </c>
      <c r="G145" s="39">
        <v>104755.47637836779</v>
      </c>
    </row>
    <row r="146" spans="1:7" ht="11.25" customHeight="1" x14ac:dyDescent="0.2">
      <c r="A146" s="49">
        <v>44562</v>
      </c>
      <c r="B146" s="39">
        <v>0</v>
      </c>
      <c r="C146" s="39">
        <v>107970.57625199998</v>
      </c>
      <c r="D146" s="39">
        <v>0</v>
      </c>
      <c r="E146" s="39">
        <v>111005.39654112051</v>
      </c>
      <c r="F146" s="39">
        <v>107970.57625199998</v>
      </c>
      <c r="G146" s="39">
        <v>111005.39654112051</v>
      </c>
    </row>
    <row r="147" spans="1:7" ht="11.25" customHeight="1" x14ac:dyDescent="0.2">
      <c r="A147" s="49">
        <v>44593</v>
      </c>
      <c r="B147" s="39">
        <v>0</v>
      </c>
      <c r="C147" s="39">
        <v>77500.591476000001</v>
      </c>
      <c r="D147" s="39">
        <v>0</v>
      </c>
      <c r="E147" s="39">
        <v>79678.966136900723</v>
      </c>
      <c r="F147" s="39">
        <v>77500.591476000001</v>
      </c>
      <c r="G147" s="39">
        <v>79678.966136900723</v>
      </c>
    </row>
    <row r="148" spans="1:7" ht="11.25" customHeight="1" x14ac:dyDescent="0.2">
      <c r="A148" s="49">
        <v>44621</v>
      </c>
      <c r="B148" s="39">
        <v>0</v>
      </c>
      <c r="C148" s="39">
        <v>37185.857939999994</v>
      </c>
      <c r="D148" s="39">
        <v>0</v>
      </c>
      <c r="E148" s="39">
        <v>38231.07229433734</v>
      </c>
      <c r="F148" s="39">
        <v>37185.857939999994</v>
      </c>
      <c r="G148" s="39">
        <v>38231.07229433734</v>
      </c>
    </row>
    <row r="149" spans="1:7" ht="11.25" customHeight="1" x14ac:dyDescent="0.2">
      <c r="A149" s="49">
        <v>44652</v>
      </c>
      <c r="B149" s="39">
        <v>0</v>
      </c>
      <c r="C149" s="39">
        <v>9386.8588660000005</v>
      </c>
      <c r="D149" s="39">
        <v>0</v>
      </c>
      <c r="E149" s="39">
        <v>9650.7032458906742</v>
      </c>
      <c r="F149" s="39">
        <v>9386.8588660000005</v>
      </c>
      <c r="G149" s="39">
        <v>9650.7032458906742</v>
      </c>
    </row>
    <row r="150" spans="1:7" ht="11.25" customHeight="1" x14ac:dyDescent="0.2">
      <c r="A150" s="49">
        <v>44682</v>
      </c>
      <c r="B150" s="39">
        <v>0</v>
      </c>
      <c r="C150" s="39">
        <v>4200.1476439999997</v>
      </c>
      <c r="D150" s="39">
        <v>0</v>
      </c>
      <c r="E150" s="39">
        <v>4318.2047455714728</v>
      </c>
      <c r="F150" s="39">
        <v>4200.1476439999997</v>
      </c>
      <c r="G150" s="39">
        <v>4318.2047455714728</v>
      </c>
    </row>
    <row r="151" spans="1:7" ht="11.25" customHeight="1" x14ac:dyDescent="0.2">
      <c r="A151" s="49">
        <v>44713</v>
      </c>
      <c r="B151" s="39">
        <v>0</v>
      </c>
      <c r="C151" s="39">
        <v>2645.2250439999998</v>
      </c>
      <c r="D151" s="39">
        <v>0</v>
      </c>
      <c r="E151" s="39">
        <v>2719.5766211749178</v>
      </c>
      <c r="F151" s="39">
        <v>2645.2250439999998</v>
      </c>
      <c r="G151" s="39">
        <v>2719.5766211749178</v>
      </c>
    </row>
    <row r="152" spans="1:7" ht="11.25" customHeight="1" x14ac:dyDescent="0.2">
      <c r="A152" s="42" t="s">
        <v>40</v>
      </c>
      <c r="B152" s="39">
        <v>0</v>
      </c>
      <c r="C152" s="39">
        <v>373385.47898599994</v>
      </c>
      <c r="D152" s="39">
        <v>0</v>
      </c>
      <c r="E152" s="39">
        <v>362630.13505727693</v>
      </c>
      <c r="F152" s="39">
        <v>373385.47898599994</v>
      </c>
      <c r="G152" s="39">
        <v>362630.13505727693</v>
      </c>
    </row>
    <row r="153" spans="1:7" ht="11.25" customHeight="1" x14ac:dyDescent="0.2">
      <c r="A153" s="43" t="s">
        <v>23</v>
      </c>
      <c r="B153" s="39">
        <v>0</v>
      </c>
      <c r="C153" s="39">
        <v>373385.47898599994</v>
      </c>
      <c r="D153" s="39">
        <v>0</v>
      </c>
      <c r="E153" s="39">
        <v>362630.13505727693</v>
      </c>
      <c r="F153" s="39">
        <v>373385.47898599994</v>
      </c>
      <c r="G153" s="39">
        <v>362630.13505727693</v>
      </c>
    </row>
    <row r="154" spans="1:7" ht="11.25" customHeight="1" x14ac:dyDescent="0.2">
      <c r="A154" s="44" t="s">
        <v>41</v>
      </c>
      <c r="B154" s="39">
        <v>0</v>
      </c>
      <c r="C154" s="39">
        <v>373385.47898599994</v>
      </c>
      <c r="D154" s="39">
        <v>0</v>
      </c>
      <c r="E154" s="39">
        <v>362630.13505727693</v>
      </c>
      <c r="F154" s="39">
        <v>373385.47898599994</v>
      </c>
      <c r="G154" s="39">
        <v>362630.13505727693</v>
      </c>
    </row>
    <row r="155" spans="1:7" ht="11.25" customHeight="1" x14ac:dyDescent="0.2">
      <c r="A155" s="45" t="s">
        <v>49</v>
      </c>
      <c r="B155" s="39">
        <v>0</v>
      </c>
      <c r="C155" s="39">
        <v>373385.47898599994</v>
      </c>
      <c r="D155" s="39">
        <v>0</v>
      </c>
      <c r="E155" s="39">
        <v>362630.13505727693</v>
      </c>
      <c r="F155" s="39">
        <v>373385.47898599994</v>
      </c>
      <c r="G155" s="39">
        <v>362630.13505727693</v>
      </c>
    </row>
    <row r="156" spans="1:7" ht="11.25" customHeight="1" x14ac:dyDescent="0.2">
      <c r="A156" s="46" t="s">
        <v>51</v>
      </c>
      <c r="B156" s="39">
        <v>0</v>
      </c>
      <c r="C156" s="39">
        <v>373385.47898599994</v>
      </c>
      <c r="D156" s="39">
        <v>0</v>
      </c>
      <c r="E156" s="39">
        <v>362630.13505727693</v>
      </c>
      <c r="F156" s="39">
        <v>373385.47898599994</v>
      </c>
      <c r="G156" s="39">
        <v>362630.13505727693</v>
      </c>
    </row>
    <row r="157" spans="1:7" ht="11.25" customHeight="1" x14ac:dyDescent="0.2">
      <c r="A157" s="47" t="s">
        <v>25</v>
      </c>
      <c r="B157" s="39">
        <v>0</v>
      </c>
      <c r="C157" s="39">
        <v>373385.47898599994</v>
      </c>
      <c r="D157" s="39">
        <v>0</v>
      </c>
      <c r="E157" s="39">
        <v>362630.13505727693</v>
      </c>
      <c r="F157" s="39">
        <v>373385.47898599994</v>
      </c>
      <c r="G157" s="39">
        <v>362630.13505727693</v>
      </c>
    </row>
    <row r="158" spans="1:7" ht="11.25" customHeight="1" x14ac:dyDescent="0.2">
      <c r="A158" s="48" t="s">
        <v>25</v>
      </c>
      <c r="B158" s="39">
        <v>0</v>
      </c>
      <c r="C158" s="39">
        <v>373385.47898599994</v>
      </c>
      <c r="D158" s="39">
        <v>0</v>
      </c>
      <c r="E158" s="39">
        <v>362630.13505727693</v>
      </c>
      <c r="F158" s="39">
        <v>373385.47898599994</v>
      </c>
      <c r="G158" s="39">
        <v>362630.13505727693</v>
      </c>
    </row>
    <row r="159" spans="1:7" ht="11.25" customHeight="1" x14ac:dyDescent="0.2">
      <c r="A159" s="49">
        <v>44378</v>
      </c>
      <c r="B159" s="39">
        <v>0</v>
      </c>
      <c r="C159" s="39">
        <v>244.26303200000004</v>
      </c>
      <c r="D159" s="39">
        <v>0</v>
      </c>
      <c r="E159" s="39">
        <v>237.22705158274556</v>
      </c>
      <c r="F159" s="39">
        <v>244.26303200000004</v>
      </c>
      <c r="G159" s="39">
        <v>237.22705158274556</v>
      </c>
    </row>
    <row r="160" spans="1:7" ht="11.25" customHeight="1" x14ac:dyDescent="0.2">
      <c r="A160" s="49">
        <v>44409</v>
      </c>
      <c r="B160" s="39">
        <v>0</v>
      </c>
      <c r="C160" s="39">
        <v>510.93148600000001</v>
      </c>
      <c r="D160" s="39">
        <v>0</v>
      </c>
      <c r="E160" s="39">
        <v>496.21413847254144</v>
      </c>
      <c r="F160" s="39">
        <v>510.93148600000001</v>
      </c>
      <c r="G160" s="39">
        <v>496.21413847254144</v>
      </c>
    </row>
    <row r="161" spans="1:7" ht="11.25" customHeight="1" x14ac:dyDescent="0.2">
      <c r="A161" s="49">
        <v>44440</v>
      </c>
      <c r="B161" s="39">
        <v>0</v>
      </c>
      <c r="C161" s="39">
        <v>2520.8296360000004</v>
      </c>
      <c r="D161" s="39">
        <v>0</v>
      </c>
      <c r="E161" s="39">
        <v>2448.217305722651</v>
      </c>
      <c r="F161" s="39">
        <v>2520.8296360000004</v>
      </c>
      <c r="G161" s="39">
        <v>2448.217305722651</v>
      </c>
    </row>
    <row r="162" spans="1:7" ht="11.25" customHeight="1" x14ac:dyDescent="0.2">
      <c r="A162" s="49">
        <v>44470</v>
      </c>
      <c r="B162" s="39">
        <v>0</v>
      </c>
      <c r="C162" s="39">
        <v>8607.6359460000003</v>
      </c>
      <c r="D162" s="39">
        <v>0</v>
      </c>
      <c r="E162" s="39">
        <v>8359.6935641380096</v>
      </c>
      <c r="F162" s="39">
        <v>8607.6359460000003</v>
      </c>
      <c r="G162" s="39">
        <v>8359.6935641380096</v>
      </c>
    </row>
    <row r="163" spans="1:7" ht="11.25" customHeight="1" x14ac:dyDescent="0.2">
      <c r="A163" s="49">
        <v>44501</v>
      </c>
      <c r="B163" s="39">
        <v>0</v>
      </c>
      <c r="C163" s="39">
        <v>40161.938596</v>
      </c>
      <c r="D163" s="39">
        <v>0</v>
      </c>
      <c r="E163" s="39">
        <v>39005.076621567321</v>
      </c>
      <c r="F163" s="39">
        <v>40161.938596</v>
      </c>
      <c r="G163" s="39">
        <v>39005.076621567321</v>
      </c>
    </row>
    <row r="164" spans="1:7" ht="11.25" customHeight="1" x14ac:dyDescent="0.2">
      <c r="A164" s="49">
        <v>44531</v>
      </c>
      <c r="B164" s="39">
        <v>0</v>
      </c>
      <c r="C164" s="39">
        <v>115474.909056</v>
      </c>
      <c r="D164" s="39">
        <v>0</v>
      </c>
      <c r="E164" s="39">
        <v>112148.66196838398</v>
      </c>
      <c r="F164" s="39">
        <v>115474.909056</v>
      </c>
      <c r="G164" s="39">
        <v>112148.66196838398</v>
      </c>
    </row>
    <row r="165" spans="1:7" ht="11.25" customHeight="1" x14ac:dyDescent="0.2">
      <c r="A165" s="49">
        <v>44562</v>
      </c>
      <c r="B165" s="39">
        <v>0</v>
      </c>
      <c r="C165" s="39">
        <v>120253.41445000001</v>
      </c>
      <c r="D165" s="39">
        <v>0</v>
      </c>
      <c r="E165" s="39">
        <v>116789.52283181119</v>
      </c>
      <c r="F165" s="39">
        <v>120253.41445000001</v>
      </c>
      <c r="G165" s="39">
        <v>116789.52283181119</v>
      </c>
    </row>
    <row r="166" spans="1:7" ht="11.25" customHeight="1" x14ac:dyDescent="0.2">
      <c r="A166" s="49">
        <v>44593</v>
      </c>
      <c r="B166" s="39">
        <v>0</v>
      </c>
      <c r="C166" s="39">
        <v>44553.401307999993</v>
      </c>
      <c r="D166" s="39">
        <v>0</v>
      </c>
      <c r="E166" s="39">
        <v>43270.043541749197</v>
      </c>
      <c r="F166" s="39">
        <v>44553.401307999993</v>
      </c>
      <c r="G166" s="39">
        <v>43270.043541749197</v>
      </c>
    </row>
    <row r="167" spans="1:7" ht="11.25" customHeight="1" x14ac:dyDescent="0.2">
      <c r="A167" s="49">
        <v>44621</v>
      </c>
      <c r="B167" s="39">
        <v>0</v>
      </c>
      <c r="C167" s="39">
        <v>29597.123140000003</v>
      </c>
      <c r="D167" s="39">
        <v>0</v>
      </c>
      <c r="E167" s="39">
        <v>28744.579973254618</v>
      </c>
      <c r="F167" s="39">
        <v>29597.123140000003</v>
      </c>
      <c r="G167" s="39">
        <v>28744.579973254618</v>
      </c>
    </row>
    <row r="168" spans="1:7" ht="11.25" customHeight="1" x14ac:dyDescent="0.2">
      <c r="A168" s="49">
        <v>44652</v>
      </c>
      <c r="B168" s="39">
        <v>0</v>
      </c>
      <c r="C168" s="39">
        <v>11611.28046</v>
      </c>
      <c r="D168" s="39">
        <v>0</v>
      </c>
      <c r="E168" s="39">
        <v>11276.818297359649</v>
      </c>
      <c r="F168" s="39">
        <v>11611.28046</v>
      </c>
      <c r="G168" s="39">
        <v>11276.818297359649</v>
      </c>
    </row>
    <row r="169" spans="1:7" ht="11.25" customHeight="1" x14ac:dyDescent="0.2">
      <c r="A169" s="49">
        <v>44682</v>
      </c>
      <c r="B169" s="39">
        <v>0</v>
      </c>
      <c r="C169" s="39">
        <v>-352.33624400000008</v>
      </c>
      <c r="D169" s="39">
        <v>0</v>
      </c>
      <c r="E169" s="39">
        <v>-342.18722188734171</v>
      </c>
      <c r="F169" s="39">
        <v>-352.33624400000008</v>
      </c>
      <c r="G169" s="39">
        <v>-342.18722188734171</v>
      </c>
    </row>
    <row r="170" spans="1:7" ht="11.25" customHeight="1" x14ac:dyDescent="0.2">
      <c r="A170" s="49">
        <v>44713</v>
      </c>
      <c r="B170" s="39">
        <v>0</v>
      </c>
      <c r="C170" s="39">
        <v>202.08812</v>
      </c>
      <c r="D170" s="39">
        <v>0</v>
      </c>
      <c r="E170" s="39">
        <v>196.26698512241538</v>
      </c>
      <c r="F170" s="39">
        <v>202.08812</v>
      </c>
      <c r="G170" s="39">
        <v>196.26698512241538</v>
      </c>
    </row>
    <row r="171" spans="1:7" ht="11.25" customHeight="1" x14ac:dyDescent="0.2">
      <c r="A171" s="41" t="s">
        <v>561</v>
      </c>
      <c r="B171" s="39">
        <v>74862.810400000075</v>
      </c>
      <c r="C171" s="39">
        <v>3882608.6239268002</v>
      </c>
      <c r="D171" s="39">
        <v>75615.585165283468</v>
      </c>
      <c r="E171" s="39">
        <v>1991434.6431865813</v>
      </c>
      <c r="F171" s="39">
        <v>3957471.4343268001</v>
      </c>
      <c r="G171" s="39">
        <v>2067050.228351865</v>
      </c>
    </row>
    <row r="172" spans="1:7" ht="11.25" customHeight="1" x14ac:dyDescent="0.2">
      <c r="A172" s="42" t="s">
        <v>35</v>
      </c>
      <c r="B172" s="39">
        <v>74862.810400000075</v>
      </c>
      <c r="C172" s="39">
        <v>63987.966676800024</v>
      </c>
      <c r="D172" s="39">
        <v>75615.585165283468</v>
      </c>
      <c r="E172" s="39">
        <v>65661.877471336207</v>
      </c>
      <c r="F172" s="39">
        <v>138850.77707680006</v>
      </c>
      <c r="G172" s="39">
        <v>141277.46263661969</v>
      </c>
    </row>
    <row r="173" spans="1:7" ht="11.25" customHeight="1" x14ac:dyDescent="0.2">
      <c r="A173" s="43" t="s">
        <v>52</v>
      </c>
      <c r="B173" s="39">
        <v>1122.5320000000006</v>
      </c>
      <c r="C173" s="39">
        <v>270.86818</v>
      </c>
      <c r="D173" s="39">
        <v>1139.5161987943625</v>
      </c>
      <c r="E173" s="39">
        <v>278.4817009876304</v>
      </c>
      <c r="F173" s="39">
        <v>1393.4001800000005</v>
      </c>
      <c r="G173" s="39">
        <v>1417.9978997819928</v>
      </c>
    </row>
    <row r="174" spans="1:7" ht="11.25" customHeight="1" x14ac:dyDescent="0.2">
      <c r="A174" s="44" t="s">
        <v>41</v>
      </c>
      <c r="B174" s="39">
        <v>1122.5320000000006</v>
      </c>
      <c r="C174" s="39">
        <v>270.86818</v>
      </c>
      <c r="D174" s="39">
        <v>1139.5161987943625</v>
      </c>
      <c r="E174" s="39">
        <v>278.4817009876304</v>
      </c>
      <c r="F174" s="39">
        <v>1393.4001800000005</v>
      </c>
      <c r="G174" s="39">
        <v>1417.9978997819928</v>
      </c>
    </row>
    <row r="175" spans="1:7" ht="11.25" customHeight="1" x14ac:dyDescent="0.2">
      <c r="A175" s="45" t="s">
        <v>25</v>
      </c>
      <c r="B175" s="39">
        <v>1122.5320000000006</v>
      </c>
      <c r="C175" s="39">
        <v>270.86818</v>
      </c>
      <c r="D175" s="39">
        <v>1139.5161987943625</v>
      </c>
      <c r="E175" s="39">
        <v>278.4817009876304</v>
      </c>
      <c r="F175" s="39">
        <v>1393.4001800000005</v>
      </c>
      <c r="G175" s="39">
        <v>1417.9978997819928</v>
      </c>
    </row>
    <row r="176" spans="1:7" ht="11.25" customHeight="1" x14ac:dyDescent="0.2">
      <c r="A176" s="46" t="s">
        <v>25</v>
      </c>
      <c r="B176" s="39">
        <v>1122.5320000000006</v>
      </c>
      <c r="C176" s="39">
        <v>270.86818</v>
      </c>
      <c r="D176" s="39">
        <v>1139.5161987943625</v>
      </c>
      <c r="E176" s="39">
        <v>278.4817009876304</v>
      </c>
      <c r="F176" s="39">
        <v>1393.4001800000005</v>
      </c>
      <c r="G176" s="39">
        <v>1417.9978997819928</v>
      </c>
    </row>
    <row r="177" spans="1:7" ht="11.25" customHeight="1" x14ac:dyDescent="0.2">
      <c r="A177" s="47" t="s">
        <v>25</v>
      </c>
      <c r="B177" s="39">
        <v>1122.5320000000006</v>
      </c>
      <c r="C177" s="39">
        <v>270.86818</v>
      </c>
      <c r="D177" s="39">
        <v>1139.5161987943625</v>
      </c>
      <c r="E177" s="39">
        <v>278.4817009876304</v>
      </c>
      <c r="F177" s="39">
        <v>1393.4001800000005</v>
      </c>
      <c r="G177" s="39">
        <v>1417.9978997819928</v>
      </c>
    </row>
    <row r="178" spans="1:7" ht="11.25" customHeight="1" x14ac:dyDescent="0.2">
      <c r="A178" s="48" t="s">
        <v>38</v>
      </c>
      <c r="B178" s="39">
        <v>641.33040000000028</v>
      </c>
      <c r="C178" s="39">
        <v>246.36074319999997</v>
      </c>
      <c r="D178" s="39">
        <v>647.72968229946423</v>
      </c>
      <c r="E178" s="39">
        <v>253.28541293743987</v>
      </c>
      <c r="F178" s="39">
        <v>887.69114320000028</v>
      </c>
      <c r="G178" s="39">
        <v>901.01509523690413</v>
      </c>
    </row>
    <row r="179" spans="1:7" ht="11.25" customHeight="1" x14ac:dyDescent="0.2">
      <c r="A179" s="49">
        <v>44593</v>
      </c>
      <c r="B179" s="39">
        <v>136.26</v>
      </c>
      <c r="C179" s="39">
        <v>0</v>
      </c>
      <c r="D179" s="39">
        <v>137.61962088515523</v>
      </c>
      <c r="E179" s="39">
        <v>0</v>
      </c>
      <c r="F179" s="39">
        <v>136.26</v>
      </c>
      <c r="G179" s="39">
        <v>137.61962088515523</v>
      </c>
    </row>
    <row r="180" spans="1:7" ht="11.25" customHeight="1" x14ac:dyDescent="0.2">
      <c r="A180" s="49">
        <v>44621</v>
      </c>
      <c r="B180" s="39">
        <v>116.27520000000024</v>
      </c>
      <c r="C180" s="39">
        <v>0</v>
      </c>
      <c r="D180" s="39">
        <v>117.43540982199936</v>
      </c>
      <c r="E180" s="39">
        <v>0</v>
      </c>
      <c r="F180" s="39">
        <v>116.27520000000024</v>
      </c>
      <c r="G180" s="39">
        <v>117.43540982199936</v>
      </c>
    </row>
    <row r="181" spans="1:7" ht="11.25" customHeight="1" x14ac:dyDescent="0.2">
      <c r="A181" s="49">
        <v>44652</v>
      </c>
      <c r="B181" s="39">
        <v>118.09200000000007</v>
      </c>
      <c r="C181" s="39">
        <v>0</v>
      </c>
      <c r="D181" s="39">
        <v>119.27033810046792</v>
      </c>
      <c r="E181" s="39">
        <v>0</v>
      </c>
      <c r="F181" s="39">
        <v>118.09200000000007</v>
      </c>
      <c r="G181" s="39">
        <v>119.27033810046792</v>
      </c>
    </row>
    <row r="182" spans="1:7" ht="11.25" customHeight="1" x14ac:dyDescent="0.2">
      <c r="A182" s="49">
        <v>44682</v>
      </c>
      <c r="B182" s="39">
        <v>168.96239999999995</v>
      </c>
      <c r="C182" s="39">
        <v>144.19337679999998</v>
      </c>
      <c r="D182" s="39">
        <v>170.64832989759242</v>
      </c>
      <c r="E182" s="39">
        <v>148.2463419749574</v>
      </c>
      <c r="F182" s="39">
        <v>313.1557767999999</v>
      </c>
      <c r="G182" s="39">
        <v>318.89467187254979</v>
      </c>
    </row>
    <row r="183" spans="1:7" ht="11.25" customHeight="1" x14ac:dyDescent="0.2">
      <c r="A183" s="49">
        <v>44713</v>
      </c>
      <c r="B183" s="39">
        <v>101.74080000000009</v>
      </c>
      <c r="C183" s="39">
        <v>102.16736639999999</v>
      </c>
      <c r="D183" s="39">
        <v>102.75598359424933</v>
      </c>
      <c r="E183" s="39">
        <v>105.03907096248247</v>
      </c>
      <c r="F183" s="39">
        <v>203.90816640000008</v>
      </c>
      <c r="G183" s="39">
        <v>207.7950545567318</v>
      </c>
    </row>
    <row r="184" spans="1:7" ht="11.25" customHeight="1" x14ac:dyDescent="0.2">
      <c r="A184" s="48" t="s">
        <v>37</v>
      </c>
      <c r="B184" s="39">
        <v>481.20160000000033</v>
      </c>
      <c r="C184" s="39">
        <v>24.507436799999994</v>
      </c>
      <c r="D184" s="39">
        <v>491.78651649489814</v>
      </c>
      <c r="E184" s="39">
        <v>25.196288050190496</v>
      </c>
      <c r="F184" s="39">
        <v>505.70903680000032</v>
      </c>
      <c r="G184" s="39">
        <v>516.98280454508858</v>
      </c>
    </row>
    <row r="185" spans="1:7" ht="11.25" customHeight="1" x14ac:dyDescent="0.2">
      <c r="A185" s="49">
        <v>44593</v>
      </c>
      <c r="B185" s="39">
        <v>172.68</v>
      </c>
      <c r="C185" s="39">
        <v>0</v>
      </c>
      <c r="D185" s="39">
        <v>176.47841501013079</v>
      </c>
      <c r="E185" s="39">
        <v>0</v>
      </c>
      <c r="F185" s="39">
        <v>172.68</v>
      </c>
      <c r="G185" s="39">
        <v>176.47841501013079</v>
      </c>
    </row>
    <row r="186" spans="1:7" ht="11.25" customHeight="1" x14ac:dyDescent="0.2">
      <c r="A186" s="49">
        <v>44621</v>
      </c>
      <c r="B186" s="39">
        <v>27.628799999999973</v>
      </c>
      <c r="C186" s="39">
        <v>0</v>
      </c>
      <c r="D186" s="39">
        <v>28.236546401620899</v>
      </c>
      <c r="E186" s="39">
        <v>0</v>
      </c>
      <c r="F186" s="39">
        <v>27.628799999999973</v>
      </c>
      <c r="G186" s="39">
        <v>28.236546401620899</v>
      </c>
    </row>
    <row r="187" spans="1:7" ht="11.25" customHeight="1" x14ac:dyDescent="0.2">
      <c r="A187" s="49">
        <v>44652</v>
      </c>
      <c r="B187" s="39">
        <v>25.326400000000074</v>
      </c>
      <c r="C187" s="39">
        <v>0</v>
      </c>
      <c r="D187" s="39">
        <v>25.883500868152588</v>
      </c>
      <c r="E187" s="39">
        <v>0</v>
      </c>
      <c r="F187" s="39">
        <v>25.326400000000074</v>
      </c>
      <c r="G187" s="39">
        <v>25.883500868152588</v>
      </c>
    </row>
    <row r="188" spans="1:7" ht="11.25" customHeight="1" x14ac:dyDescent="0.2">
      <c r="A188" s="49">
        <v>44682</v>
      </c>
      <c r="B188" s="39">
        <v>184.19200000000018</v>
      </c>
      <c r="C188" s="39">
        <v>14.919299999999977</v>
      </c>
      <c r="D188" s="39">
        <v>188.24364267747299</v>
      </c>
      <c r="E188" s="39">
        <v>15.338649381203608</v>
      </c>
      <c r="F188" s="39">
        <v>199.11130000000014</v>
      </c>
      <c r="G188" s="39">
        <v>203.58229205867659</v>
      </c>
    </row>
    <row r="189" spans="1:7" ht="11.25" customHeight="1" x14ac:dyDescent="0.2">
      <c r="A189" s="49">
        <v>44713</v>
      </c>
      <c r="B189" s="39">
        <v>71.374400000000122</v>
      </c>
      <c r="C189" s="39">
        <v>9.5881368000000187</v>
      </c>
      <c r="D189" s="39">
        <v>72.944411537520836</v>
      </c>
      <c r="E189" s="39">
        <v>9.8576386689868869</v>
      </c>
      <c r="F189" s="39">
        <v>80.962536800000137</v>
      </c>
      <c r="G189" s="39">
        <v>82.802050206507715</v>
      </c>
    </row>
    <row r="190" spans="1:7" ht="11.25" customHeight="1" x14ac:dyDescent="0.2">
      <c r="A190" s="43" t="s">
        <v>36</v>
      </c>
      <c r="B190" s="39">
        <v>73740.278400000068</v>
      </c>
      <c r="C190" s="39">
        <v>63717.098496800019</v>
      </c>
      <c r="D190" s="39">
        <v>74476.068966489111</v>
      </c>
      <c r="E190" s="39">
        <v>65383.395770348572</v>
      </c>
      <c r="F190" s="39">
        <v>137457.37689680009</v>
      </c>
      <c r="G190" s="39">
        <v>139859.46473683766</v>
      </c>
    </row>
    <row r="191" spans="1:7" ht="11.25" customHeight="1" x14ac:dyDescent="0.2">
      <c r="A191" s="44" t="s">
        <v>41</v>
      </c>
      <c r="B191" s="39">
        <v>73740.278400000068</v>
      </c>
      <c r="C191" s="39">
        <v>63717.098496800019</v>
      </c>
      <c r="D191" s="39">
        <v>74476.068966489111</v>
      </c>
      <c r="E191" s="39">
        <v>65383.395770348572</v>
      </c>
      <c r="F191" s="39">
        <v>137457.37689680009</v>
      </c>
      <c r="G191" s="39">
        <v>139859.46473683766</v>
      </c>
    </row>
    <row r="192" spans="1:7" ht="11.25" customHeight="1" x14ac:dyDescent="0.2">
      <c r="A192" s="45" t="s">
        <v>49</v>
      </c>
      <c r="B192" s="39">
        <v>58221.172800000044</v>
      </c>
      <c r="C192" s="39">
        <v>54069.63725040001</v>
      </c>
      <c r="D192" s="39">
        <v>58802.111611809174</v>
      </c>
      <c r="E192" s="39">
        <v>55481.359206122012</v>
      </c>
      <c r="F192" s="39">
        <v>112290.81005040006</v>
      </c>
      <c r="G192" s="39">
        <v>114283.47081793119</v>
      </c>
    </row>
    <row r="193" spans="1:7" ht="11.25" customHeight="1" x14ac:dyDescent="0.2">
      <c r="A193" s="46" t="s">
        <v>25</v>
      </c>
      <c r="B193" s="39">
        <v>58221.172800000044</v>
      </c>
      <c r="C193" s="39">
        <v>54069.63725040001</v>
      </c>
      <c r="D193" s="39">
        <v>58802.111611809174</v>
      </c>
      <c r="E193" s="39">
        <v>55481.359206122012</v>
      </c>
      <c r="F193" s="39">
        <v>112290.81005040006</v>
      </c>
      <c r="G193" s="39">
        <v>114283.47081793119</v>
      </c>
    </row>
    <row r="194" spans="1:7" ht="11.25" customHeight="1" x14ac:dyDescent="0.2">
      <c r="A194" s="47" t="s">
        <v>25</v>
      </c>
      <c r="B194" s="39">
        <v>58221.172800000044</v>
      </c>
      <c r="C194" s="39">
        <v>54069.63725040001</v>
      </c>
      <c r="D194" s="39">
        <v>58802.111611809174</v>
      </c>
      <c r="E194" s="39">
        <v>55481.359206122012</v>
      </c>
      <c r="F194" s="39">
        <v>112290.81005040006</v>
      </c>
      <c r="G194" s="39">
        <v>114283.47081793119</v>
      </c>
    </row>
    <row r="195" spans="1:7" ht="11.25" customHeight="1" x14ac:dyDescent="0.2">
      <c r="A195" s="48" t="s">
        <v>38</v>
      </c>
      <c r="B195" s="39">
        <v>0</v>
      </c>
      <c r="C195" s="39">
        <v>34296.871426400008</v>
      </c>
      <c r="D195" s="39">
        <v>0</v>
      </c>
      <c r="E195" s="39">
        <v>35260.882593806084</v>
      </c>
      <c r="F195" s="39">
        <v>34296.871426400008</v>
      </c>
      <c r="G195" s="39">
        <v>35260.882593806076</v>
      </c>
    </row>
    <row r="196" spans="1:7" ht="11.25" customHeight="1" x14ac:dyDescent="0.2">
      <c r="A196" s="49">
        <v>44378</v>
      </c>
      <c r="B196" s="39">
        <v>0</v>
      </c>
      <c r="C196" s="39">
        <v>408.11247839999987</v>
      </c>
      <c r="D196" s="39">
        <v>0</v>
      </c>
      <c r="E196" s="39">
        <v>419.58364093969817</v>
      </c>
      <c r="F196" s="39">
        <v>408.11247839999987</v>
      </c>
      <c r="G196" s="39">
        <v>419.58364093969817</v>
      </c>
    </row>
    <row r="197" spans="1:7" ht="11.25" customHeight="1" x14ac:dyDescent="0.2">
      <c r="A197" s="49">
        <v>44409</v>
      </c>
      <c r="B197" s="39">
        <v>0</v>
      </c>
      <c r="C197" s="39">
        <v>756.16317040000024</v>
      </c>
      <c r="D197" s="39">
        <v>0</v>
      </c>
      <c r="E197" s="39">
        <v>777.41728805942239</v>
      </c>
      <c r="F197" s="39">
        <v>756.16317040000024</v>
      </c>
      <c r="G197" s="39">
        <v>777.41728805942239</v>
      </c>
    </row>
    <row r="198" spans="1:7" ht="11.25" customHeight="1" x14ac:dyDescent="0.2">
      <c r="A198" s="49">
        <v>44440</v>
      </c>
      <c r="B198" s="39">
        <v>0</v>
      </c>
      <c r="C198" s="39">
        <v>509.78916560000107</v>
      </c>
      <c r="D198" s="39">
        <v>0</v>
      </c>
      <c r="E198" s="39">
        <v>524.11824076697781</v>
      </c>
      <c r="F198" s="39">
        <v>509.78916560000107</v>
      </c>
      <c r="G198" s="39">
        <v>524.11824076697781</v>
      </c>
    </row>
    <row r="199" spans="1:7" ht="11.25" customHeight="1" x14ac:dyDescent="0.2">
      <c r="A199" s="49">
        <v>44470</v>
      </c>
      <c r="B199" s="39">
        <v>0</v>
      </c>
      <c r="C199" s="39">
        <v>634.06361919999836</v>
      </c>
      <c r="D199" s="39">
        <v>0</v>
      </c>
      <c r="E199" s="39">
        <v>651.88578152364994</v>
      </c>
      <c r="F199" s="39">
        <v>634.06361919999836</v>
      </c>
      <c r="G199" s="39">
        <v>651.88578152364994</v>
      </c>
    </row>
    <row r="200" spans="1:7" ht="11.25" customHeight="1" x14ac:dyDescent="0.2">
      <c r="A200" s="49">
        <v>44501</v>
      </c>
      <c r="B200" s="39">
        <v>0</v>
      </c>
      <c r="C200" s="39">
        <v>5758.0541040000044</v>
      </c>
      <c r="D200" s="39">
        <v>0</v>
      </c>
      <c r="E200" s="39">
        <v>5919.9005998442763</v>
      </c>
      <c r="F200" s="39">
        <v>5758.0541040000044</v>
      </c>
      <c r="G200" s="39">
        <v>5919.9005998442763</v>
      </c>
    </row>
    <row r="201" spans="1:7" ht="11.25" customHeight="1" x14ac:dyDescent="0.2">
      <c r="A201" s="49">
        <v>44531</v>
      </c>
      <c r="B201" s="39">
        <v>0</v>
      </c>
      <c r="C201" s="39">
        <v>7012.8666960000046</v>
      </c>
      <c r="D201" s="39">
        <v>0</v>
      </c>
      <c r="E201" s="39">
        <v>7209.983270466043</v>
      </c>
      <c r="F201" s="39">
        <v>7012.8666960000046</v>
      </c>
      <c r="G201" s="39">
        <v>7209.983270466043</v>
      </c>
    </row>
    <row r="202" spans="1:7" ht="11.25" customHeight="1" x14ac:dyDescent="0.2">
      <c r="A202" s="49">
        <v>44562</v>
      </c>
      <c r="B202" s="39">
        <v>0</v>
      </c>
      <c r="C202" s="39">
        <v>8092.5996447999942</v>
      </c>
      <c r="D202" s="39">
        <v>0</v>
      </c>
      <c r="E202" s="39">
        <v>8320.0651863049989</v>
      </c>
      <c r="F202" s="39">
        <v>8092.5996447999942</v>
      </c>
      <c r="G202" s="39">
        <v>8320.0651863049989</v>
      </c>
    </row>
    <row r="203" spans="1:7" ht="11.25" customHeight="1" x14ac:dyDescent="0.2">
      <c r="A203" s="49">
        <v>44593</v>
      </c>
      <c r="B203" s="39">
        <v>0</v>
      </c>
      <c r="C203" s="39">
        <v>6915.6989527999986</v>
      </c>
      <c r="D203" s="39">
        <v>0</v>
      </c>
      <c r="E203" s="39">
        <v>7110.0843513406344</v>
      </c>
      <c r="F203" s="39">
        <v>6915.6989527999986</v>
      </c>
      <c r="G203" s="39">
        <v>7110.0843513406344</v>
      </c>
    </row>
    <row r="204" spans="1:7" ht="11.25" customHeight="1" x14ac:dyDescent="0.2">
      <c r="A204" s="49">
        <v>44621</v>
      </c>
      <c r="B204" s="39">
        <v>0</v>
      </c>
      <c r="C204" s="39">
        <v>2866.0704688000078</v>
      </c>
      <c r="D204" s="39">
        <v>0</v>
      </c>
      <c r="E204" s="39">
        <v>2946.6295350817563</v>
      </c>
      <c r="F204" s="39">
        <v>2866.0704688000078</v>
      </c>
      <c r="G204" s="39">
        <v>2946.6295350817563</v>
      </c>
    </row>
    <row r="205" spans="1:7" ht="11.25" customHeight="1" x14ac:dyDescent="0.2">
      <c r="A205" s="49">
        <v>44652</v>
      </c>
      <c r="B205" s="39">
        <v>0</v>
      </c>
      <c r="C205" s="39">
        <v>714.29629919999979</v>
      </c>
      <c r="D205" s="39">
        <v>0</v>
      </c>
      <c r="E205" s="39">
        <v>734.37362930701329</v>
      </c>
      <c r="F205" s="39">
        <v>714.29629919999979</v>
      </c>
      <c r="G205" s="39">
        <v>734.37362930701329</v>
      </c>
    </row>
    <row r="206" spans="1:7" ht="11.25" customHeight="1" x14ac:dyDescent="0.2">
      <c r="A206" s="49">
        <v>44682</v>
      </c>
      <c r="B206" s="39">
        <v>0</v>
      </c>
      <c r="C206" s="39">
        <v>389.61254640000061</v>
      </c>
      <c r="D206" s="39">
        <v>0</v>
      </c>
      <c r="E206" s="39">
        <v>400.56371570700639</v>
      </c>
      <c r="F206" s="39">
        <v>389.61254640000061</v>
      </c>
      <c r="G206" s="39">
        <v>400.56371570700639</v>
      </c>
    </row>
    <row r="207" spans="1:7" ht="11.25" customHeight="1" x14ac:dyDescent="0.2">
      <c r="A207" s="49">
        <v>44713</v>
      </c>
      <c r="B207" s="39">
        <v>0</v>
      </c>
      <c r="C207" s="39">
        <v>239.5442807999998</v>
      </c>
      <c r="D207" s="39">
        <v>0</v>
      </c>
      <c r="E207" s="39">
        <v>246.27735446460531</v>
      </c>
      <c r="F207" s="39">
        <v>239.5442807999998</v>
      </c>
      <c r="G207" s="39">
        <v>246.27735446460531</v>
      </c>
    </row>
    <row r="208" spans="1:7" ht="11.25" customHeight="1" x14ac:dyDescent="0.2">
      <c r="A208" s="48" t="s">
        <v>25</v>
      </c>
      <c r="B208" s="39">
        <v>58221.172800000044</v>
      </c>
      <c r="C208" s="39">
        <v>0</v>
      </c>
      <c r="D208" s="39">
        <v>58802.111611809174</v>
      </c>
      <c r="E208" s="39">
        <v>0</v>
      </c>
      <c r="F208" s="39">
        <v>58221.172800000051</v>
      </c>
      <c r="G208" s="39">
        <v>58802.111611809174</v>
      </c>
    </row>
    <row r="209" spans="1:7" ht="11.25" customHeight="1" x14ac:dyDescent="0.2">
      <c r="A209" s="49">
        <v>44378</v>
      </c>
      <c r="B209" s="39">
        <v>2271</v>
      </c>
      <c r="C209" s="39">
        <v>0</v>
      </c>
      <c r="D209" s="39">
        <v>2293.6603480859203</v>
      </c>
      <c r="E209" s="39">
        <v>0</v>
      </c>
      <c r="F209" s="39">
        <v>2271</v>
      </c>
      <c r="G209" s="39">
        <v>2293.6603480859203</v>
      </c>
    </row>
    <row r="210" spans="1:7" ht="11.25" customHeight="1" x14ac:dyDescent="0.2">
      <c r="A210" s="49">
        <v>44409</v>
      </c>
      <c r="B210" s="39">
        <v>2701.5816000000009</v>
      </c>
      <c r="C210" s="39">
        <v>0</v>
      </c>
      <c r="D210" s="39">
        <v>2728.5383500830117</v>
      </c>
      <c r="E210" s="39">
        <v>0</v>
      </c>
      <c r="F210" s="39">
        <v>2701.5816000000009</v>
      </c>
      <c r="G210" s="39">
        <v>2728.5383500830117</v>
      </c>
    </row>
    <row r="211" spans="1:7" ht="11.25" customHeight="1" x14ac:dyDescent="0.2">
      <c r="A211" s="49">
        <v>44440</v>
      </c>
      <c r="B211" s="39">
        <v>3631.7832000000017</v>
      </c>
      <c r="C211" s="39">
        <v>0</v>
      </c>
      <c r="D211" s="39">
        <v>3668.0216286590057</v>
      </c>
      <c r="E211" s="39">
        <v>0</v>
      </c>
      <c r="F211" s="39">
        <v>3631.7832000000017</v>
      </c>
      <c r="G211" s="39">
        <v>3668.0216286590057</v>
      </c>
    </row>
    <row r="212" spans="1:7" ht="11.25" customHeight="1" x14ac:dyDescent="0.2">
      <c r="A212" s="49">
        <v>44470</v>
      </c>
      <c r="B212" s="39">
        <v>3600.8975999999989</v>
      </c>
      <c r="C212" s="39">
        <v>0</v>
      </c>
      <c r="D212" s="39">
        <v>3636.8278479250343</v>
      </c>
      <c r="E212" s="39">
        <v>0</v>
      </c>
      <c r="F212" s="39">
        <v>3600.8975999999989</v>
      </c>
      <c r="G212" s="39">
        <v>3636.8278479250343</v>
      </c>
    </row>
    <row r="213" spans="1:7" ht="11.25" customHeight="1" x14ac:dyDescent="0.2">
      <c r="A213" s="49">
        <v>44501</v>
      </c>
      <c r="B213" s="39">
        <v>7061.901599999992</v>
      </c>
      <c r="C213" s="39">
        <v>0</v>
      </c>
      <c r="D213" s="39">
        <v>7132.3662184079703</v>
      </c>
      <c r="E213" s="39">
        <v>0</v>
      </c>
      <c r="F213" s="39">
        <v>7061.901599999992</v>
      </c>
      <c r="G213" s="39">
        <v>7132.3662184079703</v>
      </c>
    </row>
    <row r="214" spans="1:7" ht="11.25" customHeight="1" x14ac:dyDescent="0.2">
      <c r="A214" s="49">
        <v>44531</v>
      </c>
      <c r="B214" s="39">
        <v>8175.6000000000085</v>
      </c>
      <c r="C214" s="39">
        <v>0</v>
      </c>
      <c r="D214" s="39">
        <v>8257.1772531093211</v>
      </c>
      <c r="E214" s="39">
        <v>0</v>
      </c>
      <c r="F214" s="39">
        <v>8175.6000000000085</v>
      </c>
      <c r="G214" s="39">
        <v>8257.1772531093211</v>
      </c>
    </row>
    <row r="215" spans="1:7" ht="11.25" customHeight="1" x14ac:dyDescent="0.2">
      <c r="A215" s="49">
        <v>44562</v>
      </c>
      <c r="B215" s="39">
        <v>8776.9607999999971</v>
      </c>
      <c r="C215" s="39">
        <v>0</v>
      </c>
      <c r="D215" s="39">
        <v>8864.5385132824631</v>
      </c>
      <c r="E215" s="39">
        <v>0</v>
      </c>
      <c r="F215" s="39">
        <v>8776.9607999999971</v>
      </c>
      <c r="G215" s="39">
        <v>8864.5385132824631</v>
      </c>
    </row>
    <row r="216" spans="1:7" ht="11.25" customHeight="1" x14ac:dyDescent="0.2">
      <c r="A216" s="49">
        <v>44593</v>
      </c>
      <c r="B216" s="39">
        <v>10123.209600000009</v>
      </c>
      <c r="C216" s="39">
        <v>0</v>
      </c>
      <c r="D216" s="39">
        <v>10224.220367627808</v>
      </c>
      <c r="E216" s="39">
        <v>0</v>
      </c>
      <c r="F216" s="39">
        <v>10123.209600000009</v>
      </c>
      <c r="G216" s="39">
        <v>10224.220367627808</v>
      </c>
    </row>
    <row r="217" spans="1:7" ht="11.25" customHeight="1" x14ac:dyDescent="0.2">
      <c r="A217" s="49">
        <v>44621</v>
      </c>
      <c r="B217" s="39">
        <v>6878.4048000000021</v>
      </c>
      <c r="C217" s="39">
        <v>0</v>
      </c>
      <c r="D217" s="39">
        <v>6947.0384622826386</v>
      </c>
      <c r="E217" s="39">
        <v>0</v>
      </c>
      <c r="F217" s="39">
        <v>6878.4048000000021</v>
      </c>
      <c r="G217" s="39">
        <v>6947.0384622826386</v>
      </c>
    </row>
    <row r="218" spans="1:7" ht="11.25" customHeight="1" x14ac:dyDescent="0.2">
      <c r="A218" s="49">
        <v>44652</v>
      </c>
      <c r="B218" s="39">
        <v>9140.3208000000195</v>
      </c>
      <c r="C218" s="39">
        <v>0</v>
      </c>
      <c r="D218" s="39">
        <v>9231.5241689762315</v>
      </c>
      <c r="E218" s="39">
        <v>0</v>
      </c>
      <c r="F218" s="39">
        <v>9140.3208000000195</v>
      </c>
      <c r="G218" s="39">
        <v>9231.5241689762315</v>
      </c>
    </row>
    <row r="219" spans="1:7" ht="11.25" customHeight="1" x14ac:dyDescent="0.2">
      <c r="A219" s="49">
        <v>44682</v>
      </c>
      <c r="B219" s="39">
        <v>-5632.0799999999899</v>
      </c>
      <c r="C219" s="39">
        <v>0</v>
      </c>
      <c r="D219" s="39">
        <v>-5688.2776632530713</v>
      </c>
      <c r="E219" s="39">
        <v>0</v>
      </c>
      <c r="F219" s="39">
        <v>-5632.0799999999899</v>
      </c>
      <c r="G219" s="39">
        <v>-5688.2776632530713</v>
      </c>
    </row>
    <row r="220" spans="1:7" ht="11.25" customHeight="1" x14ac:dyDescent="0.2">
      <c r="A220" s="49">
        <v>44713</v>
      </c>
      <c r="B220" s="39">
        <v>1491.5928000000001</v>
      </c>
      <c r="C220" s="39">
        <v>0</v>
      </c>
      <c r="D220" s="39">
        <v>1506.4761166228327</v>
      </c>
      <c r="E220" s="39">
        <v>0</v>
      </c>
      <c r="F220" s="39">
        <v>1491.5928000000001</v>
      </c>
      <c r="G220" s="39">
        <v>1506.4761166228327</v>
      </c>
    </row>
    <row r="221" spans="1:7" ht="11.25" customHeight="1" x14ac:dyDescent="0.2">
      <c r="A221" s="48" t="s">
        <v>37</v>
      </c>
      <c r="B221" s="39">
        <v>0</v>
      </c>
      <c r="C221" s="39">
        <v>19772.765823999995</v>
      </c>
      <c r="D221" s="39">
        <v>0</v>
      </c>
      <c r="E221" s="39">
        <v>20220.476612315932</v>
      </c>
      <c r="F221" s="39">
        <v>19772.765823999995</v>
      </c>
      <c r="G221" s="39">
        <v>20220.476612315935</v>
      </c>
    </row>
    <row r="222" spans="1:7" ht="11.25" customHeight="1" x14ac:dyDescent="0.2">
      <c r="A222" s="49">
        <v>44378</v>
      </c>
      <c r="B222" s="39">
        <v>0</v>
      </c>
      <c r="C222" s="39">
        <v>285.49060160000028</v>
      </c>
      <c r="D222" s="39">
        <v>0</v>
      </c>
      <c r="E222" s="39">
        <v>291.95490828510674</v>
      </c>
      <c r="F222" s="39">
        <v>285.49060160000028</v>
      </c>
      <c r="G222" s="39">
        <v>291.95490828510674</v>
      </c>
    </row>
    <row r="223" spans="1:7" ht="11.25" customHeight="1" x14ac:dyDescent="0.2">
      <c r="A223" s="49">
        <v>44409</v>
      </c>
      <c r="B223" s="39">
        <v>0</v>
      </c>
      <c r="C223" s="39">
        <v>511.14907760000057</v>
      </c>
      <c r="D223" s="39">
        <v>0</v>
      </c>
      <c r="E223" s="39">
        <v>522.72292409756483</v>
      </c>
      <c r="F223" s="39">
        <v>511.14907760000057</v>
      </c>
      <c r="G223" s="39">
        <v>522.72292409756483</v>
      </c>
    </row>
    <row r="224" spans="1:7" ht="11.25" customHeight="1" x14ac:dyDescent="0.2">
      <c r="A224" s="49">
        <v>44440</v>
      </c>
      <c r="B224" s="39">
        <v>0</v>
      </c>
      <c r="C224" s="39">
        <v>358.64928560000061</v>
      </c>
      <c r="D224" s="39">
        <v>0</v>
      </c>
      <c r="E224" s="39">
        <v>366.77010975855234</v>
      </c>
      <c r="F224" s="39">
        <v>358.64928560000061</v>
      </c>
      <c r="G224" s="39">
        <v>366.77010975855234</v>
      </c>
    </row>
    <row r="225" spans="1:7" ht="11.25" customHeight="1" x14ac:dyDescent="0.2">
      <c r="A225" s="49">
        <v>44470</v>
      </c>
      <c r="B225" s="39">
        <v>0</v>
      </c>
      <c r="C225" s="39">
        <v>344.77317839999967</v>
      </c>
      <c r="D225" s="39">
        <v>0</v>
      </c>
      <c r="E225" s="39">
        <v>352.57980863401059</v>
      </c>
      <c r="F225" s="39">
        <v>344.77317839999967</v>
      </c>
      <c r="G225" s="39">
        <v>352.57980863401059</v>
      </c>
    </row>
    <row r="226" spans="1:7" ht="11.25" customHeight="1" x14ac:dyDescent="0.2">
      <c r="A226" s="49">
        <v>44501</v>
      </c>
      <c r="B226" s="39">
        <v>0</v>
      </c>
      <c r="C226" s="39">
        <v>2347.4663928000004</v>
      </c>
      <c r="D226" s="39">
        <v>0</v>
      </c>
      <c r="E226" s="39">
        <v>2400.6196055887744</v>
      </c>
      <c r="F226" s="39">
        <v>2347.4663928000004</v>
      </c>
      <c r="G226" s="39">
        <v>2400.6196055887744</v>
      </c>
    </row>
    <row r="227" spans="1:7" ht="11.25" customHeight="1" x14ac:dyDescent="0.2">
      <c r="A227" s="49">
        <v>44531</v>
      </c>
      <c r="B227" s="39">
        <v>0</v>
      </c>
      <c r="C227" s="39">
        <v>4015.8278559999999</v>
      </c>
      <c r="D227" s="39">
        <v>0</v>
      </c>
      <c r="E227" s="39">
        <v>4106.7574442606656</v>
      </c>
      <c r="F227" s="39">
        <v>4015.8278559999999</v>
      </c>
      <c r="G227" s="39">
        <v>4106.7574442606656</v>
      </c>
    </row>
    <row r="228" spans="1:7" ht="11.25" customHeight="1" x14ac:dyDescent="0.2">
      <c r="A228" s="49">
        <v>44562</v>
      </c>
      <c r="B228" s="39">
        <v>0</v>
      </c>
      <c r="C228" s="39">
        <v>5400.4160575999913</v>
      </c>
      <c r="D228" s="39">
        <v>0</v>
      </c>
      <c r="E228" s="39">
        <v>5522.6966000341426</v>
      </c>
      <c r="F228" s="39">
        <v>5400.4160575999913</v>
      </c>
      <c r="G228" s="39">
        <v>5522.6966000341426</v>
      </c>
    </row>
    <row r="229" spans="1:7" ht="11.25" customHeight="1" x14ac:dyDescent="0.2">
      <c r="A229" s="49">
        <v>44593</v>
      </c>
      <c r="B229" s="39">
        <v>0</v>
      </c>
      <c r="C229" s="39">
        <v>3956.2705048000016</v>
      </c>
      <c r="D229" s="39">
        <v>0</v>
      </c>
      <c r="E229" s="39">
        <v>4045.8515478498903</v>
      </c>
      <c r="F229" s="39">
        <v>3956.2705048000016</v>
      </c>
      <c r="G229" s="39">
        <v>4045.8515478498903</v>
      </c>
    </row>
    <row r="230" spans="1:7" ht="11.25" customHeight="1" x14ac:dyDescent="0.2">
      <c r="A230" s="49">
        <v>44621</v>
      </c>
      <c r="B230" s="39">
        <v>0</v>
      </c>
      <c r="C230" s="39">
        <v>1565.8019184000016</v>
      </c>
      <c r="D230" s="39">
        <v>0</v>
      </c>
      <c r="E230" s="39">
        <v>1601.2560585781337</v>
      </c>
      <c r="F230" s="39">
        <v>1565.8019184000016</v>
      </c>
      <c r="G230" s="39">
        <v>1601.2560585781337</v>
      </c>
    </row>
    <row r="231" spans="1:7" ht="11.25" customHeight="1" x14ac:dyDescent="0.2">
      <c r="A231" s="49">
        <v>44652</v>
      </c>
      <c r="B231" s="39">
        <v>0</v>
      </c>
      <c r="C231" s="39">
        <v>396.56815279999887</v>
      </c>
      <c r="D231" s="39">
        <v>0</v>
      </c>
      <c r="E231" s="39">
        <v>405.54756629689962</v>
      </c>
      <c r="F231" s="39">
        <v>396.56815279999887</v>
      </c>
      <c r="G231" s="39">
        <v>405.54756629689962</v>
      </c>
    </row>
    <row r="232" spans="1:7" ht="11.25" customHeight="1" x14ac:dyDescent="0.2">
      <c r="A232" s="49">
        <v>44682</v>
      </c>
      <c r="B232" s="39">
        <v>0</v>
      </c>
      <c r="C232" s="39">
        <v>374.65489440000022</v>
      </c>
      <c r="D232" s="39">
        <v>0</v>
      </c>
      <c r="E232" s="39">
        <v>383.13813036260149</v>
      </c>
      <c r="F232" s="39">
        <v>374.65489440000022</v>
      </c>
      <c r="G232" s="39">
        <v>383.13813036260149</v>
      </c>
    </row>
    <row r="233" spans="1:7" ht="11.25" customHeight="1" x14ac:dyDescent="0.2">
      <c r="A233" s="49">
        <v>44713</v>
      </c>
      <c r="B233" s="39">
        <v>0</v>
      </c>
      <c r="C233" s="39">
        <v>215.69790399999985</v>
      </c>
      <c r="D233" s="39">
        <v>0</v>
      </c>
      <c r="E233" s="39">
        <v>220.58190856959428</v>
      </c>
      <c r="F233" s="39">
        <v>215.69790399999985</v>
      </c>
      <c r="G233" s="39">
        <v>220.58190856959428</v>
      </c>
    </row>
    <row r="234" spans="1:7" ht="11.25" customHeight="1" x14ac:dyDescent="0.2">
      <c r="A234" s="45" t="s">
        <v>25</v>
      </c>
      <c r="B234" s="39">
        <v>15519.105600000012</v>
      </c>
      <c r="C234" s="39">
        <v>9647.4612464000038</v>
      </c>
      <c r="D234" s="39">
        <v>15673.957354679958</v>
      </c>
      <c r="E234" s="39">
        <v>9902.0365642265497</v>
      </c>
      <c r="F234" s="39">
        <v>25166.566846400019</v>
      </c>
      <c r="G234" s="39">
        <v>25575.993918906508</v>
      </c>
    </row>
    <row r="235" spans="1:7" ht="11.25" customHeight="1" x14ac:dyDescent="0.2">
      <c r="A235" s="46" t="s">
        <v>25</v>
      </c>
      <c r="B235" s="39">
        <v>15519.105600000012</v>
      </c>
      <c r="C235" s="39">
        <v>9647.4612464000038</v>
      </c>
      <c r="D235" s="39">
        <v>15673.957354679958</v>
      </c>
      <c r="E235" s="39">
        <v>9902.0365642265497</v>
      </c>
      <c r="F235" s="39">
        <v>25166.566846400019</v>
      </c>
      <c r="G235" s="39">
        <v>25575.993918906508</v>
      </c>
    </row>
    <row r="236" spans="1:7" ht="11.25" customHeight="1" x14ac:dyDescent="0.2">
      <c r="A236" s="47" t="s">
        <v>25</v>
      </c>
      <c r="B236" s="39">
        <v>15519.105600000012</v>
      </c>
      <c r="C236" s="39">
        <v>9647.4612464000038</v>
      </c>
      <c r="D236" s="39">
        <v>15673.957354679958</v>
      </c>
      <c r="E236" s="39">
        <v>9902.0365642265497</v>
      </c>
      <c r="F236" s="39">
        <v>25166.566846400019</v>
      </c>
      <c r="G236" s="39">
        <v>25575.993918906508</v>
      </c>
    </row>
    <row r="237" spans="1:7" ht="11.25" customHeight="1" x14ac:dyDescent="0.2">
      <c r="A237" s="48" t="s">
        <v>38</v>
      </c>
      <c r="B237" s="39">
        <v>0</v>
      </c>
      <c r="C237" s="39">
        <v>6611.0667392000041</v>
      </c>
      <c r="D237" s="39">
        <v>0</v>
      </c>
      <c r="E237" s="39">
        <v>6796.8895825089694</v>
      </c>
      <c r="F237" s="39">
        <v>6611.0667392000041</v>
      </c>
      <c r="G237" s="39">
        <v>6796.8895825089694</v>
      </c>
    </row>
    <row r="238" spans="1:7" ht="11.25" customHeight="1" x14ac:dyDescent="0.2">
      <c r="A238" s="49">
        <v>44378</v>
      </c>
      <c r="B238" s="39">
        <v>0</v>
      </c>
      <c r="C238" s="39">
        <v>-293.30680719999987</v>
      </c>
      <c r="D238" s="39">
        <v>0</v>
      </c>
      <c r="E238" s="39">
        <v>-301.55102965696051</v>
      </c>
      <c r="F238" s="39">
        <v>-293.30680719999987</v>
      </c>
      <c r="G238" s="39">
        <v>-301.55102965696051</v>
      </c>
    </row>
    <row r="239" spans="1:7" ht="11.25" customHeight="1" x14ac:dyDescent="0.2">
      <c r="A239" s="49">
        <v>44409</v>
      </c>
      <c r="B239" s="39">
        <v>0</v>
      </c>
      <c r="C239" s="39">
        <v>379.05631279999977</v>
      </c>
      <c r="D239" s="39">
        <v>0</v>
      </c>
      <c r="E239" s="39">
        <v>389.71076912261611</v>
      </c>
      <c r="F239" s="39">
        <v>379.05631279999977</v>
      </c>
      <c r="G239" s="39">
        <v>389.71076912261611</v>
      </c>
    </row>
    <row r="240" spans="1:7" ht="11.25" customHeight="1" x14ac:dyDescent="0.2">
      <c r="A240" s="49">
        <v>44440</v>
      </c>
      <c r="B240" s="39">
        <v>0</v>
      </c>
      <c r="C240" s="39">
        <v>342.70626720000007</v>
      </c>
      <c r="D240" s="39">
        <v>0</v>
      </c>
      <c r="E240" s="39">
        <v>352.33900205250171</v>
      </c>
      <c r="F240" s="39">
        <v>342.70626720000007</v>
      </c>
      <c r="G240" s="39">
        <v>352.33900205250171</v>
      </c>
    </row>
    <row r="241" spans="1:7" ht="11.25" customHeight="1" x14ac:dyDescent="0.2">
      <c r="A241" s="49">
        <v>44470</v>
      </c>
      <c r="B241" s="39">
        <v>0</v>
      </c>
      <c r="C241" s="39">
        <v>375.01152479999973</v>
      </c>
      <c r="D241" s="39">
        <v>0</v>
      </c>
      <c r="E241" s="39">
        <v>385.55229084593424</v>
      </c>
      <c r="F241" s="39">
        <v>375.01152479999973</v>
      </c>
      <c r="G241" s="39">
        <v>385.55229084593424</v>
      </c>
    </row>
    <row r="242" spans="1:7" ht="11.25" customHeight="1" x14ac:dyDescent="0.2">
      <c r="A242" s="49">
        <v>44501</v>
      </c>
      <c r="B242" s="39">
        <v>0</v>
      </c>
      <c r="C242" s="39">
        <v>449.44888560000038</v>
      </c>
      <c r="D242" s="39">
        <v>0</v>
      </c>
      <c r="E242" s="39">
        <v>462.08192549188686</v>
      </c>
      <c r="F242" s="39">
        <v>449.44888560000038</v>
      </c>
      <c r="G242" s="39">
        <v>462.08192549188686</v>
      </c>
    </row>
    <row r="243" spans="1:7" ht="11.25" customHeight="1" x14ac:dyDescent="0.2">
      <c r="A243" s="49">
        <v>44531</v>
      </c>
      <c r="B243" s="39">
        <v>0</v>
      </c>
      <c r="C243" s="39">
        <v>423.56224240000034</v>
      </c>
      <c r="D243" s="39">
        <v>0</v>
      </c>
      <c r="E243" s="39">
        <v>435.46766452112286</v>
      </c>
      <c r="F243" s="39">
        <v>423.56224240000034</v>
      </c>
      <c r="G243" s="39">
        <v>435.46766452112286</v>
      </c>
    </row>
    <row r="244" spans="1:7" ht="11.25" customHeight="1" x14ac:dyDescent="0.2">
      <c r="A244" s="49">
        <v>44562</v>
      </c>
      <c r="B244" s="39">
        <v>0</v>
      </c>
      <c r="C244" s="39">
        <v>507.33576959999971</v>
      </c>
      <c r="D244" s="39">
        <v>0</v>
      </c>
      <c r="E244" s="39">
        <v>521.59588509095624</v>
      </c>
      <c r="F244" s="39">
        <v>507.33576959999971</v>
      </c>
      <c r="G244" s="39">
        <v>521.59588509095624</v>
      </c>
    </row>
    <row r="245" spans="1:7" ht="11.25" customHeight="1" x14ac:dyDescent="0.2">
      <c r="A245" s="49">
        <v>44593</v>
      </c>
      <c r="B245" s="39">
        <v>0</v>
      </c>
      <c r="C245" s="39">
        <v>428.08444799999995</v>
      </c>
      <c r="D245" s="39">
        <v>0</v>
      </c>
      <c r="E245" s="39">
        <v>440.11697957800283</v>
      </c>
      <c r="F245" s="39">
        <v>428.08444799999995</v>
      </c>
      <c r="G245" s="39">
        <v>440.11697957800283</v>
      </c>
    </row>
    <row r="246" spans="1:7" ht="11.25" customHeight="1" x14ac:dyDescent="0.2">
      <c r="A246" s="49">
        <v>44621</v>
      </c>
      <c r="B246" s="39">
        <v>0</v>
      </c>
      <c r="C246" s="39">
        <v>1066.1663320000005</v>
      </c>
      <c r="D246" s="39">
        <v>0</v>
      </c>
      <c r="E246" s="39">
        <v>1096.1339706683259</v>
      </c>
      <c r="F246" s="39">
        <v>1066.1663320000005</v>
      </c>
      <c r="G246" s="39">
        <v>1096.1339706683259</v>
      </c>
    </row>
    <row r="247" spans="1:7" ht="11.25" customHeight="1" x14ac:dyDescent="0.2">
      <c r="A247" s="49">
        <v>44652</v>
      </c>
      <c r="B247" s="39">
        <v>0</v>
      </c>
      <c r="C247" s="39">
        <v>952.91226800000061</v>
      </c>
      <c r="D247" s="39">
        <v>0</v>
      </c>
      <c r="E247" s="39">
        <v>979.69657892123348</v>
      </c>
      <c r="F247" s="39">
        <v>952.91226800000061</v>
      </c>
      <c r="G247" s="39">
        <v>979.69657892123348</v>
      </c>
    </row>
    <row r="248" spans="1:7" ht="11.25" customHeight="1" x14ac:dyDescent="0.2">
      <c r="A248" s="49">
        <v>44682</v>
      </c>
      <c r="B248" s="39">
        <v>0</v>
      </c>
      <c r="C248" s="39">
        <v>837.72201040000095</v>
      </c>
      <c r="D248" s="39">
        <v>0</v>
      </c>
      <c r="E248" s="39">
        <v>861.26857134333636</v>
      </c>
      <c r="F248" s="39">
        <v>837.72201040000095</v>
      </c>
      <c r="G248" s="39">
        <v>861.26857134333636</v>
      </c>
    </row>
    <row r="249" spans="1:7" ht="11.25" customHeight="1" x14ac:dyDescent="0.2">
      <c r="A249" s="49">
        <v>44713</v>
      </c>
      <c r="B249" s="39">
        <v>0</v>
      </c>
      <c r="C249" s="39">
        <v>1142.3674856000016</v>
      </c>
      <c r="D249" s="39">
        <v>0</v>
      </c>
      <c r="E249" s="39">
        <v>1174.4769745300123</v>
      </c>
      <c r="F249" s="39">
        <v>1142.3674856000016</v>
      </c>
      <c r="G249" s="39">
        <v>1174.4769745300123</v>
      </c>
    </row>
    <row r="250" spans="1:7" ht="11.25" customHeight="1" x14ac:dyDescent="0.2">
      <c r="A250" s="48" t="s">
        <v>25</v>
      </c>
      <c r="B250" s="39">
        <v>15519.105600000012</v>
      </c>
      <c r="C250" s="39">
        <v>0</v>
      </c>
      <c r="D250" s="39">
        <v>15673.957354679958</v>
      </c>
      <c r="E250" s="39">
        <v>0</v>
      </c>
      <c r="F250" s="39">
        <v>15519.105600000014</v>
      </c>
      <c r="G250" s="39">
        <v>15673.957354679958</v>
      </c>
    </row>
    <row r="251" spans="1:7" ht="11.25" customHeight="1" x14ac:dyDescent="0.2">
      <c r="A251" s="49">
        <v>44378</v>
      </c>
      <c r="B251" s="39">
        <v>932.01840000000175</v>
      </c>
      <c r="C251" s="39">
        <v>0</v>
      </c>
      <c r="D251" s="39">
        <v>941.3182068544636</v>
      </c>
      <c r="E251" s="39">
        <v>0</v>
      </c>
      <c r="F251" s="39">
        <v>932.01840000000175</v>
      </c>
      <c r="G251" s="39">
        <v>941.3182068544636</v>
      </c>
    </row>
    <row r="252" spans="1:7" ht="11.25" customHeight="1" x14ac:dyDescent="0.2">
      <c r="A252" s="49">
        <v>44409</v>
      </c>
      <c r="B252" s="39">
        <v>1013.774400000001</v>
      </c>
      <c r="C252" s="39">
        <v>0</v>
      </c>
      <c r="D252" s="39">
        <v>1023.889979385556</v>
      </c>
      <c r="E252" s="39">
        <v>0</v>
      </c>
      <c r="F252" s="39">
        <v>1013.774400000001</v>
      </c>
      <c r="G252" s="39">
        <v>1023.889979385556</v>
      </c>
    </row>
    <row r="253" spans="1:7" ht="11.25" customHeight="1" x14ac:dyDescent="0.2">
      <c r="A253" s="49">
        <v>44440</v>
      </c>
      <c r="B253" s="39">
        <v>1006.5072000000013</v>
      </c>
      <c r="C253" s="39">
        <v>0</v>
      </c>
      <c r="D253" s="39">
        <v>1016.550266271681</v>
      </c>
      <c r="E253" s="39">
        <v>0</v>
      </c>
      <c r="F253" s="39">
        <v>1006.5072000000013</v>
      </c>
      <c r="G253" s="39">
        <v>1016.550266271681</v>
      </c>
    </row>
    <row r="254" spans="1:7" ht="11.25" customHeight="1" x14ac:dyDescent="0.2">
      <c r="A254" s="49">
        <v>44470</v>
      </c>
      <c r="B254" s="39">
        <v>1211.8056000000015</v>
      </c>
      <c r="C254" s="39">
        <v>0</v>
      </c>
      <c r="D254" s="39">
        <v>1223.8971617386487</v>
      </c>
      <c r="E254" s="39">
        <v>0</v>
      </c>
      <c r="F254" s="39">
        <v>1211.8056000000015</v>
      </c>
      <c r="G254" s="39">
        <v>1223.8971617386487</v>
      </c>
    </row>
    <row r="255" spans="1:7" ht="11.25" customHeight="1" x14ac:dyDescent="0.2">
      <c r="A255" s="49">
        <v>44501</v>
      </c>
      <c r="B255" s="39">
        <v>1322.6304000000016</v>
      </c>
      <c r="C255" s="39">
        <v>0</v>
      </c>
      <c r="D255" s="39">
        <v>1335.8277867252416</v>
      </c>
      <c r="E255" s="39">
        <v>0</v>
      </c>
      <c r="F255" s="39">
        <v>1322.6304000000016</v>
      </c>
      <c r="G255" s="39">
        <v>1335.8277867252416</v>
      </c>
    </row>
    <row r="256" spans="1:7" ht="11.25" customHeight="1" x14ac:dyDescent="0.2">
      <c r="A256" s="49">
        <v>44531</v>
      </c>
      <c r="B256" s="39">
        <v>852.07920000000081</v>
      </c>
      <c r="C256" s="39">
        <v>0</v>
      </c>
      <c r="D256" s="39">
        <v>860.58136260183824</v>
      </c>
      <c r="E256" s="39">
        <v>0</v>
      </c>
      <c r="F256" s="39">
        <v>852.07920000000081</v>
      </c>
      <c r="G256" s="39">
        <v>860.58136260183824</v>
      </c>
    </row>
    <row r="257" spans="1:7" ht="11.25" customHeight="1" x14ac:dyDescent="0.2">
      <c r="A257" s="49">
        <v>44562</v>
      </c>
      <c r="B257" s="39">
        <v>979.25520000000142</v>
      </c>
      <c r="C257" s="39">
        <v>0</v>
      </c>
      <c r="D257" s="39">
        <v>989.02634209465032</v>
      </c>
      <c r="E257" s="39">
        <v>0</v>
      </c>
      <c r="F257" s="39">
        <v>979.25520000000142</v>
      </c>
      <c r="G257" s="39">
        <v>989.02634209465032</v>
      </c>
    </row>
    <row r="258" spans="1:7" ht="11.25" customHeight="1" x14ac:dyDescent="0.2">
      <c r="A258" s="49">
        <v>44593</v>
      </c>
      <c r="B258" s="39">
        <v>797.57519999999954</v>
      </c>
      <c r="C258" s="39">
        <v>0</v>
      </c>
      <c r="D258" s="39">
        <v>805.53351424777475</v>
      </c>
      <c r="E258" s="39">
        <v>0</v>
      </c>
      <c r="F258" s="39">
        <v>797.57519999999954</v>
      </c>
      <c r="G258" s="39">
        <v>805.53351424777475</v>
      </c>
    </row>
    <row r="259" spans="1:7" ht="11.25" customHeight="1" x14ac:dyDescent="0.2">
      <c r="A259" s="49">
        <v>44621</v>
      </c>
      <c r="B259" s="39">
        <v>1197.2712000000008</v>
      </c>
      <c r="C259" s="39">
        <v>0</v>
      </c>
      <c r="D259" s="39">
        <v>1209.2177355108981</v>
      </c>
      <c r="E259" s="39">
        <v>0</v>
      </c>
      <c r="F259" s="39">
        <v>1197.2712000000008</v>
      </c>
      <c r="G259" s="39">
        <v>1209.2177355108981</v>
      </c>
    </row>
    <row r="260" spans="1:7" ht="11.25" customHeight="1" x14ac:dyDescent="0.2">
      <c r="A260" s="49">
        <v>44652</v>
      </c>
      <c r="B260" s="39">
        <v>2054.8008000000004</v>
      </c>
      <c r="C260" s="39">
        <v>0</v>
      </c>
      <c r="D260" s="39">
        <v>2075.3038829481411</v>
      </c>
      <c r="E260" s="39">
        <v>0</v>
      </c>
      <c r="F260" s="39">
        <v>2054.8008000000004</v>
      </c>
      <c r="G260" s="39">
        <v>2075.3038829481411</v>
      </c>
    </row>
    <row r="261" spans="1:7" ht="11.25" customHeight="1" x14ac:dyDescent="0.2">
      <c r="A261" s="49">
        <v>44682</v>
      </c>
      <c r="B261" s="39">
        <v>2085.686400000001</v>
      </c>
      <c r="C261" s="39">
        <v>0</v>
      </c>
      <c r="D261" s="39">
        <v>2106.4976636821102</v>
      </c>
      <c r="E261" s="39">
        <v>0</v>
      </c>
      <c r="F261" s="39">
        <v>2085.686400000001</v>
      </c>
      <c r="G261" s="39">
        <v>2106.4976636821102</v>
      </c>
    </row>
    <row r="262" spans="1:7" ht="11.25" customHeight="1" x14ac:dyDescent="0.2">
      <c r="A262" s="49">
        <v>44713</v>
      </c>
      <c r="B262" s="39">
        <v>2065.7016000000008</v>
      </c>
      <c r="C262" s="39">
        <v>0</v>
      </c>
      <c r="D262" s="39">
        <v>2086.3134526189542</v>
      </c>
      <c r="E262" s="39">
        <v>0</v>
      </c>
      <c r="F262" s="39">
        <v>2065.7016000000008</v>
      </c>
      <c r="G262" s="39">
        <v>2086.3134526189542</v>
      </c>
    </row>
    <row r="263" spans="1:7" ht="11.25" customHeight="1" x14ac:dyDescent="0.2">
      <c r="A263" s="48" t="s">
        <v>37</v>
      </c>
      <c r="B263" s="39">
        <v>0</v>
      </c>
      <c r="C263" s="39">
        <v>3036.394507199997</v>
      </c>
      <c r="D263" s="39">
        <v>0</v>
      </c>
      <c r="E263" s="39">
        <v>3105.1469817175803</v>
      </c>
      <c r="F263" s="39">
        <v>3036.394507199997</v>
      </c>
      <c r="G263" s="39">
        <v>3105.1469817175803</v>
      </c>
    </row>
    <row r="264" spans="1:7" ht="11.25" customHeight="1" x14ac:dyDescent="0.2">
      <c r="A264" s="49">
        <v>44378</v>
      </c>
      <c r="B264" s="39">
        <v>0</v>
      </c>
      <c r="C264" s="39">
        <v>-596.19175440000106</v>
      </c>
      <c r="D264" s="39">
        <v>0</v>
      </c>
      <c r="E264" s="39">
        <v>-609.6912052469786</v>
      </c>
      <c r="F264" s="39">
        <v>-596.19175440000106</v>
      </c>
      <c r="G264" s="39">
        <v>-609.6912052469786</v>
      </c>
    </row>
    <row r="265" spans="1:7" ht="11.25" customHeight="1" x14ac:dyDescent="0.2">
      <c r="A265" s="49">
        <v>44409</v>
      </c>
      <c r="B265" s="39">
        <v>0</v>
      </c>
      <c r="C265" s="39">
        <v>231.90959360000005</v>
      </c>
      <c r="D265" s="39">
        <v>0</v>
      </c>
      <c r="E265" s="39">
        <v>237.16067622004806</v>
      </c>
      <c r="F265" s="39">
        <v>231.90959360000005</v>
      </c>
      <c r="G265" s="39">
        <v>237.16067622004806</v>
      </c>
    </row>
    <row r="266" spans="1:7" ht="11.25" customHeight="1" x14ac:dyDescent="0.2">
      <c r="A266" s="49">
        <v>44440</v>
      </c>
      <c r="B266" s="39">
        <v>0</v>
      </c>
      <c r="C266" s="39">
        <v>194.47158159999961</v>
      </c>
      <c r="D266" s="39">
        <v>0</v>
      </c>
      <c r="E266" s="39">
        <v>198.87496278997469</v>
      </c>
      <c r="F266" s="39">
        <v>194.47158159999961</v>
      </c>
      <c r="G266" s="39">
        <v>198.87496278997469</v>
      </c>
    </row>
    <row r="267" spans="1:7" ht="11.25" customHeight="1" x14ac:dyDescent="0.2">
      <c r="A267" s="49">
        <v>44470</v>
      </c>
      <c r="B267" s="39">
        <v>0</v>
      </c>
      <c r="C267" s="39">
        <v>204.63823439999987</v>
      </c>
      <c r="D267" s="39">
        <v>0</v>
      </c>
      <c r="E267" s="39">
        <v>209.27181707924248</v>
      </c>
      <c r="F267" s="39">
        <v>204.63823439999987</v>
      </c>
      <c r="G267" s="39">
        <v>209.27181707924248</v>
      </c>
    </row>
    <row r="268" spans="1:7" ht="11.25" customHeight="1" x14ac:dyDescent="0.2">
      <c r="A268" s="49">
        <v>44501</v>
      </c>
      <c r="B268" s="39">
        <v>0</v>
      </c>
      <c r="C268" s="39">
        <v>245.44223280000028</v>
      </c>
      <c r="D268" s="39">
        <v>0</v>
      </c>
      <c r="E268" s="39">
        <v>250.99973226724893</v>
      </c>
      <c r="F268" s="39">
        <v>245.44223280000028</v>
      </c>
      <c r="G268" s="39">
        <v>250.99973226724893</v>
      </c>
    </row>
    <row r="269" spans="1:7" ht="11.25" customHeight="1" x14ac:dyDescent="0.2">
      <c r="A269" s="49">
        <v>44531</v>
      </c>
      <c r="B269" s="39">
        <v>0</v>
      </c>
      <c r="C269" s="39">
        <v>240.01543840000053</v>
      </c>
      <c r="D269" s="39">
        <v>0</v>
      </c>
      <c r="E269" s="39">
        <v>245.45006004527534</v>
      </c>
      <c r="F269" s="39">
        <v>240.01543840000053</v>
      </c>
      <c r="G269" s="39">
        <v>245.45006004527534</v>
      </c>
    </row>
    <row r="270" spans="1:7" ht="11.25" customHeight="1" x14ac:dyDescent="0.2">
      <c r="A270" s="49">
        <v>44562</v>
      </c>
      <c r="B270" s="39">
        <v>0</v>
      </c>
      <c r="C270" s="39">
        <v>287.20794159999934</v>
      </c>
      <c r="D270" s="39">
        <v>0</v>
      </c>
      <c r="E270" s="39">
        <v>293.71113367180635</v>
      </c>
      <c r="F270" s="39">
        <v>287.20794159999934</v>
      </c>
      <c r="G270" s="39">
        <v>293.71113367180635</v>
      </c>
    </row>
    <row r="271" spans="1:7" ht="11.25" customHeight="1" x14ac:dyDescent="0.2">
      <c r="A271" s="49">
        <v>44593</v>
      </c>
      <c r="B271" s="39">
        <v>0</v>
      </c>
      <c r="C271" s="39">
        <v>224.69676560000011</v>
      </c>
      <c r="D271" s="39">
        <v>0</v>
      </c>
      <c r="E271" s="39">
        <v>229.78452959590561</v>
      </c>
      <c r="F271" s="39">
        <v>224.69676560000011</v>
      </c>
      <c r="G271" s="39">
        <v>229.78452959590561</v>
      </c>
    </row>
    <row r="272" spans="1:7" ht="11.25" customHeight="1" x14ac:dyDescent="0.2">
      <c r="A272" s="49">
        <v>44621</v>
      </c>
      <c r="B272" s="39">
        <v>0</v>
      </c>
      <c r="C272" s="39">
        <v>592.27621919999967</v>
      </c>
      <c r="D272" s="39">
        <v>0</v>
      </c>
      <c r="E272" s="39">
        <v>605.68701136530001</v>
      </c>
      <c r="F272" s="39">
        <v>592.27621919999967</v>
      </c>
      <c r="G272" s="39">
        <v>605.68701136530001</v>
      </c>
    </row>
    <row r="273" spans="1:7" ht="11.25" customHeight="1" x14ac:dyDescent="0.2">
      <c r="A273" s="49">
        <v>44652</v>
      </c>
      <c r="B273" s="39">
        <v>0</v>
      </c>
      <c r="C273" s="39">
        <v>569.88210559999948</v>
      </c>
      <c r="D273" s="39">
        <v>0</v>
      </c>
      <c r="E273" s="39">
        <v>582.78583232272399</v>
      </c>
      <c r="F273" s="39">
        <v>569.88210559999948</v>
      </c>
      <c r="G273" s="39">
        <v>582.78583232272399</v>
      </c>
    </row>
    <row r="274" spans="1:7" ht="11.25" customHeight="1" x14ac:dyDescent="0.2">
      <c r="A274" s="49">
        <v>44682</v>
      </c>
      <c r="B274" s="39">
        <v>0</v>
      </c>
      <c r="C274" s="39">
        <v>493.70090319999986</v>
      </c>
      <c r="D274" s="39">
        <v>0</v>
      </c>
      <c r="E274" s="39">
        <v>504.87967416868617</v>
      </c>
      <c r="F274" s="39">
        <v>493.70090319999986</v>
      </c>
      <c r="G274" s="39">
        <v>504.87967416868617</v>
      </c>
    </row>
    <row r="275" spans="1:7" ht="11.25" customHeight="1" x14ac:dyDescent="0.2">
      <c r="A275" s="49">
        <v>44713</v>
      </c>
      <c r="B275" s="39">
        <v>0</v>
      </c>
      <c r="C275" s="39">
        <v>348.34524559999943</v>
      </c>
      <c r="D275" s="39">
        <v>0</v>
      </c>
      <c r="E275" s="39">
        <v>356.23275743834756</v>
      </c>
      <c r="F275" s="39">
        <v>348.34524559999943</v>
      </c>
      <c r="G275" s="39">
        <v>356.23275743834756</v>
      </c>
    </row>
    <row r="276" spans="1:7" ht="11.25" customHeight="1" x14ac:dyDescent="0.2">
      <c r="A276" s="42" t="s">
        <v>40</v>
      </c>
      <c r="B276" s="39">
        <v>0</v>
      </c>
      <c r="C276" s="39">
        <v>3818620.6572500002</v>
      </c>
      <c r="D276" s="39">
        <v>0</v>
      </c>
      <c r="E276" s="39">
        <v>1925772.7657152452</v>
      </c>
      <c r="F276" s="39">
        <v>3818620.6572500006</v>
      </c>
      <c r="G276" s="39">
        <v>1925772.7657152454</v>
      </c>
    </row>
    <row r="277" spans="1:7" ht="11.25" customHeight="1" x14ac:dyDescent="0.2">
      <c r="A277" s="43" t="s">
        <v>23</v>
      </c>
      <c r="B277" s="39">
        <v>0</v>
      </c>
      <c r="C277" s="39">
        <v>3818620.6572500002</v>
      </c>
      <c r="D277" s="39">
        <v>0</v>
      </c>
      <c r="E277" s="39">
        <v>1925772.7657152452</v>
      </c>
      <c r="F277" s="39">
        <v>3818620.6572500006</v>
      </c>
      <c r="G277" s="39">
        <v>1925772.7657152454</v>
      </c>
    </row>
    <row r="278" spans="1:7" ht="11.25" customHeight="1" x14ac:dyDescent="0.2">
      <c r="A278" s="44" t="s">
        <v>41</v>
      </c>
      <c r="B278" s="39">
        <v>0</v>
      </c>
      <c r="C278" s="39">
        <v>3818620.6572500002</v>
      </c>
      <c r="D278" s="39">
        <v>0</v>
      </c>
      <c r="E278" s="39">
        <v>1925772.7657152452</v>
      </c>
      <c r="F278" s="39">
        <v>3818620.6572500006</v>
      </c>
      <c r="G278" s="39">
        <v>1925772.7657152454</v>
      </c>
    </row>
    <row r="279" spans="1:7" ht="11.25" customHeight="1" x14ac:dyDescent="0.2">
      <c r="A279" s="45" t="s">
        <v>49</v>
      </c>
      <c r="B279" s="39">
        <v>0</v>
      </c>
      <c r="C279" s="39">
        <v>84612.297699999996</v>
      </c>
      <c r="D279" s="39">
        <v>0</v>
      </c>
      <c r="E279" s="39">
        <v>42670.920518351704</v>
      </c>
      <c r="F279" s="39">
        <v>84612.29770000001</v>
      </c>
      <c r="G279" s="39">
        <v>42670.920518351704</v>
      </c>
    </row>
    <row r="280" spans="1:7" ht="11.25" customHeight="1" x14ac:dyDescent="0.2">
      <c r="A280" s="46" t="s">
        <v>50</v>
      </c>
      <c r="B280" s="39">
        <v>0</v>
      </c>
      <c r="C280" s="39">
        <v>79699.24579999999</v>
      </c>
      <c r="D280" s="39">
        <v>0</v>
      </c>
      <c r="E280" s="39">
        <v>40193.213934011575</v>
      </c>
      <c r="F280" s="39">
        <v>79699.245800000004</v>
      </c>
      <c r="G280" s="39">
        <v>40193.213934011575</v>
      </c>
    </row>
    <row r="281" spans="1:7" ht="11.25" customHeight="1" x14ac:dyDescent="0.2">
      <c r="A281" s="47" t="s">
        <v>25</v>
      </c>
      <c r="B281" s="39">
        <v>0</v>
      </c>
      <c r="C281" s="39">
        <v>79699.24579999999</v>
      </c>
      <c r="D281" s="39">
        <v>0</v>
      </c>
      <c r="E281" s="39">
        <v>40193.213934011575</v>
      </c>
      <c r="F281" s="39">
        <v>79699.245800000004</v>
      </c>
      <c r="G281" s="39">
        <v>40193.213934011575</v>
      </c>
    </row>
    <row r="282" spans="1:7" ht="11.25" customHeight="1" x14ac:dyDescent="0.2">
      <c r="A282" s="48" t="s">
        <v>25</v>
      </c>
      <c r="B282" s="39">
        <v>0</v>
      </c>
      <c r="C282" s="39">
        <v>79699.24579999999</v>
      </c>
      <c r="D282" s="39">
        <v>0</v>
      </c>
      <c r="E282" s="39">
        <v>40193.213934011575</v>
      </c>
      <c r="F282" s="39">
        <v>79699.245800000004</v>
      </c>
      <c r="G282" s="39">
        <v>40193.213934011575</v>
      </c>
    </row>
    <row r="283" spans="1:7" ht="11.25" customHeight="1" x14ac:dyDescent="0.2">
      <c r="A283" s="49">
        <v>44378</v>
      </c>
      <c r="B283" s="39">
        <v>0</v>
      </c>
      <c r="C283" s="39">
        <v>347.68989999999997</v>
      </c>
      <c r="D283" s="39">
        <v>0</v>
      </c>
      <c r="E283" s="39">
        <v>175.34387425025159</v>
      </c>
      <c r="F283" s="39">
        <v>347.68989999999997</v>
      </c>
      <c r="G283" s="39">
        <v>175.34387425025159</v>
      </c>
    </row>
    <row r="284" spans="1:7" ht="11.25" customHeight="1" x14ac:dyDescent="0.2">
      <c r="A284" s="49">
        <v>44409</v>
      </c>
      <c r="B284" s="39">
        <v>0</v>
      </c>
      <c r="C284" s="39">
        <v>216.55369999999996</v>
      </c>
      <c r="D284" s="39">
        <v>0</v>
      </c>
      <c r="E284" s="39">
        <v>109.2104336111768</v>
      </c>
      <c r="F284" s="39">
        <v>216.55369999999996</v>
      </c>
      <c r="G284" s="39">
        <v>109.2104336111768</v>
      </c>
    </row>
    <row r="285" spans="1:7" ht="11.25" customHeight="1" x14ac:dyDescent="0.2">
      <c r="A285" s="49">
        <v>44440</v>
      </c>
      <c r="B285" s="39">
        <v>0</v>
      </c>
      <c r="C285" s="39">
        <v>593.69229999999993</v>
      </c>
      <c r="D285" s="39">
        <v>0</v>
      </c>
      <c r="E285" s="39">
        <v>299.40561400990543</v>
      </c>
      <c r="F285" s="39">
        <v>593.69229999999993</v>
      </c>
      <c r="G285" s="39">
        <v>299.40561400990543</v>
      </c>
    </row>
    <row r="286" spans="1:7" ht="11.25" customHeight="1" x14ac:dyDescent="0.2">
      <c r="A286" s="49">
        <v>44470</v>
      </c>
      <c r="B286" s="39">
        <v>0</v>
      </c>
      <c r="C286" s="39">
        <v>939.34844999999984</v>
      </c>
      <c r="D286" s="39">
        <v>0</v>
      </c>
      <c r="E286" s="39">
        <v>473.72384557034508</v>
      </c>
      <c r="F286" s="39">
        <v>939.34844999999984</v>
      </c>
      <c r="G286" s="39">
        <v>473.72384557034508</v>
      </c>
    </row>
    <row r="287" spans="1:7" ht="11.25" customHeight="1" x14ac:dyDescent="0.2">
      <c r="A287" s="49">
        <v>44501</v>
      </c>
      <c r="B287" s="39">
        <v>0</v>
      </c>
      <c r="C287" s="39">
        <v>6912.1467999999995</v>
      </c>
      <c r="D287" s="39">
        <v>0</v>
      </c>
      <c r="E287" s="39">
        <v>3485.8723227176824</v>
      </c>
      <c r="F287" s="39">
        <v>6912.1467999999995</v>
      </c>
      <c r="G287" s="39">
        <v>3485.8723227176824</v>
      </c>
    </row>
    <row r="288" spans="1:7" ht="11.25" customHeight="1" x14ac:dyDescent="0.2">
      <c r="A288" s="49">
        <v>44531</v>
      </c>
      <c r="B288" s="39">
        <v>0</v>
      </c>
      <c r="C288" s="39">
        <v>17136.133449999998</v>
      </c>
      <c r="D288" s="39">
        <v>0</v>
      </c>
      <c r="E288" s="39">
        <v>8641.9422272327429</v>
      </c>
      <c r="F288" s="39">
        <v>17136.133449999998</v>
      </c>
      <c r="G288" s="39">
        <v>8641.9422272327429</v>
      </c>
    </row>
    <row r="289" spans="1:7" ht="11.25" customHeight="1" x14ac:dyDescent="0.2">
      <c r="A289" s="49">
        <v>44562</v>
      </c>
      <c r="B289" s="39">
        <v>0</v>
      </c>
      <c r="C289" s="39">
        <v>20098.900449999997</v>
      </c>
      <c r="D289" s="39">
        <v>0</v>
      </c>
      <c r="E289" s="39">
        <v>10136.098497750796</v>
      </c>
      <c r="F289" s="39">
        <v>20098.900449999997</v>
      </c>
      <c r="G289" s="39">
        <v>10136.098497750796</v>
      </c>
    </row>
    <row r="290" spans="1:7" ht="11.25" customHeight="1" x14ac:dyDescent="0.2">
      <c r="A290" s="49">
        <v>44593</v>
      </c>
      <c r="B290" s="39">
        <v>0</v>
      </c>
      <c r="C290" s="39">
        <v>17940.359549999997</v>
      </c>
      <c r="D290" s="39">
        <v>0</v>
      </c>
      <c r="E290" s="39">
        <v>9047.5223724919815</v>
      </c>
      <c r="F290" s="39">
        <v>17940.359549999997</v>
      </c>
      <c r="G290" s="39">
        <v>9047.5223724919815</v>
      </c>
    </row>
    <row r="291" spans="1:7" ht="11.25" customHeight="1" x14ac:dyDescent="0.2">
      <c r="A291" s="49">
        <v>44621</v>
      </c>
      <c r="B291" s="39">
        <v>0</v>
      </c>
      <c r="C291" s="39">
        <v>12192.249899999997</v>
      </c>
      <c r="D291" s="39">
        <v>0</v>
      </c>
      <c r="E291" s="39">
        <v>6148.6868997150686</v>
      </c>
      <c r="F291" s="39">
        <v>12192.249899999997</v>
      </c>
      <c r="G291" s="39">
        <v>6148.6868997150686</v>
      </c>
    </row>
    <row r="292" spans="1:7" ht="11.25" customHeight="1" x14ac:dyDescent="0.2">
      <c r="A292" s="49">
        <v>44652</v>
      </c>
      <c r="B292" s="39">
        <v>0</v>
      </c>
      <c r="C292" s="39">
        <v>2275.5221999999999</v>
      </c>
      <c r="D292" s="39">
        <v>0</v>
      </c>
      <c r="E292" s="39">
        <v>1147.5710927767984</v>
      </c>
      <c r="F292" s="39">
        <v>2275.5221999999999</v>
      </c>
      <c r="G292" s="39">
        <v>1147.5710927767984</v>
      </c>
    </row>
    <row r="293" spans="1:7" ht="11.25" customHeight="1" x14ac:dyDescent="0.2">
      <c r="A293" s="49">
        <v>44682</v>
      </c>
      <c r="B293" s="39">
        <v>0</v>
      </c>
      <c r="C293" s="39">
        <v>732.63810000000001</v>
      </c>
      <c r="D293" s="39">
        <v>0</v>
      </c>
      <c r="E293" s="39">
        <v>369.47752257785817</v>
      </c>
      <c r="F293" s="39">
        <v>732.63810000000001</v>
      </c>
      <c r="G293" s="39">
        <v>369.47752257785817</v>
      </c>
    </row>
    <row r="294" spans="1:7" ht="11.25" customHeight="1" x14ac:dyDescent="0.2">
      <c r="A294" s="49">
        <v>44713</v>
      </c>
      <c r="B294" s="39">
        <v>0</v>
      </c>
      <c r="C294" s="39">
        <v>314.01100000000002</v>
      </c>
      <c r="D294" s="39">
        <v>0</v>
      </c>
      <c r="E294" s="39">
        <v>158.35923130696563</v>
      </c>
      <c r="F294" s="39">
        <v>314.01100000000002</v>
      </c>
      <c r="G294" s="39">
        <v>158.35923130696563</v>
      </c>
    </row>
    <row r="295" spans="1:7" ht="11.25" customHeight="1" x14ac:dyDescent="0.2">
      <c r="A295" s="46" t="s">
        <v>51</v>
      </c>
      <c r="B295" s="39">
        <v>0</v>
      </c>
      <c r="C295" s="39">
        <v>4913.0518999999995</v>
      </c>
      <c r="D295" s="39">
        <v>0</v>
      </c>
      <c r="E295" s="39">
        <v>2477.7065843401242</v>
      </c>
      <c r="F295" s="39">
        <v>4913.0518999999995</v>
      </c>
      <c r="G295" s="39">
        <v>2477.7065843401242</v>
      </c>
    </row>
    <row r="296" spans="1:7" ht="11.25" customHeight="1" x14ac:dyDescent="0.2">
      <c r="A296" s="47" t="s">
        <v>25</v>
      </c>
      <c r="B296" s="39">
        <v>0</v>
      </c>
      <c r="C296" s="39">
        <v>4913.0518999999995</v>
      </c>
      <c r="D296" s="39">
        <v>0</v>
      </c>
      <c r="E296" s="39">
        <v>2477.7065843401242</v>
      </c>
      <c r="F296" s="39">
        <v>4913.0518999999995</v>
      </c>
      <c r="G296" s="39">
        <v>2477.7065843401242</v>
      </c>
    </row>
    <row r="297" spans="1:7" ht="11.25" customHeight="1" x14ac:dyDescent="0.2">
      <c r="A297" s="48" t="s">
        <v>25</v>
      </c>
      <c r="B297" s="39">
        <v>0</v>
      </c>
      <c r="C297" s="39">
        <v>4913.0518999999995</v>
      </c>
      <c r="D297" s="39">
        <v>0</v>
      </c>
      <c r="E297" s="39">
        <v>2477.7065843401242</v>
      </c>
      <c r="F297" s="39">
        <v>4913.0518999999995</v>
      </c>
      <c r="G297" s="39">
        <v>2477.7065843401242</v>
      </c>
    </row>
    <row r="298" spans="1:7" ht="11.25" customHeight="1" x14ac:dyDescent="0.2">
      <c r="A298" s="49">
        <v>44378</v>
      </c>
      <c r="B298" s="39">
        <v>0</v>
      </c>
      <c r="C298" s="39">
        <v>20.093449999999997</v>
      </c>
      <c r="D298" s="39">
        <v>0</v>
      </c>
      <c r="E298" s="39">
        <v>10.133349775342101</v>
      </c>
      <c r="F298" s="39">
        <v>20.093449999999997</v>
      </c>
      <c r="G298" s="39">
        <v>10.133349775342101</v>
      </c>
    </row>
    <row r="299" spans="1:7" ht="11.25" customHeight="1" x14ac:dyDescent="0.2">
      <c r="A299" s="49">
        <v>44409</v>
      </c>
      <c r="B299" s="39">
        <v>0</v>
      </c>
      <c r="C299" s="39">
        <v>25.787949999999999</v>
      </c>
      <c r="D299" s="39">
        <v>0</v>
      </c>
      <c r="E299" s="39">
        <v>13.005149306815571</v>
      </c>
      <c r="F299" s="39">
        <v>25.787949999999999</v>
      </c>
      <c r="G299" s="39">
        <v>13.005149306815571</v>
      </c>
    </row>
    <row r="300" spans="1:7" ht="11.25" customHeight="1" x14ac:dyDescent="0.2">
      <c r="A300" s="49">
        <v>44440</v>
      </c>
      <c r="B300" s="39">
        <v>0</v>
      </c>
      <c r="C300" s="39">
        <v>93.552499999999981</v>
      </c>
      <c r="D300" s="39">
        <v>0</v>
      </c>
      <c r="E300" s="39">
        <v>47.179563731349859</v>
      </c>
      <c r="F300" s="39">
        <v>93.552499999999981</v>
      </c>
      <c r="G300" s="39">
        <v>47.179563731349859</v>
      </c>
    </row>
    <row r="301" spans="1:7" ht="11.25" customHeight="1" x14ac:dyDescent="0.2">
      <c r="A301" s="49">
        <v>44470</v>
      </c>
      <c r="B301" s="39">
        <v>0</v>
      </c>
      <c r="C301" s="39">
        <v>0.8135</v>
      </c>
      <c r="D301" s="39">
        <v>0</v>
      </c>
      <c r="E301" s="39">
        <v>0.41025707592478144</v>
      </c>
      <c r="F301" s="39">
        <v>0.8135</v>
      </c>
      <c r="G301" s="39">
        <v>0.41025707592478144</v>
      </c>
    </row>
    <row r="302" spans="1:7" ht="11.25" customHeight="1" x14ac:dyDescent="0.2">
      <c r="A302" s="49">
        <v>44501</v>
      </c>
      <c r="B302" s="39">
        <v>0</v>
      </c>
      <c r="C302" s="39">
        <v>673.57799999999986</v>
      </c>
      <c r="D302" s="39">
        <v>0</v>
      </c>
      <c r="E302" s="39">
        <v>339.69285886571896</v>
      </c>
      <c r="F302" s="39">
        <v>673.57799999999986</v>
      </c>
      <c r="G302" s="39">
        <v>339.69285886571896</v>
      </c>
    </row>
    <row r="303" spans="1:7" ht="11.25" customHeight="1" x14ac:dyDescent="0.2">
      <c r="A303" s="49">
        <v>44531</v>
      </c>
      <c r="B303" s="39">
        <v>0</v>
      </c>
      <c r="C303" s="39">
        <v>1411.5852</v>
      </c>
      <c r="D303" s="39">
        <v>0</v>
      </c>
      <c r="E303" s="39">
        <v>711.87807814468079</v>
      </c>
      <c r="F303" s="39">
        <v>1411.5852</v>
      </c>
      <c r="G303" s="39">
        <v>711.87807814468079</v>
      </c>
    </row>
    <row r="304" spans="1:7" ht="11.25" customHeight="1" x14ac:dyDescent="0.2">
      <c r="A304" s="49">
        <v>44562</v>
      </c>
      <c r="B304" s="39">
        <v>0</v>
      </c>
      <c r="C304" s="39">
        <v>2145.7689499999997</v>
      </c>
      <c r="D304" s="39">
        <v>0</v>
      </c>
      <c r="E304" s="39">
        <v>1082.135089166796</v>
      </c>
      <c r="F304" s="39">
        <v>2145.7689499999997</v>
      </c>
      <c r="G304" s="39">
        <v>1082.135089166796</v>
      </c>
    </row>
    <row r="305" spans="1:7" ht="11.25" customHeight="1" x14ac:dyDescent="0.2">
      <c r="A305" s="49">
        <v>44621</v>
      </c>
      <c r="B305" s="39">
        <v>0</v>
      </c>
      <c r="C305" s="39">
        <v>522.34834999999998</v>
      </c>
      <c r="D305" s="39">
        <v>0</v>
      </c>
      <c r="E305" s="39">
        <v>263.42606845130217</v>
      </c>
      <c r="F305" s="39">
        <v>522.34834999999998</v>
      </c>
      <c r="G305" s="39">
        <v>263.42606845130217</v>
      </c>
    </row>
    <row r="306" spans="1:7" ht="11.25" customHeight="1" x14ac:dyDescent="0.2">
      <c r="A306" s="49">
        <v>44652</v>
      </c>
      <c r="B306" s="39">
        <v>0</v>
      </c>
      <c r="C306" s="39">
        <v>16.27</v>
      </c>
      <c r="D306" s="39">
        <v>0</v>
      </c>
      <c r="E306" s="39">
        <v>8.205141518495628</v>
      </c>
      <c r="F306" s="39">
        <v>16.27</v>
      </c>
      <c r="G306" s="39">
        <v>8.205141518495628</v>
      </c>
    </row>
    <row r="307" spans="1:7" ht="11.25" customHeight="1" x14ac:dyDescent="0.2">
      <c r="A307" s="49">
        <v>44682</v>
      </c>
      <c r="B307" s="39">
        <v>0</v>
      </c>
      <c r="C307" s="39">
        <v>3.254</v>
      </c>
      <c r="D307" s="39">
        <v>0</v>
      </c>
      <c r="E307" s="39">
        <v>1.6410283036991258</v>
      </c>
      <c r="F307" s="39">
        <v>3.254</v>
      </c>
      <c r="G307" s="39">
        <v>1.6410283036991258</v>
      </c>
    </row>
    <row r="308" spans="1:7" ht="11.25" customHeight="1" x14ac:dyDescent="0.2">
      <c r="A308" s="45" t="s">
        <v>25</v>
      </c>
      <c r="B308" s="39">
        <v>0</v>
      </c>
      <c r="C308" s="39">
        <v>3734008.3595500002</v>
      </c>
      <c r="D308" s="39">
        <v>0</v>
      </c>
      <c r="E308" s="39">
        <v>1883101.8451968934</v>
      </c>
      <c r="F308" s="39">
        <v>3734008.3595500002</v>
      </c>
      <c r="G308" s="39">
        <v>1883101.8451968937</v>
      </c>
    </row>
    <row r="309" spans="1:7" ht="11.25" customHeight="1" x14ac:dyDescent="0.2">
      <c r="A309" s="46" t="s">
        <v>25</v>
      </c>
      <c r="B309" s="39">
        <v>0</v>
      </c>
      <c r="C309" s="39">
        <v>3734008.3595500002</v>
      </c>
      <c r="D309" s="39">
        <v>0</v>
      </c>
      <c r="E309" s="39">
        <v>1883101.8451968934</v>
      </c>
      <c r="F309" s="39">
        <v>3734008.3595500002</v>
      </c>
      <c r="G309" s="39">
        <v>1883101.8451968937</v>
      </c>
    </row>
    <row r="310" spans="1:7" ht="11.25" customHeight="1" x14ac:dyDescent="0.2">
      <c r="A310" s="47" t="s">
        <v>25</v>
      </c>
      <c r="B310" s="39">
        <v>0</v>
      </c>
      <c r="C310" s="39">
        <v>3734008.3595500002</v>
      </c>
      <c r="D310" s="39">
        <v>0</v>
      </c>
      <c r="E310" s="39">
        <v>1883101.8451968934</v>
      </c>
      <c r="F310" s="39">
        <v>3734008.3595500002</v>
      </c>
      <c r="G310" s="39">
        <v>1883101.8451968937</v>
      </c>
    </row>
    <row r="311" spans="1:7" ht="11.25" customHeight="1" x14ac:dyDescent="0.2">
      <c r="A311" s="48" t="s">
        <v>25</v>
      </c>
      <c r="B311" s="39">
        <v>0</v>
      </c>
      <c r="C311" s="39">
        <v>3734008.3595500002</v>
      </c>
      <c r="D311" s="39">
        <v>0</v>
      </c>
      <c r="E311" s="39">
        <v>1883101.8451968934</v>
      </c>
      <c r="F311" s="39">
        <v>3734008.3595500002</v>
      </c>
      <c r="G311" s="39">
        <v>1883101.8451968937</v>
      </c>
    </row>
    <row r="312" spans="1:7" ht="11.25" customHeight="1" x14ac:dyDescent="0.2">
      <c r="A312" s="49">
        <v>44378</v>
      </c>
      <c r="B312" s="39">
        <v>0</v>
      </c>
      <c r="C312" s="39">
        <v>207241.07739999998</v>
      </c>
      <c r="D312" s="39">
        <v>0</v>
      </c>
      <c r="E312" s="39">
        <v>104513.97470882029</v>
      </c>
      <c r="F312" s="39">
        <v>207241.07739999998</v>
      </c>
      <c r="G312" s="39">
        <v>104513.97470882029</v>
      </c>
    </row>
    <row r="313" spans="1:7" ht="11.25" customHeight="1" x14ac:dyDescent="0.2">
      <c r="A313" s="49">
        <v>44409</v>
      </c>
      <c r="B313" s="39">
        <v>0</v>
      </c>
      <c r="C313" s="39">
        <v>216372.12680000003</v>
      </c>
      <c r="D313" s="39">
        <v>0</v>
      </c>
      <c r="E313" s="39">
        <v>109118.8642318304</v>
      </c>
      <c r="F313" s="39">
        <v>216372.12680000003</v>
      </c>
      <c r="G313" s="39">
        <v>109118.8642318304</v>
      </c>
    </row>
    <row r="314" spans="1:7" ht="11.25" customHeight="1" x14ac:dyDescent="0.2">
      <c r="A314" s="49">
        <v>44440</v>
      </c>
      <c r="B314" s="39">
        <v>0</v>
      </c>
      <c r="C314" s="39">
        <v>215187.34539999999</v>
      </c>
      <c r="D314" s="39">
        <v>0</v>
      </c>
      <c r="E314" s="39">
        <v>108521.36582645355</v>
      </c>
      <c r="F314" s="39">
        <v>215187.34539999999</v>
      </c>
      <c r="G314" s="39">
        <v>108521.36582645355</v>
      </c>
    </row>
    <row r="315" spans="1:7" ht="11.25" customHeight="1" x14ac:dyDescent="0.2">
      <c r="A315" s="49">
        <v>44470</v>
      </c>
      <c r="B315" s="39">
        <v>0</v>
      </c>
      <c r="C315" s="39">
        <v>224782.00844999999</v>
      </c>
      <c r="D315" s="39">
        <v>0</v>
      </c>
      <c r="E315" s="39">
        <v>113360.0608570332</v>
      </c>
      <c r="F315" s="39">
        <v>224782.00844999999</v>
      </c>
      <c r="G315" s="39">
        <v>113360.0608570332</v>
      </c>
    </row>
    <row r="316" spans="1:7" ht="11.25" customHeight="1" x14ac:dyDescent="0.2">
      <c r="A316" s="49">
        <v>44501</v>
      </c>
      <c r="B316" s="39">
        <v>0</v>
      </c>
      <c r="C316" s="39">
        <v>316866.46635</v>
      </c>
      <c r="D316" s="39">
        <v>0</v>
      </c>
      <c r="E316" s="39">
        <v>159799.27466916919</v>
      </c>
      <c r="F316" s="39">
        <v>316866.46635</v>
      </c>
      <c r="G316" s="39">
        <v>159799.27466916919</v>
      </c>
    </row>
    <row r="317" spans="1:7" ht="11.25" customHeight="1" x14ac:dyDescent="0.2">
      <c r="A317" s="49">
        <v>44531</v>
      </c>
      <c r="B317" s="39">
        <v>0</v>
      </c>
      <c r="C317" s="39">
        <v>394664.9694</v>
      </c>
      <c r="D317" s="39">
        <v>0</v>
      </c>
      <c r="E317" s="39">
        <v>199033.92294528254</v>
      </c>
      <c r="F317" s="39">
        <v>394664.9694</v>
      </c>
      <c r="G317" s="39">
        <v>199033.92294528254</v>
      </c>
    </row>
    <row r="318" spans="1:7" ht="11.25" customHeight="1" x14ac:dyDescent="0.2">
      <c r="A318" s="49">
        <v>44562</v>
      </c>
      <c r="B318" s="39">
        <v>0</v>
      </c>
      <c r="C318" s="39">
        <v>516111.89629999996</v>
      </c>
      <c r="D318" s="39">
        <v>0</v>
      </c>
      <c r="E318" s="39">
        <v>260280.95565584756</v>
      </c>
      <c r="F318" s="39">
        <v>516111.89629999996</v>
      </c>
      <c r="G318" s="39">
        <v>260280.95565584756</v>
      </c>
    </row>
    <row r="319" spans="1:7" ht="11.25" customHeight="1" x14ac:dyDescent="0.2">
      <c r="A319" s="49">
        <v>44593</v>
      </c>
      <c r="B319" s="39">
        <v>0</v>
      </c>
      <c r="C319" s="39">
        <v>467831.24075</v>
      </c>
      <c r="D319" s="39">
        <v>0</v>
      </c>
      <c r="E319" s="39">
        <v>235932.48537966498</v>
      </c>
      <c r="F319" s="39">
        <v>467831.24075</v>
      </c>
      <c r="G319" s="39">
        <v>235932.48537966498</v>
      </c>
    </row>
    <row r="320" spans="1:7" ht="11.25" customHeight="1" x14ac:dyDescent="0.2">
      <c r="A320" s="49">
        <v>44621</v>
      </c>
      <c r="B320" s="39">
        <v>0</v>
      </c>
      <c r="C320" s="39">
        <v>388151.19354999997</v>
      </c>
      <c r="D320" s="39">
        <v>0</v>
      </c>
      <c r="E320" s="39">
        <v>195748.95351264524</v>
      </c>
      <c r="F320" s="39">
        <v>388151.19354999997</v>
      </c>
      <c r="G320" s="39">
        <v>195748.95351264524</v>
      </c>
    </row>
    <row r="321" spans="1:7" ht="11.25" customHeight="1" x14ac:dyDescent="0.2">
      <c r="A321" s="49">
        <v>44652</v>
      </c>
      <c r="B321" s="39">
        <v>0</v>
      </c>
      <c r="C321" s="39">
        <v>299366.37300000002</v>
      </c>
      <c r="D321" s="39">
        <v>0</v>
      </c>
      <c r="E321" s="39">
        <v>150973.78342616771</v>
      </c>
      <c r="F321" s="39">
        <v>299366.37300000002</v>
      </c>
      <c r="G321" s="39">
        <v>150973.78342616771</v>
      </c>
    </row>
    <row r="322" spans="1:7" ht="11.25" customHeight="1" x14ac:dyDescent="0.2">
      <c r="A322" s="49">
        <v>44682</v>
      </c>
      <c r="B322" s="39">
        <v>0</v>
      </c>
      <c r="C322" s="39">
        <v>257331.28234999999</v>
      </c>
      <c r="D322" s="39">
        <v>0</v>
      </c>
      <c r="E322" s="39">
        <v>129775.02082469</v>
      </c>
      <c r="F322" s="39">
        <v>257331.28234999999</v>
      </c>
      <c r="G322" s="39">
        <v>129775.02082469</v>
      </c>
    </row>
    <row r="323" spans="1:7" ht="11.25" customHeight="1" x14ac:dyDescent="0.2">
      <c r="A323" s="49">
        <v>44713</v>
      </c>
      <c r="B323" s="39">
        <v>0</v>
      </c>
      <c r="C323" s="39">
        <v>230102.37980000002</v>
      </c>
      <c r="D323" s="39">
        <v>0</v>
      </c>
      <c r="E323" s="39">
        <v>116043.18315928888</v>
      </c>
      <c r="F323" s="39">
        <v>230102.37980000002</v>
      </c>
      <c r="G323" s="39">
        <v>116043.18315928888</v>
      </c>
    </row>
    <row r="324" spans="1:7" ht="11.25" customHeight="1" x14ac:dyDescent="0.2">
      <c r="A324" s="41" t="s">
        <v>571</v>
      </c>
      <c r="B324" s="39">
        <v>0</v>
      </c>
      <c r="C324" s="39">
        <v>0</v>
      </c>
      <c r="D324" s="39">
        <v>0</v>
      </c>
      <c r="E324" s="39">
        <v>0</v>
      </c>
      <c r="F324" s="39">
        <v>0</v>
      </c>
      <c r="G324" s="39">
        <v>0</v>
      </c>
    </row>
    <row r="325" spans="1:7" ht="11.25" customHeight="1" x14ac:dyDescent="0.2">
      <c r="A325" s="42" t="s">
        <v>22</v>
      </c>
      <c r="B325" s="39">
        <v>0</v>
      </c>
      <c r="C325" s="39">
        <v>0</v>
      </c>
      <c r="D325" s="39">
        <v>0</v>
      </c>
      <c r="E325" s="39">
        <v>0</v>
      </c>
      <c r="F325" s="39">
        <v>0</v>
      </c>
      <c r="G325" s="39">
        <v>0</v>
      </c>
    </row>
    <row r="326" spans="1:7" ht="11.25" customHeight="1" x14ac:dyDescent="0.2">
      <c r="A326" s="43" t="s">
        <v>23</v>
      </c>
      <c r="B326" s="39">
        <v>0</v>
      </c>
      <c r="C326" s="39">
        <v>0</v>
      </c>
      <c r="D326" s="39">
        <v>0</v>
      </c>
      <c r="E326" s="39">
        <v>0</v>
      </c>
      <c r="F326" s="39">
        <v>0</v>
      </c>
      <c r="G326" s="39">
        <v>0</v>
      </c>
    </row>
    <row r="327" spans="1:7" ht="11.25" customHeight="1" x14ac:dyDescent="0.2">
      <c r="A327" s="44" t="s">
        <v>24</v>
      </c>
      <c r="B327" s="39">
        <v>0</v>
      </c>
      <c r="C327" s="39">
        <v>0</v>
      </c>
      <c r="D327" s="39">
        <v>0</v>
      </c>
      <c r="E327" s="39">
        <v>0</v>
      </c>
      <c r="F327" s="39">
        <v>0</v>
      </c>
      <c r="G327" s="39">
        <v>0</v>
      </c>
    </row>
    <row r="328" spans="1:7" ht="11.25" customHeight="1" x14ac:dyDescent="0.2">
      <c r="A328" s="45" t="s">
        <v>24</v>
      </c>
      <c r="B328" s="39">
        <v>0</v>
      </c>
      <c r="C328" s="39">
        <v>0</v>
      </c>
      <c r="D328" s="39">
        <v>0</v>
      </c>
      <c r="E328" s="39">
        <v>0</v>
      </c>
      <c r="F328" s="39">
        <v>0</v>
      </c>
      <c r="G328" s="39">
        <v>0</v>
      </c>
    </row>
    <row r="329" spans="1:7" ht="11.25" customHeight="1" x14ac:dyDescent="0.2">
      <c r="A329" s="46" t="s">
        <v>25</v>
      </c>
      <c r="B329" s="39">
        <v>0</v>
      </c>
      <c r="C329" s="39">
        <v>0</v>
      </c>
      <c r="D329" s="39">
        <v>0</v>
      </c>
      <c r="E329" s="39">
        <v>0</v>
      </c>
      <c r="F329" s="39">
        <v>0</v>
      </c>
      <c r="G329" s="39">
        <v>0</v>
      </c>
    </row>
    <row r="330" spans="1:7" ht="11.25" customHeight="1" x14ac:dyDescent="0.2">
      <c r="A330" s="47" t="s">
        <v>25</v>
      </c>
      <c r="B330" s="39">
        <v>0</v>
      </c>
      <c r="C330" s="39">
        <v>0</v>
      </c>
      <c r="D330" s="39">
        <v>0</v>
      </c>
      <c r="E330" s="39">
        <v>0</v>
      </c>
      <c r="F330" s="39">
        <v>0</v>
      </c>
      <c r="G330" s="39">
        <v>0</v>
      </c>
    </row>
    <row r="331" spans="1:7" ht="11.25" customHeight="1" x14ac:dyDescent="0.2">
      <c r="A331" s="48" t="s">
        <v>25</v>
      </c>
      <c r="B331" s="39">
        <v>0</v>
      </c>
      <c r="C331" s="39">
        <v>0</v>
      </c>
      <c r="D331" s="39">
        <v>0</v>
      </c>
      <c r="E331" s="39">
        <v>0</v>
      </c>
      <c r="F331" s="39">
        <v>0</v>
      </c>
      <c r="G331" s="39">
        <v>0</v>
      </c>
    </row>
    <row r="332" spans="1:7" ht="11.25" customHeight="1" x14ac:dyDescent="0.2">
      <c r="A332" s="49">
        <v>44378</v>
      </c>
      <c r="B332" s="39">
        <v>0</v>
      </c>
      <c r="C332" s="39">
        <v>0</v>
      </c>
      <c r="D332" s="39">
        <v>0</v>
      </c>
      <c r="E332" s="39">
        <v>0</v>
      </c>
      <c r="F332" s="39">
        <v>0</v>
      </c>
      <c r="G332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8A99-24DC-4115-A482-9EB1D33DA58E}">
  <sheetPr codeName="Planilha28"/>
  <dimension ref="A1:V35"/>
  <sheetViews>
    <sheetView showGridLines="0" workbookViewId="0">
      <selection sqref="A1:J1"/>
    </sheetView>
  </sheetViews>
  <sheetFormatPr defaultColWidth="8.85546875" defaultRowHeight="11.25" customHeight="1" x14ac:dyDescent="0.25"/>
  <cols>
    <col min="1" max="1" width="9" style="8" bestFit="1" customWidth="1"/>
    <col min="2" max="2" width="10.28515625" style="8" bestFit="1" customWidth="1"/>
    <col min="3" max="3" width="9.5703125" style="8" bestFit="1" customWidth="1"/>
    <col min="4" max="4" width="5.85546875" style="8" bestFit="1" customWidth="1"/>
    <col min="5" max="10" width="7.7109375" style="8" customWidth="1"/>
    <col min="11" max="12" width="8.8554687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8.85546875" style="8"/>
  </cols>
  <sheetData>
    <row r="1" spans="1:22" ht="11.25" customHeight="1" x14ac:dyDescent="0.25">
      <c r="A1" s="100" t="s">
        <v>637</v>
      </c>
      <c r="B1" s="116"/>
      <c r="C1" s="116"/>
      <c r="D1" s="116"/>
      <c r="E1" s="116"/>
      <c r="F1" s="116"/>
      <c r="G1" s="116"/>
      <c r="H1" s="116"/>
      <c r="I1" s="116"/>
      <c r="J1" s="116"/>
      <c r="L1" s="100" t="s">
        <v>647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</row>
    <row r="2" spans="1:22" ht="11.25" customHeight="1" x14ac:dyDescent="0.25">
      <c r="A2" s="112" t="s">
        <v>61</v>
      </c>
      <c r="B2" s="112" t="s">
        <v>62</v>
      </c>
      <c r="C2" s="112" t="s">
        <v>638</v>
      </c>
      <c r="D2" s="112" t="s">
        <v>67</v>
      </c>
      <c r="E2" s="112" t="s">
        <v>639</v>
      </c>
      <c r="F2" s="115"/>
      <c r="G2" s="115"/>
      <c r="H2" s="112" t="s">
        <v>402</v>
      </c>
      <c r="I2" s="115"/>
      <c r="J2" s="115"/>
      <c r="L2" s="112" t="s">
        <v>61</v>
      </c>
      <c r="M2" s="112" t="s">
        <v>62</v>
      </c>
      <c r="N2" s="112" t="s">
        <v>63</v>
      </c>
      <c r="O2" s="112" t="s">
        <v>64</v>
      </c>
      <c r="P2" s="112" t="s">
        <v>67</v>
      </c>
      <c r="Q2" s="112" t="s">
        <v>639</v>
      </c>
      <c r="R2" s="117"/>
      <c r="S2" s="117"/>
      <c r="T2" s="112" t="s">
        <v>402</v>
      </c>
      <c r="U2" s="117"/>
      <c r="V2" s="117"/>
    </row>
    <row r="3" spans="1:22" ht="11.25" customHeight="1" x14ac:dyDescent="0.25">
      <c r="A3" s="115"/>
      <c r="B3" s="115"/>
      <c r="C3" s="115"/>
      <c r="D3" s="115"/>
      <c r="E3" s="112" t="s">
        <v>360</v>
      </c>
      <c r="F3" s="115"/>
      <c r="G3" s="30" t="s">
        <v>388</v>
      </c>
      <c r="H3" s="112" t="s">
        <v>360</v>
      </c>
      <c r="I3" s="115"/>
      <c r="J3" s="30" t="s">
        <v>388</v>
      </c>
      <c r="L3" s="117"/>
      <c r="M3" s="117"/>
      <c r="N3" s="117"/>
      <c r="O3" s="117"/>
      <c r="P3" s="117"/>
      <c r="Q3" s="112" t="s">
        <v>360</v>
      </c>
      <c r="R3" s="117"/>
      <c r="S3" s="30" t="s">
        <v>388</v>
      </c>
      <c r="T3" s="112" t="s">
        <v>360</v>
      </c>
      <c r="U3" s="117"/>
      <c r="V3" s="30" t="s">
        <v>388</v>
      </c>
    </row>
    <row r="4" spans="1:22" ht="11.25" customHeight="1" x14ac:dyDescent="0.25">
      <c r="A4" s="115"/>
      <c r="B4" s="115"/>
      <c r="C4" s="115"/>
      <c r="D4" s="115"/>
      <c r="E4" s="30" t="s">
        <v>640</v>
      </c>
      <c r="F4" s="30" t="s">
        <v>641</v>
      </c>
      <c r="G4" s="30" t="s">
        <v>641</v>
      </c>
      <c r="H4" s="30" t="s">
        <v>640</v>
      </c>
      <c r="I4" s="30" t="s">
        <v>641</v>
      </c>
      <c r="J4" s="30" t="s">
        <v>641</v>
      </c>
      <c r="L4" s="117"/>
      <c r="M4" s="117"/>
      <c r="N4" s="117"/>
      <c r="O4" s="117"/>
      <c r="P4" s="117"/>
      <c r="Q4" s="30" t="s">
        <v>640</v>
      </c>
      <c r="R4" s="30" t="s">
        <v>641</v>
      </c>
      <c r="S4" s="30" t="s">
        <v>641</v>
      </c>
      <c r="T4" s="30" t="s">
        <v>640</v>
      </c>
      <c r="U4" s="30" t="s">
        <v>641</v>
      </c>
      <c r="V4" s="30" t="s">
        <v>641</v>
      </c>
    </row>
    <row r="5" spans="1:22" ht="11.25" customHeight="1" x14ac:dyDescent="0.25">
      <c r="A5" s="114" t="s">
        <v>35</v>
      </c>
      <c r="B5" s="114" t="s">
        <v>52</v>
      </c>
      <c r="C5" s="114" t="s">
        <v>25</v>
      </c>
      <c r="D5" s="31" t="s">
        <v>642</v>
      </c>
      <c r="E5" s="29">
        <f ca="1">ROUND('TUSD BE'!$AM$5+'TUSD BF'!$AM$5+'TUSD CVA'!$AM$5,2)</f>
        <v>64.42</v>
      </c>
      <c r="F5" s="29">
        <f ca="1">ROUND('TUSD BE'!$AM$7+'TUSD BF'!$AM$7+'TUSD CVA'!$AM$7,2)</f>
        <v>102.72</v>
      </c>
      <c r="G5" s="29">
        <f>ROUND('TE BE'!$AB$5+'TE BF'!$AB$5+'TE CVA'!$AB$5,2)</f>
        <v>251.92</v>
      </c>
      <c r="H5" s="29">
        <f ca="1">ROUND('TUSD BE'!$AM$5,2)</f>
        <v>115.62</v>
      </c>
      <c r="I5" s="29">
        <f ca="1">ROUND('TUSD BE'!$AM$7,2)</f>
        <v>106.01</v>
      </c>
      <c r="J5" s="29">
        <f>ROUND('TE BE'!$AB$5,2)</f>
        <v>235.11</v>
      </c>
      <c r="L5" s="118" t="s">
        <v>22</v>
      </c>
      <c r="M5" s="118" t="s">
        <v>648</v>
      </c>
      <c r="N5" s="118" t="s">
        <v>649</v>
      </c>
      <c r="O5" s="118" t="s">
        <v>649</v>
      </c>
      <c r="P5" s="31" t="s">
        <v>642</v>
      </c>
      <c r="Q5" s="29">
        <v>0</v>
      </c>
      <c r="R5" s="29">
        <f ca="1">ROUND('TUSD BE'!$AM$17+'TUSD BF'!$AM$17+'TUSD CVA'!$AM$17,2)</f>
        <v>1019.14</v>
      </c>
      <c r="S5" s="29">
        <f>ROUND('TE BE'!$AB$7+'TE BF'!$AB$7+'TE CVA'!$AB$7,2)</f>
        <v>251.92</v>
      </c>
      <c r="T5" s="29">
        <v>0</v>
      </c>
      <c r="U5" s="29">
        <f ca="1">ROUND('TUSD BE'!$AM$17,2)</f>
        <v>1841.85</v>
      </c>
      <c r="V5" s="29">
        <f>ROUND('TE BE'!$AB$7,2)</f>
        <v>235.11</v>
      </c>
    </row>
    <row r="6" spans="1:22" ht="11.25" customHeight="1" x14ac:dyDescent="0.25">
      <c r="A6" s="115"/>
      <c r="B6" s="115"/>
      <c r="C6" s="115"/>
      <c r="D6" s="31" t="s">
        <v>643</v>
      </c>
      <c r="E6" s="29">
        <f ca="1">ROUND('TUSD BE'!$AM$6+'TUSD BF'!$AM$6+'TUSD CVA'!$AM$6,2)</f>
        <v>51.54</v>
      </c>
      <c r="F6" s="29">
        <f ca="1">ROUND('TUSD BE'!$AM$7+'TUSD BF'!$AM$7+'TUSD CVA'!$AM$7,2)</f>
        <v>102.72</v>
      </c>
      <c r="G6" s="29">
        <f>ROUND('TE BE'!$AB$6+'TE BF'!$AB$6+'TE CVA'!$AB$6,2)</f>
        <v>251.92</v>
      </c>
      <c r="H6" s="29">
        <f ca="1">ROUND('TUSD BE'!$AM$6,2)</f>
        <v>81.62</v>
      </c>
      <c r="I6" s="29">
        <f ca="1">ROUND('TUSD BE'!$AM$7,2)</f>
        <v>106.01</v>
      </c>
      <c r="J6" s="29">
        <f>ROUND('TE BE'!$AB$6,2)</f>
        <v>235.11</v>
      </c>
      <c r="L6" s="119"/>
      <c r="M6" s="119"/>
      <c r="N6" s="119"/>
      <c r="O6" s="119"/>
      <c r="P6" s="31" t="s">
        <v>650</v>
      </c>
      <c r="Q6" s="29">
        <v>0</v>
      </c>
      <c r="R6" s="29">
        <f ca="1">ROUND('TUSD BE'!$AM$18+'TUSD BF'!$AM$18+'TUSD CVA'!$AM$18,2)</f>
        <v>664.97</v>
      </c>
      <c r="S6" s="29">
        <f>ROUND('TE BE'!$AB$8+'TE BF'!$AB$8+'TE CVA'!$AB$8,2)</f>
        <v>251.92</v>
      </c>
      <c r="T6" s="29">
        <v>0</v>
      </c>
      <c r="U6" s="29">
        <f ca="1">ROUND('TUSD BE'!$AM$18,2)</f>
        <v>1159.74</v>
      </c>
      <c r="V6" s="29">
        <f>ROUND('TE BE'!$AB$8,2)</f>
        <v>235.11</v>
      </c>
    </row>
    <row r="7" spans="1:22" ht="11.25" customHeight="1" x14ac:dyDescent="0.25">
      <c r="A7" s="115"/>
      <c r="B7" s="114" t="s">
        <v>644</v>
      </c>
      <c r="C7" s="114" t="s">
        <v>25</v>
      </c>
      <c r="D7" s="31" t="s">
        <v>642</v>
      </c>
      <c r="E7" s="29">
        <f ca="1">ROUND('TUSD BE'!$AM$5+'TUSD BF'!$AM$5+'TUSD CVA'!$AM$5,2)</f>
        <v>64.42</v>
      </c>
      <c r="F7" s="29">
        <f ca="1">ROUND('TUSD BE'!$AM$8+'TUSD BF'!$AM$8+'TUSD CVA'!$AM$8,2)</f>
        <v>15.33</v>
      </c>
      <c r="G7" s="29">
        <v>0</v>
      </c>
      <c r="H7" s="29">
        <f ca="1">ROUND('TUSD BE'!$AM$5,2)</f>
        <v>115.62</v>
      </c>
      <c r="I7" s="29">
        <f ca="1">ROUND('TUSD BE'!$AM$8,2)</f>
        <v>14.6</v>
      </c>
      <c r="J7" s="29">
        <v>0</v>
      </c>
      <c r="L7" s="119"/>
      <c r="M7" s="120"/>
      <c r="N7" s="120"/>
      <c r="O7" s="120"/>
      <c r="P7" s="31" t="s">
        <v>643</v>
      </c>
      <c r="Q7" s="29">
        <v>0</v>
      </c>
      <c r="R7" s="29">
        <f ca="1">ROUND('TUSD BE'!$AM$19+'TUSD BF'!$AM$19+'TUSD CVA'!$AM$19,2)</f>
        <v>310.74</v>
      </c>
      <c r="S7" s="29">
        <f>ROUND('TE BE'!$AB$9+'TE BF'!$AB$9+'TE CVA'!$AB$9,2)</f>
        <v>251.92</v>
      </c>
      <c r="T7" s="29">
        <v>0</v>
      </c>
      <c r="U7" s="29">
        <f ca="1">ROUND('TUSD BE'!$AM$19,2)</f>
        <v>477.56</v>
      </c>
      <c r="V7" s="29">
        <f>ROUND('TE BE'!$AB$9,2)</f>
        <v>235.11</v>
      </c>
    </row>
    <row r="8" spans="1:22" ht="11.25" customHeight="1" x14ac:dyDescent="0.25">
      <c r="A8" s="115"/>
      <c r="B8" s="115"/>
      <c r="C8" s="115"/>
      <c r="D8" s="31" t="s">
        <v>643</v>
      </c>
      <c r="E8" s="29">
        <f ca="1">ROUND('TUSD BE'!$AM$6+'TUSD BF'!$AM$6+'TUSD CVA'!$AM$6,2)</f>
        <v>51.54</v>
      </c>
      <c r="F8" s="29">
        <f ca="1">ROUND('TUSD BE'!$AM$8+'TUSD BF'!$AM$8+'TUSD CVA'!$AM$8,2)</f>
        <v>15.33</v>
      </c>
      <c r="G8" s="29">
        <v>0</v>
      </c>
      <c r="H8" s="29">
        <f ca="1">ROUND('TUSD BE'!$AM$6,2)</f>
        <v>81.62</v>
      </c>
      <c r="I8" s="29">
        <f ca="1">ROUND('TUSD BE'!$AM$8,2)</f>
        <v>14.6</v>
      </c>
      <c r="J8" s="29">
        <v>0</v>
      </c>
      <c r="L8" s="119"/>
      <c r="M8" s="31" t="s">
        <v>651</v>
      </c>
      <c r="N8" s="31" t="s">
        <v>649</v>
      </c>
      <c r="O8" s="31" t="s">
        <v>649</v>
      </c>
      <c r="P8" s="31" t="s">
        <v>645</v>
      </c>
      <c r="Q8" s="29">
        <v>0</v>
      </c>
      <c r="R8" s="29">
        <f ca="1">ROUND('TUSD BE'!$AM$25+'TUSD BF'!$AM$25+'TUSD CVA'!$AM$25,2)</f>
        <v>487.86</v>
      </c>
      <c r="S8" s="29">
        <f>ROUND('TE BE'!$AB$15+'TE BF'!$AB$15+'TE CVA'!$AB$15,2)</f>
        <v>251.92</v>
      </c>
      <c r="T8" s="29">
        <v>0</v>
      </c>
      <c r="U8" s="29">
        <f ca="1">ROUND('TUSD BE'!$AM$25,2)</f>
        <v>818.65</v>
      </c>
      <c r="V8" s="29">
        <f>ROUND('TE BE'!$AB$15,2)</f>
        <v>235.11</v>
      </c>
    </row>
    <row r="9" spans="1:22" ht="11.25" customHeight="1" x14ac:dyDescent="0.25">
      <c r="A9" s="115"/>
      <c r="B9" s="114" t="s">
        <v>36</v>
      </c>
      <c r="C9" s="114" t="s">
        <v>25</v>
      </c>
      <c r="D9" s="31" t="s">
        <v>645</v>
      </c>
      <c r="E9" s="29">
        <f ca="1">ROUND('TUSD BE'!$AM$10+'TUSD BF'!$AM$10+'TUSD CVA'!$AM$10,2)</f>
        <v>51.54</v>
      </c>
      <c r="F9" s="29">
        <v>0</v>
      </c>
      <c r="G9" s="29">
        <v>0</v>
      </c>
      <c r="H9" s="29">
        <f ca="1">ROUND('TUSD BE'!$AM$10,2)</f>
        <v>81.62</v>
      </c>
      <c r="I9" s="29">
        <v>0</v>
      </c>
      <c r="J9" s="29">
        <v>0</v>
      </c>
      <c r="L9" s="119"/>
      <c r="M9" s="31" t="s">
        <v>653</v>
      </c>
      <c r="N9" s="31" t="s">
        <v>649</v>
      </c>
      <c r="O9" s="31" t="s">
        <v>649</v>
      </c>
      <c r="P9" s="31" t="s">
        <v>645</v>
      </c>
      <c r="Q9" s="29">
        <v>0</v>
      </c>
      <c r="R9" s="29">
        <f ca="1">ROUND('TUSD BE'!$AM$20+'TUSD BF'!$AM$20+'TUSD CVA'!$AM$20,2)</f>
        <v>487.86</v>
      </c>
      <c r="S9" s="29">
        <f>ROUND('TE BE'!$AB$10+'TE BF'!$AB$10+'TE CVA'!$AB$10,2)</f>
        <v>251.92</v>
      </c>
      <c r="T9" s="29">
        <v>0</v>
      </c>
      <c r="U9" s="29">
        <f ca="1">ROUND('TUSD BE'!$AM$20,2)</f>
        <v>818.65</v>
      </c>
      <c r="V9" s="29">
        <f>ROUND('TE BE'!$AB$10,2)</f>
        <v>235.11</v>
      </c>
    </row>
    <row r="10" spans="1:22" ht="11.25" customHeight="1" x14ac:dyDescent="0.25">
      <c r="A10" s="115"/>
      <c r="B10" s="115"/>
      <c r="C10" s="115"/>
      <c r="D10" s="31" t="s">
        <v>642</v>
      </c>
      <c r="E10" s="29">
        <v>0</v>
      </c>
      <c r="F10" s="29">
        <f ca="1">ROUND('TUSD BE'!$AM$11+'TUSD BF'!$AM$11+'TUSD CVA'!$AM$11,2)</f>
        <v>1652.63</v>
      </c>
      <c r="G10" s="29">
        <f>ROUND('TE BE'!$AB$5+'TE BF'!$AB$5+'TE CVA'!$AB$5,2)</f>
        <v>251.92</v>
      </c>
      <c r="H10" s="29">
        <v>0</v>
      </c>
      <c r="I10" s="29">
        <f ca="1">ROUND('TUSD BE'!$AM$11,2)</f>
        <v>2887.35</v>
      </c>
      <c r="J10" s="29">
        <f>ROUND('TE BE'!$AB$5,2)</f>
        <v>235.11</v>
      </c>
      <c r="L10" s="119"/>
      <c r="M10" s="31" t="s">
        <v>651</v>
      </c>
      <c r="N10" s="31" t="s">
        <v>649</v>
      </c>
      <c r="O10" s="31" t="s">
        <v>652</v>
      </c>
      <c r="P10" s="31" t="s">
        <v>645</v>
      </c>
      <c r="Q10" s="29">
        <v>0</v>
      </c>
      <c r="R10" s="29">
        <f ca="1">ROUND('TUSD BE'!$AM$26+'TUSD BF'!$AM$26+'TUSD CVA'!$AM$26,2)</f>
        <v>386.47</v>
      </c>
      <c r="S10" s="29">
        <f>ROUND('TE BE'!$AB$16+'TE BF'!$AB$16+'TE CVA'!$AB$16,2)</f>
        <v>251.92</v>
      </c>
      <c r="T10" s="29">
        <v>0</v>
      </c>
      <c r="U10" s="29">
        <f ca="1">ROUND('TUSD BE'!$AM$26,2)</f>
        <v>712.59</v>
      </c>
      <c r="V10" s="29">
        <f>ROUND('TE BE'!$AB$16,2)</f>
        <v>235.11</v>
      </c>
    </row>
    <row r="11" spans="1:22" ht="11.25" customHeight="1" x14ac:dyDescent="0.25">
      <c r="A11" s="115"/>
      <c r="B11" s="115"/>
      <c r="C11" s="115"/>
      <c r="D11" s="31" t="s">
        <v>643</v>
      </c>
      <c r="E11" s="29">
        <v>0</v>
      </c>
      <c r="F11" s="29">
        <f ca="1">ROUND('TUSD BE'!$AM$12+'TUSD BF'!$AM$12+'TUSD CVA'!$AM$12,2)</f>
        <v>102.72</v>
      </c>
      <c r="G11" s="29">
        <f>ROUND('TE BE'!$AB$6+'TE BF'!$AB$6+'TE CVA'!$AB$6,2)</f>
        <v>251.92</v>
      </c>
      <c r="H11" s="29">
        <v>0</v>
      </c>
      <c r="I11" s="29">
        <f ca="1">ROUND('TUSD BE'!$AM$12,2)</f>
        <v>106.01</v>
      </c>
      <c r="J11" s="29">
        <f>ROUND('TE BE'!$AB$6,2)</f>
        <v>235.11</v>
      </c>
      <c r="L11" s="120"/>
      <c r="M11" s="31" t="s">
        <v>653</v>
      </c>
      <c r="N11" s="31" t="s">
        <v>649</v>
      </c>
      <c r="O11" s="31" t="s">
        <v>652</v>
      </c>
      <c r="P11" s="31" t="s">
        <v>645</v>
      </c>
      <c r="Q11" s="29">
        <v>0</v>
      </c>
      <c r="R11" s="29">
        <f ca="1">ROUND('TUSD BE'!$AM$21+'TUSD BF'!$AM$21+'TUSD CVA'!$AM$21,2)</f>
        <v>386.47</v>
      </c>
      <c r="S11" s="29">
        <f>ROUND('TE BE'!$AB$11+'TE BF'!$AB$11+'TE CVA'!$AB$11,2)</f>
        <v>251.92</v>
      </c>
      <c r="T11" s="29">
        <v>0</v>
      </c>
      <c r="U11" s="29">
        <f ca="1">ROUND('TUSD BE'!$AM$21,2)</f>
        <v>712.59</v>
      </c>
      <c r="V11" s="29">
        <f>ROUND('TE BE'!$AB$11,2)</f>
        <v>235.11</v>
      </c>
    </row>
    <row r="12" spans="1:22" ht="11.25" customHeight="1" x14ac:dyDescent="0.25">
      <c r="A12" s="115"/>
      <c r="B12" s="114" t="s">
        <v>646</v>
      </c>
      <c r="C12" s="114" t="s">
        <v>25</v>
      </c>
      <c r="D12" s="31" t="s">
        <v>645</v>
      </c>
      <c r="E12" s="29">
        <f ca="1">ROUND('TUSD BE'!$AM$10+'TUSD BF'!$AM$10+'TUSD CVA'!$AM$10,2)</f>
        <v>51.54</v>
      </c>
      <c r="F12" s="29">
        <v>0</v>
      </c>
      <c r="G12" s="29">
        <v>0</v>
      </c>
      <c r="H12" s="29">
        <f ca="1">ROUND('TUSD BE'!$AM$10,2)</f>
        <v>81.62</v>
      </c>
      <c r="I12" s="29">
        <v>0</v>
      </c>
      <c r="J12" s="29">
        <v>0</v>
      </c>
      <c r="L12" s="118" t="s">
        <v>40</v>
      </c>
      <c r="M12" s="118" t="s">
        <v>648</v>
      </c>
      <c r="N12" s="118" t="s">
        <v>654</v>
      </c>
      <c r="O12" s="118" t="s">
        <v>655</v>
      </c>
      <c r="P12" s="31" t="s">
        <v>642</v>
      </c>
      <c r="Q12" s="29">
        <v>0</v>
      </c>
      <c r="R12" s="29">
        <f ca="1">ROUND(('TUSD BE'!$AM$30+'TUSD BF'!$AM$30+'TUSD CVA'!$AM$30)*(1-CUSTOS!$M$38),2)</f>
        <v>991.28</v>
      </c>
      <c r="S12" s="29">
        <f>ROUND(('TE BE'!$AB$20+'TE BF'!$AB$20+'TE CVA'!$AB$20)*(1-CUSTOS!$M$38),2)</f>
        <v>236.81</v>
      </c>
      <c r="T12" s="29">
        <v>0</v>
      </c>
      <c r="U12" s="29">
        <f ca="1">ROUND('TUSD BE'!$AM$30*(1-CUSTOS!$M$38),2)</f>
        <v>1795.46</v>
      </c>
      <c r="V12" s="29">
        <f>ROUND('TE BE'!$AB$20*(1-CUSTOS!$M$38),2)</f>
        <v>221.01</v>
      </c>
    </row>
    <row r="13" spans="1:22" ht="11.25" customHeight="1" x14ac:dyDescent="0.25">
      <c r="A13" s="115"/>
      <c r="B13" s="115"/>
      <c r="C13" s="115"/>
      <c r="D13" s="31" t="s">
        <v>642</v>
      </c>
      <c r="E13" s="29">
        <v>0</v>
      </c>
      <c r="F13" s="29">
        <f ca="1">ROUND('TUSD BE'!$AM$13+'TUSD BF'!$AM$13+'TUSD CVA'!$AM$13,2)</f>
        <v>1565.24</v>
      </c>
      <c r="G13" s="29">
        <v>0</v>
      </c>
      <c r="H13" s="29">
        <v>0</v>
      </c>
      <c r="I13" s="29">
        <f ca="1">ROUND('TUSD BE'!$AM$13,2)</f>
        <v>2795.94</v>
      </c>
      <c r="J13" s="29">
        <v>0</v>
      </c>
      <c r="L13" s="119"/>
      <c r="M13" s="119"/>
      <c r="N13" s="119"/>
      <c r="O13" s="119"/>
      <c r="P13" s="31" t="s">
        <v>650</v>
      </c>
      <c r="Q13" s="29">
        <v>0</v>
      </c>
      <c r="R13" s="29">
        <f ca="1">ROUND(('TUSD BE'!$AM$31+'TUSD BF'!$AM$31+'TUSD CVA'!$AM$31)*(1-CUSTOS!$M$38),2)</f>
        <v>645.01</v>
      </c>
      <c r="S13" s="29">
        <f>ROUND(('TE BE'!$AB$21+'TE BF'!$AB$21+'TE CVA'!$AB$21)*(1-CUSTOS!$M$38),2)</f>
        <v>236.81</v>
      </c>
      <c r="T13" s="29">
        <v>0</v>
      </c>
      <c r="U13" s="29">
        <f ca="1">ROUND('TUSD BE'!$AM$31*(1-CUSTOS!$M$38),2)</f>
        <v>1128.5899999999999</v>
      </c>
      <c r="V13" s="29">
        <f>ROUND('TE BE'!$AB$21*(1-CUSTOS!$M$38),2)</f>
        <v>221.01</v>
      </c>
    </row>
    <row r="14" spans="1:22" ht="11.25" customHeight="1" x14ac:dyDescent="0.25">
      <c r="A14" s="115"/>
      <c r="B14" s="115"/>
      <c r="C14" s="115"/>
      <c r="D14" s="31" t="s">
        <v>643</v>
      </c>
      <c r="E14" s="29">
        <v>0</v>
      </c>
      <c r="F14" s="29">
        <f ca="1">ROUND('TUSD BE'!$AM$14+'TUSD BF'!$AM$14+'TUSD CVA'!$AM$14,2)</f>
        <v>15.33</v>
      </c>
      <c r="G14" s="29">
        <v>0</v>
      </c>
      <c r="H14" s="29">
        <v>0</v>
      </c>
      <c r="I14" s="29">
        <f ca="1">ROUND('TUSD BE'!$AM$14,2)</f>
        <v>14.6</v>
      </c>
      <c r="J14" s="29">
        <v>0</v>
      </c>
      <c r="L14" s="119"/>
      <c r="M14" s="120"/>
      <c r="N14" s="120"/>
      <c r="O14" s="120"/>
      <c r="P14" s="31" t="s">
        <v>643</v>
      </c>
      <c r="Q14" s="29">
        <v>0</v>
      </c>
      <c r="R14" s="29">
        <f ca="1">ROUND(('TUSD BE'!$AM$32+'TUSD BF'!$AM$32+'TUSD CVA'!$AM$32)*(1-CUSTOS!$M$38),2)</f>
        <v>298.74</v>
      </c>
      <c r="S14" s="29">
        <f>ROUND(('TE BE'!$AB$22+'TE BF'!$AB$22+'TE CVA'!$AB$22)*(1-CUSTOS!$M$38),2)</f>
        <v>236.81</v>
      </c>
      <c r="T14" s="29">
        <v>0</v>
      </c>
      <c r="U14" s="29">
        <f ca="1">ROUND('TUSD BE'!$AM$32*(1-CUSTOS!$M$38),2)</f>
        <v>461.72</v>
      </c>
      <c r="V14" s="29">
        <f>ROUND('TE BE'!$AB$22*(1-CUSTOS!$M$38),2)</f>
        <v>221.01</v>
      </c>
    </row>
    <row r="15" spans="1:22" ht="11.25" customHeight="1" x14ac:dyDescent="0.25">
      <c r="A15" s="115"/>
      <c r="B15" s="31" t="s">
        <v>79</v>
      </c>
      <c r="C15" s="31" t="s">
        <v>25</v>
      </c>
      <c r="D15" s="31" t="s">
        <v>645</v>
      </c>
      <c r="E15" s="29">
        <f ca="1">ROUND('TUSD BE'!$AM$9+'TUSD BF'!$AM$9+'TUSD CVA'!$AM$9,2)</f>
        <v>7.66</v>
      </c>
      <c r="F15" s="29">
        <v>0</v>
      </c>
      <c r="G15" s="29">
        <v>0</v>
      </c>
      <c r="H15" s="29">
        <f ca="1">ROUND('TUSD BE'!$AM$9,2)</f>
        <v>19.77</v>
      </c>
      <c r="I15" s="29">
        <v>0</v>
      </c>
      <c r="J15" s="29">
        <v>0</v>
      </c>
      <c r="L15" s="119"/>
      <c r="M15" s="31" t="s">
        <v>651</v>
      </c>
      <c r="N15" s="31" t="s">
        <v>654</v>
      </c>
      <c r="O15" s="31" t="s">
        <v>655</v>
      </c>
      <c r="P15" s="31" t="s">
        <v>645</v>
      </c>
      <c r="Q15" s="29">
        <v>0</v>
      </c>
      <c r="R15" s="29">
        <f ca="1">ROUND(('TUSD BE'!$AM$42+'TUSD BF'!$AM$42+'TUSD CVA'!$AM$42)*(1-CUSTOS!$M$38),2)</f>
        <v>458.59</v>
      </c>
      <c r="S15" s="29">
        <f>ROUND(('TE BE'!$AB$32+'TE BF'!$AB$32+'TE CVA'!$AB$32)*(1-CUSTOS!$M$38),2)</f>
        <v>236.81</v>
      </c>
      <c r="T15" s="29">
        <v>0</v>
      </c>
      <c r="U15" s="29">
        <f ca="1">ROUND(('TUSD BE'!$AM$42)*(1-CUSTOS!$M$38),2)</f>
        <v>769.53</v>
      </c>
      <c r="V15" s="29">
        <f>ROUND(('TE BE'!$AB$32)*(1-CUSTOS!$M$38),2)</f>
        <v>221.01</v>
      </c>
    </row>
    <row r="16" spans="1:22" ht="11.25" customHeight="1" x14ac:dyDescent="0.25">
      <c r="L16" s="119"/>
      <c r="M16" s="31" t="s">
        <v>653</v>
      </c>
      <c r="N16" s="31" t="s">
        <v>654</v>
      </c>
      <c r="O16" s="31" t="s">
        <v>655</v>
      </c>
      <c r="P16" s="31" t="s">
        <v>645</v>
      </c>
      <c r="Q16" s="29">
        <v>0</v>
      </c>
      <c r="R16" s="29">
        <f ca="1">ROUND(('TUSD BE'!$AM$33+'TUSD BF'!$AM$33+'TUSD CVA'!$AM$33)*(1-CUSTOS!$M$38),2)</f>
        <v>458.59</v>
      </c>
      <c r="S16" s="29">
        <f>ROUND(('TE BE'!$AB$23+'TE BF'!$AB$23+'TE CVA'!$AB$23)*(1-CUSTOS!$M$38),2)</f>
        <v>236.81</v>
      </c>
      <c r="T16" s="29">
        <v>0</v>
      </c>
      <c r="U16" s="29">
        <f ca="1">ROUND(('TUSD BE'!$AM$33)*(1-CUSTOS!$M$38),2)</f>
        <v>769.53</v>
      </c>
      <c r="V16" s="29">
        <f>ROUND(('TE BE'!$AB$23)*(1-CUSTOS!$M$38),2)</f>
        <v>221.01</v>
      </c>
    </row>
    <row r="17" spans="12:22" ht="11.25" customHeight="1" x14ac:dyDescent="0.25">
      <c r="L17" s="119"/>
      <c r="M17" s="118" t="s">
        <v>648</v>
      </c>
      <c r="N17" s="118" t="s">
        <v>654</v>
      </c>
      <c r="O17" s="118" t="s">
        <v>656</v>
      </c>
      <c r="P17" s="31" t="s">
        <v>642</v>
      </c>
      <c r="Q17" s="29">
        <v>0</v>
      </c>
      <c r="R17" s="29">
        <f ca="1">ROUND(('TUSD BE'!$AM$34+'TUSD BF'!$AM$34+'TUSD CVA'!$AM$34)*(1-CUSTOS!$M$39),2)</f>
        <v>991.28</v>
      </c>
      <c r="S17" s="29">
        <f>ROUND(('TE BE'!$AB$24+'TE BF'!$AB$24+'TE CVA'!$AB$24)*(1-CUSTOS!$M$39),2)</f>
        <v>236.81</v>
      </c>
      <c r="T17" s="29">
        <v>0</v>
      </c>
      <c r="U17" s="29">
        <f ca="1">ROUND('TUSD BE'!$AM$34*(1-CUSTOS!$M$39),2)</f>
        <v>1795.46</v>
      </c>
      <c r="V17" s="29">
        <f>ROUND('TE BE'!$AB$24*(1-CUSTOS!$M$39),2)</f>
        <v>221.01</v>
      </c>
    </row>
    <row r="18" spans="12:22" ht="11.25" customHeight="1" x14ac:dyDescent="0.25">
      <c r="L18" s="119"/>
      <c r="M18" s="119"/>
      <c r="N18" s="119"/>
      <c r="O18" s="119"/>
      <c r="P18" s="31" t="s">
        <v>650</v>
      </c>
      <c r="Q18" s="29">
        <v>0</v>
      </c>
      <c r="R18" s="29">
        <f ca="1">ROUND(('TUSD BE'!$AM$35+'TUSD BF'!$AM$35+'TUSD CVA'!$AM$35)*(1-CUSTOS!$M$39),2)</f>
        <v>645.01</v>
      </c>
      <c r="S18" s="29">
        <f>ROUND(('TE BE'!$AB$25+'TE BF'!$AB$25+'TE CVA'!$AB$25)*(1-CUSTOS!$M$39),2)</f>
        <v>236.81</v>
      </c>
      <c r="T18" s="29">
        <v>0</v>
      </c>
      <c r="U18" s="29">
        <f ca="1">ROUND('TUSD BE'!$AM$35*(1-CUSTOS!$M$39),2)</f>
        <v>1128.5899999999999</v>
      </c>
      <c r="V18" s="29">
        <f>ROUND('TE BE'!$AB$25*(1-CUSTOS!$M$39),2)</f>
        <v>221.01</v>
      </c>
    </row>
    <row r="19" spans="12:22" ht="11.25" customHeight="1" x14ac:dyDescent="0.25">
      <c r="L19" s="119"/>
      <c r="M19" s="120"/>
      <c r="N19" s="120"/>
      <c r="O19" s="120"/>
      <c r="P19" s="31" t="s">
        <v>643</v>
      </c>
      <c r="Q19" s="29">
        <v>0</v>
      </c>
      <c r="R19" s="29">
        <f ca="1">ROUND(('TUSD BE'!$AM$36+'TUSD BF'!$AM$36+'TUSD CVA'!$AM$36)*(1-CUSTOS!$M$39),2)</f>
        <v>298.74</v>
      </c>
      <c r="S19" s="29">
        <f>ROUND(('TE BE'!$AB$26+'TE BF'!$AB$26+'TE CVA'!$AB$26)*(1-CUSTOS!$M$39),2)</f>
        <v>236.81</v>
      </c>
      <c r="T19" s="29">
        <v>0</v>
      </c>
      <c r="U19" s="29">
        <f ca="1">ROUND('TUSD BE'!$AM$36*(1-CUSTOS!$M$39),2)</f>
        <v>461.72</v>
      </c>
      <c r="V19" s="29">
        <f>ROUND('TE BE'!$AB$26*(1-CUSTOS!$M$39),2)</f>
        <v>221.01</v>
      </c>
    </row>
    <row r="20" spans="12:22" ht="11.25" customHeight="1" x14ac:dyDescent="0.25">
      <c r="L20" s="119"/>
      <c r="M20" s="31" t="s">
        <v>651</v>
      </c>
      <c r="N20" s="31" t="s">
        <v>654</v>
      </c>
      <c r="O20" s="31" t="s">
        <v>656</v>
      </c>
      <c r="P20" s="31" t="s">
        <v>645</v>
      </c>
      <c r="Q20" s="29">
        <v>0</v>
      </c>
      <c r="R20" s="29">
        <f ca="1">ROUND(('TUSD BE'!$AM$42+'TUSD BF'!$AM$42+'TUSD CVA'!$AM$42)*(1-CUSTOS!$M$39),2)</f>
        <v>458.59</v>
      </c>
      <c r="S20" s="29">
        <f>ROUND(('TE BE'!$AB$32+'TE BF'!$AB$32+'TE CVA'!$AB$32)*(1-CUSTOS!$M$39),2)</f>
        <v>236.81</v>
      </c>
      <c r="T20" s="29">
        <v>0</v>
      </c>
      <c r="U20" s="29">
        <f ca="1">ROUND(('TUSD BE'!$AM$42)*(1-CUSTOS!$M$39),2)</f>
        <v>769.53</v>
      </c>
      <c r="V20" s="29">
        <f>ROUND(('TE BE'!$AB$32)*(1-CUSTOS!$M$39),2)</f>
        <v>221.01</v>
      </c>
    </row>
    <row r="21" spans="12:22" ht="11.25" customHeight="1" x14ac:dyDescent="0.25">
      <c r="L21" s="119"/>
      <c r="M21" s="31" t="s">
        <v>653</v>
      </c>
      <c r="N21" s="31" t="s">
        <v>654</v>
      </c>
      <c r="O21" s="31" t="s">
        <v>656</v>
      </c>
      <c r="P21" s="31" t="s">
        <v>645</v>
      </c>
      <c r="Q21" s="29">
        <v>0</v>
      </c>
      <c r="R21" s="29">
        <f ca="1">ROUND(('TUSD BE'!$AM$33+'TUSD BF'!$AM$33+'TUSD CVA'!$AM$33)*(1-CUSTOS!$M$39),2)</f>
        <v>458.59</v>
      </c>
      <c r="S21" s="29">
        <f>ROUND(('TE BE'!$AB$23+'TE BF'!$AB$23+'TE CVA'!$AB$23)*(1-CUSTOS!$M$39),2)</f>
        <v>236.81</v>
      </c>
      <c r="T21" s="29">
        <v>0</v>
      </c>
      <c r="U21" s="29">
        <f ca="1">ROUND(('TUSD BE'!$AM$33)*(1-CUSTOS!$M$39),2)</f>
        <v>769.53</v>
      </c>
      <c r="V21" s="29">
        <f>ROUND(('TE BE'!$AB$23)*(1-CUSTOS!$M$39),2)</f>
        <v>221.01</v>
      </c>
    </row>
    <row r="22" spans="12:22" ht="11.25" customHeight="1" x14ac:dyDescent="0.25">
      <c r="L22" s="119"/>
      <c r="M22" s="118" t="s">
        <v>648</v>
      </c>
      <c r="N22" s="118" t="s">
        <v>654</v>
      </c>
      <c r="O22" s="118" t="s">
        <v>657</v>
      </c>
      <c r="P22" s="31" t="s">
        <v>642</v>
      </c>
      <c r="Q22" s="29">
        <v>0</v>
      </c>
      <c r="R22" s="29">
        <f ca="1">ROUND(('TUSD BE'!$AM$38+'TUSD BF'!$AM$38+'TUSD CVA'!$AM$38)*(1-CUSTOS!$M$40),2)</f>
        <v>970.19</v>
      </c>
      <c r="S22" s="29">
        <f>ROUND(('TE BE'!$AB$28+'TE BF'!$AB$28+'TE CVA'!$AB$28)*(1-CUSTOS!$M$40),2)</f>
        <v>231.77</v>
      </c>
      <c r="T22" s="29">
        <v>0</v>
      </c>
      <c r="U22" s="29">
        <f ca="1">ROUND('TUSD BE'!$AM$38*(1-CUSTOS!$M$40),2)</f>
        <v>1757.25</v>
      </c>
      <c r="V22" s="29">
        <f>ROUND('TE BE'!$AB$28*(1-CUSTOS!$M$40),2)</f>
        <v>216.3</v>
      </c>
    </row>
    <row r="23" spans="12:22" ht="11.25" customHeight="1" x14ac:dyDescent="0.25">
      <c r="L23" s="119"/>
      <c r="M23" s="119"/>
      <c r="N23" s="119"/>
      <c r="O23" s="119"/>
      <c r="P23" s="31" t="s">
        <v>650</v>
      </c>
      <c r="Q23" s="29">
        <v>0</v>
      </c>
      <c r="R23" s="29">
        <f ca="1">ROUND(('TUSD BE'!$AM$39+'TUSD BF'!$AM$39+'TUSD CVA'!$AM$39)*(1-CUSTOS!$M$40),2)</f>
        <v>631.29</v>
      </c>
      <c r="S23" s="29">
        <f>ROUND(('TE BE'!$AB$29+'TE BF'!$AB$29+'TE CVA'!$AB$29)*(1-CUSTOS!$M$40),2)</f>
        <v>231.77</v>
      </c>
      <c r="T23" s="29">
        <v>0</v>
      </c>
      <c r="U23" s="29">
        <f ca="1">ROUND('TUSD BE'!$AM$39*(1-CUSTOS!$M$40),2)</f>
        <v>1104.57</v>
      </c>
      <c r="V23" s="29">
        <f>ROUND('TE BE'!$AB$29*(1-CUSTOS!$M$40),2)</f>
        <v>216.3</v>
      </c>
    </row>
    <row r="24" spans="12:22" ht="11.25" customHeight="1" x14ac:dyDescent="0.25">
      <c r="L24" s="119"/>
      <c r="M24" s="120"/>
      <c r="N24" s="120"/>
      <c r="O24" s="120"/>
      <c r="P24" s="31" t="s">
        <v>643</v>
      </c>
      <c r="Q24" s="29">
        <v>0</v>
      </c>
      <c r="R24" s="29">
        <f ca="1">ROUND(('TUSD BE'!$AM$40+'TUSD BF'!$AM$40+'TUSD CVA'!$AM$40)*(1-CUSTOS!$M$40),2)</f>
        <v>292.38</v>
      </c>
      <c r="S24" s="29">
        <f>ROUND(('TE BE'!$AB$30+'TE BF'!$AB$30+'TE CVA'!$AB$30)*(1-CUSTOS!$M$40),2)</f>
        <v>231.77</v>
      </c>
      <c r="T24" s="29">
        <v>0</v>
      </c>
      <c r="U24" s="29">
        <f ca="1">ROUND('TUSD BE'!$AM$40*(1-CUSTOS!$M$40),2)</f>
        <v>451.89</v>
      </c>
      <c r="V24" s="29">
        <f>ROUND('TE BE'!$AB$30*(1-CUSTOS!$M$40),2)</f>
        <v>216.3</v>
      </c>
    </row>
    <row r="25" spans="12:22" ht="11.25" customHeight="1" x14ac:dyDescent="0.25">
      <c r="L25" s="119"/>
      <c r="M25" s="31" t="s">
        <v>651</v>
      </c>
      <c r="N25" s="31" t="s">
        <v>654</v>
      </c>
      <c r="O25" s="31" t="s">
        <v>657</v>
      </c>
      <c r="P25" s="31" t="s">
        <v>645</v>
      </c>
      <c r="Q25" s="29">
        <v>0</v>
      </c>
      <c r="R25" s="29">
        <f ca="1">ROUND(('TUSD BE'!$AM$42+'TUSD BF'!$AM$42+'TUSD CVA'!$AM$42)*(1-CUSTOS!$M$40),2)</f>
        <v>448.83</v>
      </c>
      <c r="S25" s="29">
        <f>ROUND(('TE BE'!$AB$32+'TE BF'!$AB$32+'TE CVA'!$AB$32)*(1-CUSTOS!$M$40),2)</f>
        <v>231.77</v>
      </c>
      <c r="T25" s="29">
        <v>0</v>
      </c>
      <c r="U25" s="29">
        <f ca="1">ROUND(('TUSD BE'!$AM$42)*(1-CUSTOS!$M$40),2)</f>
        <v>753.16</v>
      </c>
      <c r="V25" s="29">
        <f>ROUND(('TE BE'!$AB$32)*(1-CUSTOS!$M$40),2)</f>
        <v>216.3</v>
      </c>
    </row>
    <row r="26" spans="12:22" ht="11.25" customHeight="1" x14ac:dyDescent="0.25">
      <c r="L26" s="120"/>
      <c r="M26" s="31" t="s">
        <v>653</v>
      </c>
      <c r="N26" s="31" t="s">
        <v>654</v>
      </c>
      <c r="O26" s="31" t="s">
        <v>657</v>
      </c>
      <c r="P26" s="31" t="s">
        <v>645</v>
      </c>
      <c r="Q26" s="29">
        <v>0</v>
      </c>
      <c r="R26" s="29">
        <f ca="1">ROUND(('TUSD BE'!$AM$33+'TUSD BF'!$AM$33+'TUSD CVA'!$AM$33)*(1-CUSTOS!$M$40),2)</f>
        <v>448.83</v>
      </c>
      <c r="S26" s="29">
        <f>ROUND(('TE BE'!$AB$23+'TE BF'!$AB$23+'TE CVA'!$AB$23)*(1-CUSTOS!$M$40),2)</f>
        <v>231.77</v>
      </c>
      <c r="T26" s="29">
        <v>0</v>
      </c>
      <c r="U26" s="29">
        <f ca="1">ROUND(('TUSD BE'!$AM$33)*(1-CUSTOS!$M$40),2)</f>
        <v>753.16</v>
      </c>
      <c r="V26" s="29">
        <f>ROUND(('TE BE'!$AB$23)*(1-CUSTOS!$M$40),2)</f>
        <v>216.3</v>
      </c>
    </row>
    <row r="27" spans="12:22" ht="11.25" customHeight="1" x14ac:dyDescent="0.25">
      <c r="L27" s="118" t="s">
        <v>33</v>
      </c>
      <c r="M27" s="118" t="s">
        <v>648</v>
      </c>
      <c r="N27" s="118" t="s">
        <v>645</v>
      </c>
      <c r="O27" s="118" t="s">
        <v>645</v>
      </c>
      <c r="P27" s="31" t="s">
        <v>642</v>
      </c>
      <c r="Q27" s="29">
        <v>0</v>
      </c>
      <c r="R27" s="29">
        <f ca="1">ROUND(('TUSD BE'!$AM$45+'TUSD BF'!$AM$45+'TUSD CVA'!$AM$45)*(1-CUSTOS!$M$31),2)</f>
        <v>1196.26</v>
      </c>
      <c r="S27" s="29">
        <f>ROUND(('TE BE'!$AB$35+'TE BF'!$AB$35+'TE CVA'!$AB$35)*(1-CUSTOS!$M$31),2)</f>
        <v>251.92</v>
      </c>
      <c r="T27" s="29">
        <v>0</v>
      </c>
      <c r="U27" s="29">
        <f ca="1">ROUND('TUSD BE'!$AM$45*(1-CUSTOS!$M$31),2)</f>
        <v>2182.94</v>
      </c>
      <c r="V27" s="29">
        <f>ROUND('TE BE'!$AB$35*(1-CUSTOS!$M$31),2)</f>
        <v>235.11</v>
      </c>
    </row>
    <row r="28" spans="12:22" ht="11.25" customHeight="1" x14ac:dyDescent="0.25">
      <c r="L28" s="119"/>
      <c r="M28" s="119"/>
      <c r="N28" s="119"/>
      <c r="O28" s="119"/>
      <c r="P28" s="31" t="s">
        <v>650</v>
      </c>
      <c r="Q28" s="29">
        <v>0</v>
      </c>
      <c r="R28" s="29">
        <f ca="1">ROUND(('TUSD BE'!$AM$46+'TUSD BF'!$AM$46+'TUSD CVA'!$AM$46)*(1-CUSTOS!$M$31),2)</f>
        <v>771.21</v>
      </c>
      <c r="S28" s="29">
        <f>ROUND(('TE BE'!$AB$36+'TE BF'!$AB$36+'TE CVA'!$AB$36)*(1-CUSTOS!$M$31),2)</f>
        <v>251.92</v>
      </c>
      <c r="T28" s="29">
        <v>0</v>
      </c>
      <c r="U28" s="29">
        <f ca="1">ROUND('TUSD BE'!$AM$46*(1-CUSTOS!$M$31),2)</f>
        <v>1364.35</v>
      </c>
      <c r="V28" s="29">
        <f>ROUND('TE BE'!$AB$36*(1-CUSTOS!$M$31),2)</f>
        <v>235.11</v>
      </c>
    </row>
    <row r="29" spans="12:22" ht="11.25" customHeight="1" x14ac:dyDescent="0.25">
      <c r="L29" s="119"/>
      <c r="M29" s="120"/>
      <c r="N29" s="120"/>
      <c r="O29" s="120"/>
      <c r="P29" s="31" t="s">
        <v>643</v>
      </c>
      <c r="Q29" s="29">
        <v>0</v>
      </c>
      <c r="R29" s="29">
        <f ca="1">ROUND(('TUSD BE'!$AM$47+'TUSD BF'!$AM$47+'TUSD CVA'!$AM$47)*(1-CUSTOS!$M$31),2)</f>
        <v>346.15</v>
      </c>
      <c r="S29" s="29">
        <f>ROUND(('TE BE'!$AB$37+'TE BF'!$AB$37+'TE CVA'!$AB$37)*(1-CUSTOS!$M$31),2)</f>
        <v>251.92</v>
      </c>
      <c r="T29" s="29">
        <v>0</v>
      </c>
      <c r="U29" s="29">
        <f ca="1">ROUND('TUSD BE'!$AM$47*(1-CUSTOS!$M$31),2)</f>
        <v>545.77</v>
      </c>
      <c r="V29" s="29">
        <f>ROUND('TE BE'!$AB$37*(1-CUSTOS!$M$31),2)</f>
        <v>235.11</v>
      </c>
    </row>
    <row r="30" spans="12:22" ht="11.25" customHeight="1" x14ac:dyDescent="0.25">
      <c r="L30" s="119"/>
      <c r="M30" s="31" t="s">
        <v>651</v>
      </c>
      <c r="N30" s="31" t="s">
        <v>645</v>
      </c>
      <c r="O30" s="31" t="s">
        <v>645</v>
      </c>
      <c r="P30" s="31" t="s">
        <v>645</v>
      </c>
      <c r="Q30" s="29">
        <v>0</v>
      </c>
      <c r="R30" s="29">
        <f ca="1">ROUND(('TUSD BE'!$AM$49+'TUSD BF'!$AM$49+'TUSD CVA'!$AM$49)*(1-CUSTOS!$M$31),2)</f>
        <v>487.86</v>
      </c>
      <c r="S30" s="29">
        <f>ROUND(('TE BE'!$AB$39+'TE BF'!$AB$39+'TE CVA'!$AB$39)*(1-CUSTOS!$M$31),2)</f>
        <v>251.92</v>
      </c>
      <c r="T30" s="29">
        <v>0</v>
      </c>
      <c r="U30" s="29">
        <f ca="1">ROUND(('TUSD BE'!$AM$49)*(1-CUSTOS!$M$31),2)</f>
        <v>818.65</v>
      </c>
      <c r="V30" s="29">
        <f>ROUND(('TE BE'!$AB$39)*(1-CUSTOS!$M$31),2)</f>
        <v>235.11</v>
      </c>
    </row>
    <row r="31" spans="12:22" ht="11.25" customHeight="1" x14ac:dyDescent="0.25">
      <c r="L31" s="120"/>
      <c r="M31" s="31" t="s">
        <v>653</v>
      </c>
      <c r="N31" s="31" t="s">
        <v>645</v>
      </c>
      <c r="O31" s="31" t="s">
        <v>645</v>
      </c>
      <c r="P31" s="31" t="s">
        <v>645</v>
      </c>
      <c r="Q31" s="29">
        <v>0</v>
      </c>
      <c r="R31" s="29">
        <f ca="1">ROUND(('TUSD BE'!$AM$48+'TUSD BF'!$AM$48+'TUSD CVA'!$AM$48)*(1-CUSTOS!$M$31),2)</f>
        <v>487.86</v>
      </c>
      <c r="S31" s="29">
        <f>ROUND(('TE BE'!$AB$38+'TE BF'!$AB$38+'TE CVA'!$AB$38)*(1-CUSTOS!$M$31),2)</f>
        <v>251.92</v>
      </c>
      <c r="T31" s="29">
        <v>0</v>
      </c>
      <c r="U31" s="29">
        <f ca="1">ROUND(('TUSD BE'!$AM$48)*(1-CUSTOS!$M$31),2)</f>
        <v>818.65</v>
      </c>
      <c r="V31" s="29">
        <f>ROUND(('TE BE'!$AB$38)*(1-CUSTOS!$M$31),2)</f>
        <v>235.11</v>
      </c>
    </row>
    <row r="32" spans="12:22" ht="11.25" customHeight="1" x14ac:dyDescent="0.25">
      <c r="L32" s="118" t="s">
        <v>43</v>
      </c>
      <c r="M32" s="118" t="s">
        <v>653</v>
      </c>
      <c r="N32" s="118" t="s">
        <v>658</v>
      </c>
      <c r="O32" s="31" t="s">
        <v>659</v>
      </c>
      <c r="P32" s="31" t="s">
        <v>645</v>
      </c>
      <c r="Q32" s="29">
        <v>0</v>
      </c>
      <c r="R32" s="29">
        <f ca="1">ROUND(('TUSD BE'!$AM$50+'TUSD BF'!$AM$50+'TUSD CVA'!$AM$50),2)</f>
        <v>268.32</v>
      </c>
      <c r="S32" s="29">
        <f>ROUND(('TE BE'!$AB$40+'TE BF'!$AB$40+'TE CVA'!$AB$40),2)</f>
        <v>138.56</v>
      </c>
      <c r="T32" s="29">
        <v>0</v>
      </c>
      <c r="U32" s="29">
        <f ca="1">ROUND(('TUSD BE'!$AM$50),2)</f>
        <v>450.26</v>
      </c>
      <c r="V32" s="29">
        <f>ROUND(('TE BE'!$AB$40),2)</f>
        <v>129.31</v>
      </c>
    </row>
    <row r="33" spans="12:22" ht="11.25" customHeight="1" x14ac:dyDescent="0.25">
      <c r="L33" s="120"/>
      <c r="M33" s="120"/>
      <c r="N33" s="120"/>
      <c r="O33" s="31" t="s">
        <v>660</v>
      </c>
      <c r="P33" s="31" t="s">
        <v>645</v>
      </c>
      <c r="Q33" s="29">
        <v>0</v>
      </c>
      <c r="R33" s="29">
        <f ca="1">ROUND(('TUSD BE'!$AM$51+'TUSD BF'!$AM$51+'TUSD CVA'!$AM$51),2)</f>
        <v>292.70999999999998</v>
      </c>
      <c r="S33" s="29">
        <f>ROUND(('TE BE'!$AB$41+'TE BF'!$AB$41+'TE CVA'!$AB$41),2)</f>
        <v>151.15</v>
      </c>
      <c r="T33" s="29">
        <v>0</v>
      </c>
      <c r="U33" s="29">
        <f ca="1">ROUND(('TUSD BE'!$AM$51),2)</f>
        <v>491.19</v>
      </c>
      <c r="V33" s="29">
        <f>ROUND(('TE BE'!$AB$41),2)</f>
        <v>141.07</v>
      </c>
    </row>
    <row r="34" spans="12:22" ht="11.25" customHeight="1" x14ac:dyDescent="0.25">
      <c r="L34" s="118" t="s">
        <v>80</v>
      </c>
      <c r="M34" s="118" t="s">
        <v>661</v>
      </c>
      <c r="N34" s="31" t="s">
        <v>81</v>
      </c>
      <c r="O34" s="31" t="s">
        <v>645</v>
      </c>
      <c r="P34" s="31" t="s">
        <v>645</v>
      </c>
      <c r="Q34" s="29">
        <f ca="1">ROUND(('TUSD BE'!$AM$15+'TUSD BF'!$AM$15+'TUSD CVA'!$AM$15),2)</f>
        <v>4.55</v>
      </c>
      <c r="R34" s="29">
        <v>0</v>
      </c>
      <c r="S34" s="29">
        <v>0</v>
      </c>
      <c r="T34" s="29">
        <f ca="1">ROUND(('TUSD BE'!$AM$15),2)</f>
        <v>11.73</v>
      </c>
      <c r="U34" s="29">
        <v>0</v>
      </c>
      <c r="V34" s="29">
        <v>0</v>
      </c>
    </row>
    <row r="35" spans="12:22" ht="11.25" customHeight="1" x14ac:dyDescent="0.25">
      <c r="L35" s="120"/>
      <c r="M35" s="120"/>
      <c r="N35" s="31" t="s">
        <v>82</v>
      </c>
      <c r="O35" s="31" t="s">
        <v>645</v>
      </c>
      <c r="P35" s="31" t="s">
        <v>645</v>
      </c>
      <c r="Q35" s="29">
        <f ca="1">ROUND(('TUSD BE'!$AM$16+'TUSD BF'!$AM$16+'TUSD CVA'!$AM$16),2)</f>
        <v>11.8</v>
      </c>
      <c r="R35" s="29">
        <v>0</v>
      </c>
      <c r="S35" s="29">
        <v>0</v>
      </c>
      <c r="T35" s="29">
        <f ca="1">ROUND(('TUSD BE'!$AM$16),2)</f>
        <v>30.49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A063-EE2B-4FB2-9C45-770A94AA02AE}">
  <sheetPr codeName="Planilha21"/>
  <dimension ref="A1:AN601"/>
  <sheetViews>
    <sheetView showGridLines="0" workbookViewId="0">
      <selection sqref="A1:O601 Q1:AJ13"/>
    </sheetView>
  </sheetViews>
  <sheetFormatPr defaultColWidth="9.140625"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10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.85546875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3" t="s">
        <v>8</v>
      </c>
      <c r="J1" s="30" t="s">
        <v>608</v>
      </c>
      <c r="K1" s="30" t="s">
        <v>609</v>
      </c>
      <c r="L1" s="30" t="s">
        <v>610</v>
      </c>
      <c r="M1" s="30" t="s">
        <v>611</v>
      </c>
      <c r="N1" s="30" t="s">
        <v>612</v>
      </c>
      <c r="O1" s="30" t="s">
        <v>613</v>
      </c>
      <c r="P1" s="7"/>
      <c r="Q1" s="112" t="s">
        <v>614</v>
      </c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L1" s="34" t="s">
        <v>635</v>
      </c>
      <c r="AM1" s="34" t="s">
        <v>58</v>
      </c>
      <c r="AN1" s="34" t="s">
        <v>636</v>
      </c>
    </row>
    <row r="2" spans="1:40" ht="11.25" customHeight="1" x14ac:dyDescent="0.2">
      <c r="A2" s="35" t="s">
        <v>21</v>
      </c>
      <c r="B2" s="35" t="s">
        <v>35</v>
      </c>
      <c r="C2" s="35" t="s">
        <v>52</v>
      </c>
      <c r="D2" s="35" t="s">
        <v>34</v>
      </c>
      <c r="E2" s="35" t="s">
        <v>25</v>
      </c>
      <c r="F2" s="35" t="s">
        <v>25</v>
      </c>
      <c r="G2" s="35" t="s">
        <v>25</v>
      </c>
      <c r="H2" s="35" t="s">
        <v>38</v>
      </c>
      <c r="I2" s="54">
        <v>44713</v>
      </c>
      <c r="J2" s="55">
        <f ca="1">EFEITO!$J$2*EFEITO!$Y$2</f>
        <v>30924.909167855458</v>
      </c>
      <c r="K2" s="55">
        <f ca="1">EFEITO!$L$2*EFEITO!$Z$2</f>
        <v>23163.159864871355</v>
      </c>
      <c r="L2" s="55">
        <f>EFEITO!$N$2*EFEITO!$AA$2</f>
        <v>56810.485297304273</v>
      </c>
      <c r="M2" s="55">
        <f ca="1">$J$2-EFEITO!$K$2*EFEITO!$Y$2</f>
        <v>0</v>
      </c>
      <c r="N2" s="55">
        <f ca="1">$K$2-EFEITO!$M$2*EFEITO!$Z$2</f>
        <v>0</v>
      </c>
      <c r="O2" s="55">
        <f>$L$2-EFEITO!$O$2*EFEITO!$AA$2</f>
        <v>0</v>
      </c>
      <c r="P2" s="39"/>
      <c r="Q2" s="28" t="s">
        <v>61</v>
      </c>
      <c r="R2" s="28" t="s">
        <v>616</v>
      </c>
      <c r="S2" s="28" t="s">
        <v>617</v>
      </c>
      <c r="T2" s="28" t="s">
        <v>618</v>
      </c>
      <c r="U2" s="28" t="s">
        <v>619</v>
      </c>
      <c r="V2" s="28" t="s">
        <v>620</v>
      </c>
      <c r="W2" s="28" t="s">
        <v>621</v>
      </c>
      <c r="X2" s="56" t="s">
        <v>622</v>
      </c>
      <c r="Y2" s="56" t="s">
        <v>623</v>
      </c>
      <c r="Z2" s="56" t="s">
        <v>624</v>
      </c>
      <c r="AA2" s="56" t="s">
        <v>625</v>
      </c>
      <c r="AB2" s="56" t="s">
        <v>626</v>
      </c>
      <c r="AC2" s="56" t="s">
        <v>627</v>
      </c>
      <c r="AD2" s="56" t="s">
        <v>628</v>
      </c>
      <c r="AE2" s="56" t="s">
        <v>629</v>
      </c>
      <c r="AF2" s="56" t="s">
        <v>630</v>
      </c>
      <c r="AG2" s="56" t="s">
        <v>631</v>
      </c>
      <c r="AH2" s="56" t="s">
        <v>632</v>
      </c>
      <c r="AI2" s="56" t="s">
        <v>633</v>
      </c>
      <c r="AJ2" s="56" t="s">
        <v>634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35</v>
      </c>
      <c r="C3" s="35" t="s">
        <v>52</v>
      </c>
      <c r="D3" s="35" t="s">
        <v>34</v>
      </c>
      <c r="E3" s="35" t="s">
        <v>25</v>
      </c>
      <c r="F3" s="35" t="s">
        <v>25</v>
      </c>
      <c r="G3" s="35" t="s">
        <v>25</v>
      </c>
      <c r="H3" s="35" t="s">
        <v>37</v>
      </c>
      <c r="I3" s="54">
        <v>44713</v>
      </c>
      <c r="J3" s="55">
        <f ca="1">EFEITO!$J$3*EFEITO!$Y$3</f>
        <v>15524.036771529911</v>
      </c>
      <c r="K3" s="55">
        <f ca="1">EFEITO!$L$3*EFEITO!$Z$3</f>
        <v>1505.3085408800196</v>
      </c>
      <c r="L3" s="55">
        <f>EFEITO!$N$3*EFEITO!$AA$3</f>
        <v>3691.9534825325895</v>
      </c>
      <c r="M3" s="55">
        <f ca="1">$J$3-EFEITO!$K$3*EFEITO!$Y$3</f>
        <v>0</v>
      </c>
      <c r="N3" s="55">
        <f ca="1">$K$3-EFEITO!$M$3*EFEITO!$Z$3</f>
        <v>0</v>
      </c>
      <c r="O3" s="55">
        <f>$L$3-EFEITO!$O$3*EFEITO!$AA$3</f>
        <v>0</v>
      </c>
      <c r="P3" s="39"/>
      <c r="Q3" s="55" t="s">
        <v>615</v>
      </c>
      <c r="R3" s="55">
        <f>SUMIF($B$2:$B$601,$Q$3,$J$2:$J$601)</f>
        <v>0</v>
      </c>
      <c r="S3" s="55">
        <f>SUMIF($B$2:$B$601,$Q$3,$K$2:$K$601)</f>
        <v>0</v>
      </c>
      <c r="T3" s="55">
        <f>SUMIF($B$2:$B$601,$Q$3,$L$2:$L$601)</f>
        <v>0</v>
      </c>
      <c r="U3" s="55">
        <f>SUMIF($B$2:$B$601,$Q$3,$M$2:$M$601)</f>
        <v>0</v>
      </c>
      <c r="V3" s="55">
        <f>SUMIF($B$2:$B$601,$Q$3,$N$2:$N$601)</f>
        <v>0</v>
      </c>
      <c r="W3" s="55">
        <f>SUMIF($B$2:$B$601,$Q$3,$O$2:$O$601)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SUMIF(EFEITO!$B$2:$B$601,$Q$3,EFEITO!$AE$2:$AE$601)</f>
        <v>0</v>
      </c>
      <c r="AB3" s="36">
        <f>SUMIF(EFEITO!$B$2:$B$601,$Q$3,EFEITO!$AF$2:$AF$601)</f>
        <v>0</v>
      </c>
      <c r="AC3" s="36">
        <f>SUMIF(EFEITO!$B$2:$B$601,$Q$3,EFEITO!$AG$2:$AH$601)</f>
        <v>0</v>
      </c>
      <c r="AD3" s="36">
        <f>SUMIF(SUBSIDIO!$B$2:$B$601,$Q$3,SUBSIDIO!$AD$2:$AD$601)</f>
        <v>0</v>
      </c>
      <c r="AE3" s="36">
        <f>SUMIF(SUBSIDIO!$B$2:$B$601,$Q$3,SUBSIDIO!$AE$2:$AE$601)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28</v>
      </c>
      <c r="B4" s="35" t="s">
        <v>35</v>
      </c>
      <c r="C4" s="35" t="s">
        <v>52</v>
      </c>
      <c r="D4" s="35" t="s">
        <v>41</v>
      </c>
      <c r="E4" s="35" t="s">
        <v>25</v>
      </c>
      <c r="F4" s="35" t="s">
        <v>25</v>
      </c>
      <c r="G4" s="35" t="s">
        <v>25</v>
      </c>
      <c r="H4" s="35" t="s">
        <v>38</v>
      </c>
      <c r="I4" s="54">
        <v>44593</v>
      </c>
      <c r="J4" s="55">
        <f ca="1">EFEITO!$J$4*EFEITO!$Y$2</f>
        <v>3865.6136459819322</v>
      </c>
      <c r="K4" s="55">
        <f ca="1">EFEITO!$L$4*EFEITO!$Z$2</f>
        <v>0</v>
      </c>
      <c r="L4" s="55">
        <f>EFEITO!$N$4*EFEITO!$AA$2</f>
        <v>0</v>
      </c>
      <c r="M4" s="55">
        <f ca="1">$J$4-EFEITO!$K$4*EFEITO!$Y$4</f>
        <v>77.312272919638417</v>
      </c>
      <c r="N4" s="55">
        <f ca="1">$K$4-EFEITO!$M$4*EFEITO!$Z$4</f>
        <v>0</v>
      </c>
      <c r="O4" s="55">
        <f>$L$4-EFEITO!$O$4*EFEITO!$AA$4</f>
        <v>0</v>
      </c>
      <c r="P4" s="39"/>
      <c r="Q4" s="55" t="s">
        <v>492</v>
      </c>
      <c r="R4" s="55">
        <f>SUMIF($B$2:$B$601,$Q$4,$J$2:$J$601)</f>
        <v>0</v>
      </c>
      <c r="S4" s="55">
        <f>SUMIF($B$2:$B$601,$Q$4,$K$2:$K$601)</f>
        <v>0</v>
      </c>
      <c r="T4" s="55">
        <f>SUMIF($B$2:$B$601,$Q$4,$L$2:$L$601)</f>
        <v>0</v>
      </c>
      <c r="U4" s="55">
        <f>SUMIF($B$2:$B$601,$Q$4,$M$2:$M$601)</f>
        <v>0</v>
      </c>
      <c r="V4" s="55">
        <f>SUMIF($B$2:$B$601,$Q$4,$N$2:$N$601)</f>
        <v>0</v>
      </c>
      <c r="W4" s="55">
        <f>SUMIF($B$2:$B$601,$Q$4,$O$2:$O$601)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SUMIF(EFEITO!$B$2:$B$601,$Q$4,EFEITO!$AE$2:$AE$601)</f>
        <v>0</v>
      </c>
      <c r="AB4" s="36">
        <f>SUMIF(EFEITO!$B$2:$B$601,$Q$4,EFEITO!$AF$2:$AF$601)</f>
        <v>0</v>
      </c>
      <c r="AC4" s="36">
        <f>SUMIF(EFEITO!$B$2:$B$601,$Q$4,EFEITO!$AG$2:$AH$601)</f>
        <v>0</v>
      </c>
      <c r="AD4" s="36">
        <f>SUMIF(SUBSIDIO!$B$2:$B$601,$Q$4,SUBSIDIO!$AD$2:$AD$601)</f>
        <v>0</v>
      </c>
      <c r="AE4" s="36">
        <f>SUMIF(SUBSIDIO!$B$2:$B$601,$Q$4,SUBSIDIO!$AE$2:$AE$601)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28</v>
      </c>
      <c r="B5" s="35" t="s">
        <v>35</v>
      </c>
      <c r="C5" s="35" t="s">
        <v>52</v>
      </c>
      <c r="D5" s="35" t="s">
        <v>41</v>
      </c>
      <c r="E5" s="35" t="s">
        <v>25</v>
      </c>
      <c r="F5" s="35" t="s">
        <v>25</v>
      </c>
      <c r="G5" s="35" t="s">
        <v>25</v>
      </c>
      <c r="H5" s="35" t="s">
        <v>38</v>
      </c>
      <c r="I5" s="54">
        <v>44621</v>
      </c>
      <c r="J5" s="55">
        <f ca="1">EFEITO!$J$5*EFEITO!$Y$2</f>
        <v>3556.3645543033776</v>
      </c>
      <c r="K5" s="55">
        <f ca="1">EFEITO!$L$5*EFEITO!$Z$2</f>
        <v>0</v>
      </c>
      <c r="L5" s="55">
        <f>EFEITO!$N$5*EFEITO!$AA$2</f>
        <v>0</v>
      </c>
      <c r="M5" s="55">
        <f ca="1">$J$5-EFEITO!$K$5*EFEITO!$Y$5</f>
        <v>71.127291086067544</v>
      </c>
      <c r="N5" s="55">
        <f ca="1">$K$5-EFEITO!$M$5*EFEITO!$Z$5</f>
        <v>0</v>
      </c>
      <c r="O5" s="55">
        <f>$L$5-EFEITO!$O$5*EFEITO!$AA$5</f>
        <v>0</v>
      </c>
      <c r="P5" s="39"/>
      <c r="Q5" s="55" t="s">
        <v>493</v>
      </c>
      <c r="R5" s="55">
        <f>SUMIF($B$2:$B$601,$Q$5,$J$2:$J$601)</f>
        <v>0</v>
      </c>
      <c r="S5" s="55">
        <f>SUMIF($B$2:$B$601,$Q$5,$K$2:$K$601)</f>
        <v>0</v>
      </c>
      <c r="T5" s="55">
        <f>SUMIF($B$2:$B$601,$Q$5,$L$2:$L$601)</f>
        <v>0</v>
      </c>
      <c r="U5" s="55">
        <f>SUMIF($B$2:$B$601,$Q$5,$M$2:$M$601)</f>
        <v>0</v>
      </c>
      <c r="V5" s="55">
        <f>SUMIF($B$2:$B$601,$Q$5,$N$2:$N$601)</f>
        <v>0</v>
      </c>
      <c r="W5" s="55">
        <f>SUMIF($B$2:$B$601,$Q$5,$O$2:$O$601)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SUMIF(EFEITO!$B$2:$B$601,$Q$5,EFEITO!$AE$2:$AE$601)</f>
        <v>0</v>
      </c>
      <c r="AB5" s="36">
        <f>SUMIF(EFEITO!$B$2:$B$601,$Q$5,EFEITO!$AF$2:$AF$601)</f>
        <v>0</v>
      </c>
      <c r="AC5" s="36">
        <f>SUMIF(EFEITO!$B$2:$B$601,$Q$5,EFEITO!$AG$2:$AH$601)</f>
        <v>0</v>
      </c>
      <c r="AD5" s="36">
        <f>SUMIF(SUBSIDIO!$B$2:$B$601,$Q$5,SUBSIDIO!$AD$2:$AD$601)</f>
        <v>0</v>
      </c>
      <c r="AE5" s="36">
        <f>SUMIF(SUBSIDIO!$B$2:$B$601,$Q$5,SUBSIDIO!$AE$2:$AE$601)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28</v>
      </c>
      <c r="B6" s="35" t="s">
        <v>35</v>
      </c>
      <c r="C6" s="35" t="s">
        <v>52</v>
      </c>
      <c r="D6" s="35" t="s">
        <v>41</v>
      </c>
      <c r="E6" s="35" t="s">
        <v>25</v>
      </c>
      <c r="F6" s="35" t="s">
        <v>25</v>
      </c>
      <c r="G6" s="35" t="s">
        <v>25</v>
      </c>
      <c r="H6" s="35" t="s">
        <v>38</v>
      </c>
      <c r="I6" s="54">
        <v>44621</v>
      </c>
      <c r="J6" s="55">
        <f ca="1">EFEITO!$J$6*EFEITO!$Y$2</f>
        <v>-257.70757639879548</v>
      </c>
      <c r="K6" s="55">
        <f ca="1">EFEITO!$L$6*EFEITO!$Z$2</f>
        <v>0</v>
      </c>
      <c r="L6" s="55">
        <f>EFEITO!$N$6*EFEITO!$AA$2</f>
        <v>0</v>
      </c>
      <c r="M6" s="55">
        <f ca="1">$J$6-EFEITO!$K$6*EFEITO!$Y$6</f>
        <v>-5.1541515279758983</v>
      </c>
      <c r="N6" s="55">
        <f ca="1">$K$6-EFEITO!$M$6*EFEITO!$Z$6</f>
        <v>0</v>
      </c>
      <c r="O6" s="55">
        <f>$L$6-EFEITO!$O$6*EFEITO!$AA$6</f>
        <v>0</v>
      </c>
      <c r="P6" s="39"/>
      <c r="Q6" s="55" t="s">
        <v>494</v>
      </c>
      <c r="R6" s="55">
        <f>SUMIF($B$2:$B$601,$Q$6,$J$2:$J$601)</f>
        <v>0</v>
      </c>
      <c r="S6" s="55">
        <f>SUMIF($B$2:$B$601,$Q$6,$K$2:$K$601)</f>
        <v>0</v>
      </c>
      <c r="T6" s="55">
        <f>SUMIF($B$2:$B$601,$Q$6,$L$2:$L$601)</f>
        <v>0</v>
      </c>
      <c r="U6" s="55">
        <f>SUMIF($B$2:$B$601,$Q$6,$M$2:$M$601)</f>
        <v>0</v>
      </c>
      <c r="V6" s="55">
        <f>SUMIF($B$2:$B$601,$Q$6,$N$2:$N$601)</f>
        <v>0</v>
      </c>
      <c r="W6" s="55">
        <f>SUMIF($B$2:$B$601,$Q$6,$O$2:$O$601)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SUMIF(EFEITO!$B$2:$B$601,$Q$6,EFEITO!$AE$2:$AE$601)</f>
        <v>0</v>
      </c>
      <c r="AB6" s="36">
        <f>SUMIF(EFEITO!$B$2:$B$601,$Q$6,EFEITO!$AF$2:$AF$601)</f>
        <v>0</v>
      </c>
      <c r="AC6" s="36">
        <f>SUMIF(EFEITO!$B$2:$B$601,$Q$6,EFEITO!$AG$2:$AH$601)</f>
        <v>0</v>
      </c>
      <c r="AD6" s="36">
        <f>SUMIF(SUBSIDIO!$B$2:$B$601,$Q$6,SUBSIDIO!$AD$2:$AD$601)</f>
        <v>0</v>
      </c>
      <c r="AE6" s="36">
        <f>SUMIF(SUBSIDIO!$B$2:$B$601,$Q$6,SUBSIDIO!$AE$2:$AE$601)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28</v>
      </c>
      <c r="B7" s="35" t="s">
        <v>35</v>
      </c>
      <c r="C7" s="35" t="s">
        <v>52</v>
      </c>
      <c r="D7" s="35" t="s">
        <v>41</v>
      </c>
      <c r="E7" s="35" t="s">
        <v>25</v>
      </c>
      <c r="F7" s="35" t="s">
        <v>25</v>
      </c>
      <c r="G7" s="35" t="s">
        <v>25</v>
      </c>
      <c r="H7" s="35" t="s">
        <v>38</v>
      </c>
      <c r="I7" s="54">
        <v>44652</v>
      </c>
      <c r="J7" s="55">
        <f ca="1">EFEITO!$J$7*EFEITO!$Y$2</f>
        <v>3350.1984931843413</v>
      </c>
      <c r="K7" s="55">
        <f ca="1">EFEITO!$L$7*EFEITO!$Z$2</f>
        <v>0</v>
      </c>
      <c r="L7" s="55">
        <f>EFEITO!$N$7*EFEITO!$AA$2</f>
        <v>0</v>
      </c>
      <c r="M7" s="55">
        <f ca="1">$J$7-EFEITO!$K$7*EFEITO!$Y$7</f>
        <v>67.003969863686962</v>
      </c>
      <c r="N7" s="55">
        <f ca="1">$K$7-EFEITO!$M$7*EFEITO!$Z$7</f>
        <v>0</v>
      </c>
      <c r="O7" s="55">
        <f>$L$7-EFEITO!$O$7*EFEITO!$AA$7</f>
        <v>0</v>
      </c>
      <c r="P7" s="39"/>
      <c r="Q7" s="55" t="s">
        <v>35</v>
      </c>
      <c r="R7" s="55">
        <f ca="1">SUMIF($B$2:$B$601,$Q$7,$J$2:$J$601)</f>
        <v>5714943.6732847011</v>
      </c>
      <c r="S7" s="55">
        <f ca="1">SUMIF($B$2:$B$601,$Q$7,$K$2:$K$601)</f>
        <v>3053664.510180885</v>
      </c>
      <c r="T7" s="55">
        <f>SUMIF($B$2:$B$601,$Q$7,$L$2:$L$601)</f>
        <v>3874291.6458584787</v>
      </c>
      <c r="U7" s="55">
        <f ca="1">SUMIF($B$2:$B$601,$Q$7,$M$2:$M$601)</f>
        <v>239572.38720031324</v>
      </c>
      <c r="V7" s="55">
        <f ca="1">SUMIF($B$2:$B$601,$Q$7,$N$2:$N$601)</f>
        <v>153337.97365514265</v>
      </c>
      <c r="W7" s="55">
        <f>SUMIF($B$2:$B$601,$Q$7,$O$2:$O$601)</f>
        <v>348774.36375807779</v>
      </c>
      <c r="X7" s="36">
        <f ca="1">$R$7-$U$7</f>
        <v>5475371.2860843875</v>
      </c>
      <c r="Y7" s="36">
        <f ca="1">$S$7-$V$7</f>
        <v>2900326.5365257422</v>
      </c>
      <c r="Z7" s="36">
        <f>$T$7-$W$7</f>
        <v>3525517.2821004009</v>
      </c>
      <c r="AA7" s="36">
        <f ca="1">SUMIF(EFEITO!$B$2:$B$601,$Q$7,EFEITO!$AE$2:$AE$601)</f>
        <v>5475371.2860843856</v>
      </c>
      <c r="AB7" s="36">
        <f ca="1">SUMIF(EFEITO!$B$2:$B$601,$Q$7,EFEITO!$AF$2:$AF$601)</f>
        <v>2900326.5365257417</v>
      </c>
      <c r="AC7" s="36">
        <f>SUMIF(EFEITO!$B$2:$B$601,$Q$7,EFEITO!$AG$2:$AH$601)</f>
        <v>3525517.2821004009</v>
      </c>
      <c r="AD7" s="36">
        <f ca="1">SUMIF(SUBSIDIO!$B$2:$B$601,$Q$7,SUBSIDIO!$AD$2:$AD$601)</f>
        <v>239572.3872003131</v>
      </c>
      <c r="AE7" s="36">
        <f ca="1">SUMIF(SUBSIDIO!$B$2:$B$601,$Q$7,SUBSIDIO!$AE$2:$AE$601)</f>
        <v>502112.33741322026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28</v>
      </c>
      <c r="B8" s="35" t="s">
        <v>35</v>
      </c>
      <c r="C8" s="35" t="s">
        <v>52</v>
      </c>
      <c r="D8" s="35" t="s">
        <v>41</v>
      </c>
      <c r="E8" s="35" t="s">
        <v>25</v>
      </c>
      <c r="F8" s="35" t="s">
        <v>25</v>
      </c>
      <c r="G8" s="35" t="s">
        <v>25</v>
      </c>
      <c r="H8" s="35" t="s">
        <v>38</v>
      </c>
      <c r="I8" s="54">
        <v>44682</v>
      </c>
      <c r="J8" s="55">
        <f ca="1">EFEITO!$J$8*EFEITO!$Y$2</f>
        <v>4793.3609210175964</v>
      </c>
      <c r="K8" s="55">
        <f ca="1">EFEITO!$L$8*EFEITO!$Z$2</f>
        <v>1116.8351937897273</v>
      </c>
      <c r="L8" s="55">
        <f>EFEITO!$N$8*EFEITO!$AA$2</f>
        <v>2739.1750402986586</v>
      </c>
      <c r="M8" s="55">
        <f ca="1">$J$8-EFEITO!$K$8*EFEITO!$Y$8</f>
        <v>95.867218420352401</v>
      </c>
      <c r="N8" s="55">
        <f ca="1">$K$8-EFEITO!$M$8*EFEITO!$Z$8</f>
        <v>22.336703875794683</v>
      </c>
      <c r="O8" s="55">
        <f>$L$8-EFEITO!$O$8*EFEITO!$AA$8</f>
        <v>54.78350080597329</v>
      </c>
      <c r="P8" s="39"/>
      <c r="Q8" s="55" t="s">
        <v>495</v>
      </c>
      <c r="R8" s="55">
        <f>SUMIF($B$2:$B$601,$Q$8,$J$2:$J$601)</f>
        <v>0</v>
      </c>
      <c r="S8" s="55">
        <f>SUMIF($B$2:$B$601,$Q$8,$K$2:$K$601)</f>
        <v>0</v>
      </c>
      <c r="T8" s="55">
        <f>SUMIF($B$2:$B$601,$Q$8,$L$2:$L$601)</f>
        <v>0</v>
      </c>
      <c r="U8" s="55">
        <f>SUMIF($B$2:$B$601,$Q$8,$M$2:$M$601)</f>
        <v>0</v>
      </c>
      <c r="V8" s="55">
        <f>SUMIF($B$2:$B$601,$Q$8,$N$2:$N$601)</f>
        <v>0</v>
      </c>
      <c r="W8" s="55">
        <f>SUMIF($B$2:$B$601,$Q$8,$O$2:$O$601)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SUMIF(EFEITO!$B$2:$B$601,$Q$8,EFEITO!$AE$2:$AE$601)</f>
        <v>0</v>
      </c>
      <c r="AB8" s="36">
        <f>SUMIF(EFEITO!$B$2:$B$601,$Q$8,EFEITO!$AF$2:$AF$601)</f>
        <v>0</v>
      </c>
      <c r="AC8" s="36">
        <f>SUMIF(EFEITO!$B$2:$B$601,$Q$8,EFEITO!$AG$2:$AH$601)</f>
        <v>0</v>
      </c>
      <c r="AD8" s="36">
        <f>SUMIF(SUBSIDIO!$B$2:$B$601,$Q$8,SUBSIDIO!$AD$2:$AD$601)</f>
        <v>0</v>
      </c>
      <c r="AE8" s="36">
        <f>SUMIF(SUBSIDIO!$B$2:$B$601,$Q$8,SUBSIDIO!$AE$2:$AE$601)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28</v>
      </c>
      <c r="B9" s="35" t="s">
        <v>35</v>
      </c>
      <c r="C9" s="35" t="s">
        <v>52</v>
      </c>
      <c r="D9" s="35" t="s">
        <v>41</v>
      </c>
      <c r="E9" s="35" t="s">
        <v>25</v>
      </c>
      <c r="F9" s="35" t="s">
        <v>25</v>
      </c>
      <c r="G9" s="35" t="s">
        <v>25</v>
      </c>
      <c r="H9" s="35" t="s">
        <v>38</v>
      </c>
      <c r="I9" s="54">
        <v>44713</v>
      </c>
      <c r="J9" s="55">
        <f ca="1">EFEITO!$J$9*EFEITO!$Y$2</f>
        <v>2886.3248556665094</v>
      </c>
      <c r="K9" s="55">
        <f ca="1">EFEITO!$L$9*EFEITO!$Z$2</f>
        <v>791.32698730396942</v>
      </c>
      <c r="L9" s="55">
        <f>EFEITO!$N$9*EFEITO!$AA$2</f>
        <v>1940.8263138472241</v>
      </c>
      <c r="M9" s="55">
        <f ca="1">$J$9-EFEITO!$K$9*EFEITO!$Y$9</f>
        <v>57.72649711332997</v>
      </c>
      <c r="N9" s="55">
        <f ca="1">$K$9-EFEITO!$M$9*EFEITO!$Z$9</f>
        <v>15.826539746079447</v>
      </c>
      <c r="O9" s="55">
        <f>$L$9-EFEITO!$O$9*EFEITO!$AA$9</f>
        <v>38.816526276944614</v>
      </c>
      <c r="P9" s="39"/>
      <c r="Q9" s="55" t="s">
        <v>22</v>
      </c>
      <c r="R9" s="55">
        <f>SUMIF($B$2:$B$601,$Q$9,$J$2:$J$601)</f>
        <v>0</v>
      </c>
      <c r="S9" s="55">
        <f ca="1">SUMIF($B$2:$B$601,$Q$9,$K$2:$K$601)</f>
        <v>7002123.8443720108</v>
      </c>
      <c r="T9" s="55">
        <f>SUMIF($B$2:$B$601,$Q$9,$L$2:$L$601)</f>
        <v>3651213.5127319922</v>
      </c>
      <c r="U9" s="55">
        <f>SUMIF($B$2:$B$601,$Q$9,$M$2:$M$601)</f>
        <v>0</v>
      </c>
      <c r="V9" s="55">
        <f ca="1">SUMIF($B$2:$B$601,$Q$9,$N$2:$N$601)</f>
        <v>89222.986809581038</v>
      </c>
      <c r="W9" s="55">
        <f>SUMIF($B$2:$B$601,$Q$9,$O$2:$O$601)</f>
        <v>58161.02417653257</v>
      </c>
      <c r="X9" s="36">
        <f>$R$9-$U$9</f>
        <v>0</v>
      </c>
      <c r="Y9" s="36">
        <f ca="1">$S$9-$V$9</f>
        <v>6912900.8575624302</v>
      </c>
      <c r="Z9" s="36">
        <f>$T$9-$W$9</f>
        <v>3593052.4885554598</v>
      </c>
      <c r="AA9" s="36">
        <f>SUMIF(EFEITO!$B$2:$B$601,$Q$9,EFEITO!$AE$2:$AE$601)</f>
        <v>0</v>
      </c>
      <c r="AB9" s="36">
        <f ca="1">SUMIF(EFEITO!$B$2:$B$601,$Q$9,EFEITO!$AF$2:$AF$601)</f>
        <v>6912900.8575624339</v>
      </c>
      <c r="AC9" s="36">
        <f>SUMIF(EFEITO!$B$2:$B$601,$Q$9,EFEITO!$AG$2:$AH$601)</f>
        <v>3593052.4885554616</v>
      </c>
      <c r="AD9" s="36">
        <f>SUMIF(SUBSIDIO!$B$2:$B$601,$Q$9,SUBSIDIO!$AD$2:$AD$601)</f>
        <v>0</v>
      </c>
      <c r="AE9" s="36">
        <f ca="1">SUMIF(SUBSIDIO!$B$2:$B$601,$Q$9,SUBSIDIO!$AE$2:$AE$601)</f>
        <v>147384.01098611357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28</v>
      </c>
      <c r="B10" s="35" t="s">
        <v>35</v>
      </c>
      <c r="C10" s="35" t="s">
        <v>52</v>
      </c>
      <c r="D10" s="35" t="s">
        <v>41</v>
      </c>
      <c r="E10" s="35" t="s">
        <v>25</v>
      </c>
      <c r="F10" s="35" t="s">
        <v>25</v>
      </c>
      <c r="G10" s="35" t="s">
        <v>25</v>
      </c>
      <c r="H10" s="35" t="s">
        <v>37</v>
      </c>
      <c r="I10" s="54">
        <v>44593</v>
      </c>
      <c r="J10" s="55">
        <f ca="1">EFEITO!$J$10*EFEITO!$Y$3</f>
        <v>4831.1317753723788</v>
      </c>
      <c r="K10" s="55">
        <f ca="1">EFEITO!$L$10*EFEITO!$Z$3</f>
        <v>0</v>
      </c>
      <c r="L10" s="55">
        <f>EFEITO!$N$10*EFEITO!$AA$3</f>
        <v>0</v>
      </c>
      <c r="M10" s="55">
        <f ca="1">$J$10-EFEITO!$K$10*EFEITO!$Y$10</f>
        <v>96.62263550744774</v>
      </c>
      <c r="N10" s="55">
        <f ca="1">$K$10-EFEITO!$M$10*EFEITO!$Z$10</f>
        <v>0</v>
      </c>
      <c r="O10" s="55">
        <f>$L$10-EFEITO!$O$10*EFEITO!$AA$10</f>
        <v>0</v>
      </c>
      <c r="P10" s="39"/>
      <c r="Q10" s="55" t="s">
        <v>40</v>
      </c>
      <c r="R10" s="55">
        <f>SUMIF($B$2:$B$601,$Q$10,$J$2:$J$601)</f>
        <v>0</v>
      </c>
      <c r="S10" s="55">
        <f ca="1">SUMIF($B$2:$B$601,$Q$10,$K$2:$K$601)</f>
        <v>23314952.915370088</v>
      </c>
      <c r="T10" s="55">
        <f>SUMIF($B$2:$B$601,$Q$10,$L$2:$L$601)</f>
        <v>12039609.697764646</v>
      </c>
      <c r="U10" s="55">
        <f>SUMIF($B$2:$B$601,$Q$10,$M$2:$M$601)</f>
        <v>0</v>
      </c>
      <c r="V10" s="55">
        <f ca="1">SUMIF($B$2:$B$601,$Q$10,$N$2:$N$601)</f>
        <v>1632751.8779383495</v>
      </c>
      <c r="W10" s="55">
        <f>SUMIF($B$2:$B$601,$Q$10,$O$2:$O$601)</f>
        <v>843136.82360949204</v>
      </c>
      <c r="X10" s="36">
        <f>$R$10-$U$10</f>
        <v>0</v>
      </c>
      <c r="Y10" s="36">
        <f ca="1">$S$10-$V$10</f>
        <v>21682201.037431739</v>
      </c>
      <c r="Z10" s="36">
        <f>$T$10-$W$10</f>
        <v>11196472.874155154</v>
      </c>
      <c r="AA10" s="36">
        <f>SUMIF(EFEITO!$B$2:$B$601,$Q$10,EFEITO!$AE$2:$AE$601)</f>
        <v>0</v>
      </c>
      <c r="AB10" s="36">
        <f ca="1">SUMIF(EFEITO!$B$2:$B$601,$Q$10,EFEITO!$AF$2:$AF$601)</f>
        <v>21682201.037431736</v>
      </c>
      <c r="AC10" s="36">
        <f>SUMIF(EFEITO!$B$2:$B$601,$Q$10,EFEITO!$AG$2:$AH$601)</f>
        <v>11196472.874155149</v>
      </c>
      <c r="AD10" s="36">
        <f>SUMIF(SUBSIDIO!$B$2:$B$601,$Q$10,SUBSIDIO!$AD$2:$AD$601)</f>
        <v>0</v>
      </c>
      <c r="AE10" s="36">
        <f ca="1">SUMIF(SUBSIDIO!$B$2:$B$601,$Q$10,SUBSIDIO!$AE$2:$AE$601)</f>
        <v>2475888.7015478415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28</v>
      </c>
      <c r="B11" s="35" t="s">
        <v>35</v>
      </c>
      <c r="C11" s="35" t="s">
        <v>52</v>
      </c>
      <c r="D11" s="35" t="s">
        <v>41</v>
      </c>
      <c r="E11" s="35" t="s">
        <v>25</v>
      </c>
      <c r="F11" s="35" t="s">
        <v>25</v>
      </c>
      <c r="G11" s="35" t="s">
        <v>25</v>
      </c>
      <c r="H11" s="35" t="s">
        <v>37</v>
      </c>
      <c r="I11" s="54">
        <v>44621</v>
      </c>
      <c r="J11" s="55">
        <f ca="1">EFEITO!$J$11*EFEITO!$Y$3</f>
        <v>1095.0565357510725</v>
      </c>
      <c r="K11" s="55">
        <f ca="1">EFEITO!$L$11*EFEITO!$Z$3</f>
        <v>0</v>
      </c>
      <c r="L11" s="55">
        <f>EFEITO!$N$11*EFEITO!$AA$3</f>
        <v>0</v>
      </c>
      <c r="M11" s="55">
        <f ca="1">$J$11-EFEITO!$K$11*EFEITO!$Y$11</f>
        <v>21.901130715021509</v>
      </c>
      <c r="N11" s="55">
        <f ca="1">$K$11-EFEITO!$M$11*EFEITO!$Z$11</f>
        <v>0</v>
      </c>
      <c r="O11" s="55">
        <f>$L$11-EFEITO!$O$11*EFEITO!$AA$11</f>
        <v>0</v>
      </c>
      <c r="P11" s="39"/>
      <c r="Q11" s="55" t="s">
        <v>33</v>
      </c>
      <c r="R11" s="55">
        <f>SUMIF($B$2:$B$601,$Q$11,$J$2:$J$601)</f>
        <v>0</v>
      </c>
      <c r="S11" s="55">
        <f ca="1">SUMIF($B$2:$B$601,$Q$11,$K$2:$K$601)</f>
        <v>4660069.0027014902</v>
      </c>
      <c r="T11" s="55">
        <f>SUMIF($B$2:$B$601,$Q$11,$L$2:$L$601)</f>
        <v>2406413.264518776</v>
      </c>
      <c r="U11" s="55">
        <f>SUMIF($B$2:$B$601,$Q$11,$M$2:$M$601)</f>
        <v>0</v>
      </c>
      <c r="V11" s="55">
        <f ca="1">SUMIF($B$2:$B$601,$Q$11,$N$2:$N$601)</f>
        <v>14827.378965449265</v>
      </c>
      <c r="W11" s="55">
        <f>SUMIF($B$2:$B$601,$Q$11,$O$2:$O$601)</f>
        <v>7656.7109628246544</v>
      </c>
      <c r="X11" s="36">
        <f>$R$11-$U$11</f>
        <v>0</v>
      </c>
      <c r="Y11" s="36">
        <f ca="1">$S$11-$V$11</f>
        <v>4645241.6237360407</v>
      </c>
      <c r="Z11" s="36">
        <f>$T$11-$W$11</f>
        <v>2398756.5535559515</v>
      </c>
      <c r="AA11" s="36">
        <f>SUMIF(EFEITO!$B$2:$B$601,$Q$11,EFEITO!$AE$2:$AE$601)</f>
        <v>0</v>
      </c>
      <c r="AB11" s="36">
        <f ca="1">SUMIF(EFEITO!$B$2:$B$601,$Q$11,EFEITO!$AF$2:$AF$601)</f>
        <v>4645241.6237360425</v>
      </c>
      <c r="AC11" s="36">
        <f>SUMIF(EFEITO!$B$2:$B$601,$Q$11,EFEITO!$AG$2:$AH$601)</f>
        <v>2398756.5535559515</v>
      </c>
      <c r="AD11" s="36">
        <f>SUMIF(SUBSIDIO!$B$2:$B$601,$Q$11,SUBSIDIO!$AD$2:$AD$601)</f>
        <v>0</v>
      </c>
      <c r="AE11" s="36">
        <f ca="1">SUMIF(SUBSIDIO!$B$2:$B$601,$Q$11,SUBSIDIO!$AE$2:$AE$601)</f>
        <v>22484.089928273901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28</v>
      </c>
      <c r="B12" s="35" t="s">
        <v>35</v>
      </c>
      <c r="C12" s="35" t="s">
        <v>52</v>
      </c>
      <c r="D12" s="35" t="s">
        <v>41</v>
      </c>
      <c r="E12" s="35" t="s">
        <v>25</v>
      </c>
      <c r="F12" s="35" t="s">
        <v>25</v>
      </c>
      <c r="G12" s="35" t="s">
        <v>25</v>
      </c>
      <c r="H12" s="35" t="s">
        <v>37</v>
      </c>
      <c r="I12" s="54">
        <v>44621</v>
      </c>
      <c r="J12" s="55">
        <f ca="1">EFEITO!$J$12*EFEITO!$Y$3</f>
        <v>-322.07545169149193</v>
      </c>
      <c r="K12" s="55">
        <f ca="1">EFEITO!$L$12*EFEITO!$Z$3</f>
        <v>0</v>
      </c>
      <c r="L12" s="55">
        <f>EFEITO!$N$12*EFEITO!$AA$3</f>
        <v>0</v>
      </c>
      <c r="M12" s="55">
        <f ca="1">$J$12-EFEITO!$K$12*EFEITO!$Y$12</f>
        <v>-6.4415090338299024</v>
      </c>
      <c r="N12" s="55">
        <f ca="1">$K$12-EFEITO!$M$12*EFEITO!$Z$12</f>
        <v>0</v>
      </c>
      <c r="O12" s="55">
        <f>$L$12-EFEITO!$O$12*EFEITO!$AA$12</f>
        <v>0</v>
      </c>
      <c r="P12" s="39"/>
      <c r="Q12" s="55" t="s">
        <v>43</v>
      </c>
      <c r="R12" s="55">
        <f>SUMIF($B$2:$B$601,$Q$12,$J$2:$J$601)</f>
        <v>0</v>
      </c>
      <c r="S12" s="55">
        <f ca="1">SUMIF($B$2:$B$601,$Q$12,$K$2:$K$601)</f>
        <v>1298786.1250779105</v>
      </c>
      <c r="T12" s="55">
        <f>SUMIF($B$2:$B$601,$Q$12,$L$2:$L$601)</f>
        <v>670680.23184819589</v>
      </c>
      <c r="U12" s="55">
        <f>SUMIF($B$2:$B$601,$Q$12,$M$2:$M$601)</f>
        <v>0</v>
      </c>
      <c r="V12" s="55">
        <f ca="1">SUMIF($B$2:$B$601,$Q$12,$N$2:$N$601)</f>
        <v>0</v>
      </c>
      <c r="W12" s="55">
        <f>SUMIF($B$2:$B$601,$Q$12,$O$2:$O$601)</f>
        <v>0</v>
      </c>
      <c r="X12" s="36">
        <f>$R$12-$U$12</f>
        <v>0</v>
      </c>
      <c r="Y12" s="36">
        <f ca="1">$S$12-$V$12</f>
        <v>1298786.1250779105</v>
      </c>
      <c r="Z12" s="36">
        <f>$T$12-$W$12</f>
        <v>670680.23184819589</v>
      </c>
      <c r="AA12" s="36">
        <f>SUMIF(EFEITO!$B$2:$B$601,$Q$12,EFEITO!$AE$2:$AE$601)</f>
        <v>0</v>
      </c>
      <c r="AB12" s="36">
        <f ca="1">SUMIF(EFEITO!$B$2:$B$601,$Q$12,EFEITO!$AF$2:$AF$601)</f>
        <v>1298786.1250779105</v>
      </c>
      <c r="AC12" s="36">
        <f>SUMIF(EFEITO!$B$2:$B$601,$Q$12,EFEITO!$AG$2:$AH$601)</f>
        <v>670680.23184819589</v>
      </c>
      <c r="AD12" s="36">
        <f>SUMIF(SUBSIDIO!$B$2:$B$601,$Q$12,SUBSIDIO!$AD$2:$AD$601)</f>
        <v>0</v>
      </c>
      <c r="AE12" s="36">
        <f>SUMIF(SUBSIDIO!$B$2:$B$601,$Q$12,SUBSIDIO!$AE$2:$AE$601)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28</v>
      </c>
      <c r="B13" s="35" t="s">
        <v>35</v>
      </c>
      <c r="C13" s="35" t="s">
        <v>52</v>
      </c>
      <c r="D13" s="35" t="s">
        <v>41</v>
      </c>
      <c r="E13" s="35" t="s">
        <v>25</v>
      </c>
      <c r="F13" s="35" t="s">
        <v>25</v>
      </c>
      <c r="G13" s="35" t="s">
        <v>25</v>
      </c>
      <c r="H13" s="35" t="s">
        <v>37</v>
      </c>
      <c r="I13" s="54">
        <v>44652</v>
      </c>
      <c r="J13" s="55">
        <f ca="1">EFEITO!$J$13*EFEITO!$Y$3</f>
        <v>708.56599372128221</v>
      </c>
      <c r="K13" s="55">
        <f ca="1">EFEITO!$L$13*EFEITO!$Z$3</f>
        <v>0</v>
      </c>
      <c r="L13" s="55">
        <f>EFEITO!$N$13*EFEITO!$AA$3</f>
        <v>0</v>
      </c>
      <c r="M13" s="55">
        <f ca="1">$J$13-EFEITO!$K$13*EFEITO!$Y$13</f>
        <v>14.171319874425649</v>
      </c>
      <c r="N13" s="55">
        <f ca="1">$K$13-EFEITO!$M$13*EFEITO!$Z$13</f>
        <v>0</v>
      </c>
      <c r="O13" s="55">
        <f>$L$13-EFEITO!$O$13*EFEITO!$AA$13</f>
        <v>0</v>
      </c>
      <c r="P13" s="39"/>
      <c r="Q13" s="55" t="s">
        <v>80</v>
      </c>
      <c r="R13" s="55">
        <f>SUMIF($B$2:$B$601,$Q$13,$J$2:$J$601)</f>
        <v>0</v>
      </c>
      <c r="S13" s="55">
        <f>SUMIF($B$2:$B$601,$Q$13,$K$2:$K$601)</f>
        <v>0</v>
      </c>
      <c r="T13" s="55">
        <f>SUMIF($B$2:$B$601,$Q$13,$L$2:$L$601)</f>
        <v>0</v>
      </c>
      <c r="U13" s="55">
        <f>SUMIF($B$2:$B$601,$Q$13,$M$2:$M$601)</f>
        <v>0</v>
      </c>
      <c r="V13" s="55">
        <f>SUMIF($B$2:$B$601,$Q$13,$N$2:$N$601)</f>
        <v>0</v>
      </c>
      <c r="W13" s="55">
        <f>SUMIF($B$2:$B$601,$Q$13,$O$2:$O$601)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SUMIF(EFEITO!$B$2:$B$601,$Q$13,EFEITO!$AE$2:$AE$601)</f>
        <v>0</v>
      </c>
      <c r="AB13" s="36">
        <f>SUMIF(EFEITO!$B$2:$B$601,$Q$13,EFEITO!$AF$2:$AF$601)</f>
        <v>0</v>
      </c>
      <c r="AC13" s="36">
        <f>SUMIF(EFEITO!$B$2:$B$601,$Q$13,EFEITO!$AG$2:$AH$601)</f>
        <v>0</v>
      </c>
      <c r="AD13" s="36">
        <f>SUMIF(SUBSIDIO!$B$2:$B$601,$Q$13,SUBSIDIO!$AD$2:$AD$601)</f>
        <v>0</v>
      </c>
      <c r="AE13" s="36">
        <f>SUMIF(SUBSIDIO!$B$2:$B$601,$Q$13,SUBSIDIO!$AE$2:$AE$601)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28</v>
      </c>
      <c r="B14" s="35" t="s">
        <v>35</v>
      </c>
      <c r="C14" s="35" t="s">
        <v>52</v>
      </c>
      <c r="D14" s="35" t="s">
        <v>41</v>
      </c>
      <c r="E14" s="35" t="s">
        <v>25</v>
      </c>
      <c r="F14" s="35" t="s">
        <v>25</v>
      </c>
      <c r="G14" s="35" t="s">
        <v>25</v>
      </c>
      <c r="H14" s="35" t="s">
        <v>37</v>
      </c>
      <c r="I14" s="54">
        <v>44682</v>
      </c>
      <c r="J14" s="55">
        <f ca="1">EFEITO!$J$14*EFEITO!$Y$3</f>
        <v>5153.207227063871</v>
      </c>
      <c r="K14" s="55">
        <f ca="1">EFEITO!$L$14*EFEITO!$Z$3</f>
        <v>115.55592688434132</v>
      </c>
      <c r="L14" s="55">
        <f>EFEITO!$N$14*EFEITO!$AA$3</f>
        <v>283.41505751273718</v>
      </c>
      <c r="M14" s="55">
        <f ca="1">$J$14-EFEITO!$K$14*EFEITO!$Y$14</f>
        <v>103.06414454127844</v>
      </c>
      <c r="N14" s="55">
        <f ca="1">$K$14-EFEITO!$M$14*EFEITO!$Z$14</f>
        <v>2.3111185376868235</v>
      </c>
      <c r="O14" s="55">
        <f>$L$14-EFEITO!$O$14*EFEITO!$AA$14</f>
        <v>5.6683011502547629</v>
      </c>
      <c r="P14" s="39"/>
      <c r="Q14" s="39"/>
      <c r="R14" s="39"/>
      <c r="S14" s="39"/>
      <c r="T14" s="39"/>
      <c r="U14" s="39"/>
      <c r="V14" s="39"/>
      <c r="W14" s="3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35" t="s">
        <v>28</v>
      </c>
      <c r="B15" s="35" t="s">
        <v>35</v>
      </c>
      <c r="C15" s="35" t="s">
        <v>52</v>
      </c>
      <c r="D15" s="35" t="s">
        <v>41</v>
      </c>
      <c r="E15" s="35" t="s">
        <v>25</v>
      </c>
      <c r="F15" s="35" t="s">
        <v>25</v>
      </c>
      <c r="G15" s="35" t="s">
        <v>25</v>
      </c>
      <c r="H15" s="35" t="s">
        <v>37</v>
      </c>
      <c r="I15" s="54">
        <v>44713</v>
      </c>
      <c r="J15" s="55">
        <f ca="1">EFEITO!$J$15*EFEITO!$Y$3</f>
        <v>1996.86780048725</v>
      </c>
      <c r="K15" s="55">
        <f ca="1">EFEITO!$L$15*EFEITO!$Z$3</f>
        <v>74.263942344336684</v>
      </c>
      <c r="L15" s="55">
        <f>EFEITO!$N$15*EFEITO!$AA$3</f>
        <v>182.14141029485242</v>
      </c>
      <c r="M15" s="55">
        <f ca="1">$J$15-EFEITO!$K$15*EFEITO!$Y$15</f>
        <v>39.937356009745145</v>
      </c>
      <c r="N15" s="55">
        <f ca="1">$K$15-EFEITO!$M$15*EFEITO!$Z$15</f>
        <v>1.4852788468867288</v>
      </c>
      <c r="O15" s="55">
        <f>$L$15-EFEITO!$O$15*EFEITO!$AA$15</f>
        <v>3.6428282058970751</v>
      </c>
      <c r="P15" s="39"/>
      <c r="Q15" s="39"/>
      <c r="R15" s="39"/>
      <c r="S15" s="39"/>
      <c r="T15" s="39"/>
      <c r="U15" s="39"/>
      <c r="V15" s="39"/>
      <c r="W15" s="39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35" t="s">
        <v>21</v>
      </c>
      <c r="B16" s="35" t="s">
        <v>35</v>
      </c>
      <c r="C16" s="35" t="s">
        <v>36</v>
      </c>
      <c r="D16" s="35" t="s">
        <v>39</v>
      </c>
      <c r="E16" s="35" t="s">
        <v>25</v>
      </c>
      <c r="F16" s="35" t="s">
        <v>25</v>
      </c>
      <c r="G16" s="35" t="s">
        <v>25</v>
      </c>
      <c r="H16" s="35" t="s">
        <v>38</v>
      </c>
      <c r="I16" s="54">
        <v>44378</v>
      </c>
      <c r="J16" s="55">
        <f>EFEITO!$J$16*EFEITO!$Y$16</f>
        <v>0</v>
      </c>
      <c r="K16" s="55">
        <f ca="1">EFEITO!$L$16*EFEITO!$Z$16</f>
        <v>21850.855400983048</v>
      </c>
      <c r="L16" s="55">
        <f>EFEITO!$N$16*EFEITO!$AA$16</f>
        <v>53591.897941941847</v>
      </c>
      <c r="M16" s="55">
        <f>$J$16-EFEITO!$K$16*EFEITO!$Y$16</f>
        <v>0</v>
      </c>
      <c r="N16" s="55">
        <f ca="1">$K$16-EFEITO!$M$16*EFEITO!$Z$16</f>
        <v>0</v>
      </c>
      <c r="O16" s="55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35" t="s">
        <v>28</v>
      </c>
      <c r="B17" s="35" t="s">
        <v>35</v>
      </c>
      <c r="C17" s="35" t="s">
        <v>36</v>
      </c>
      <c r="D17" s="35" t="s">
        <v>39</v>
      </c>
      <c r="E17" s="35" t="s">
        <v>25</v>
      </c>
      <c r="F17" s="35" t="s">
        <v>25</v>
      </c>
      <c r="G17" s="35" t="s">
        <v>25</v>
      </c>
      <c r="H17" s="35" t="s">
        <v>38</v>
      </c>
      <c r="I17" s="54">
        <v>44378</v>
      </c>
      <c r="J17" s="55">
        <f>EFEITO!$J$17*EFEITO!$Y$17</f>
        <v>0</v>
      </c>
      <c r="K17" s="55">
        <f ca="1">EFEITO!$L$17*EFEITO!$Z$17</f>
        <v>1583.8865711613716</v>
      </c>
      <c r="L17" s="55">
        <f>EFEITO!$N$17*EFEITO!$AA$17</f>
        <v>3884.6757216412507</v>
      </c>
      <c r="M17" s="55">
        <f>$J$17-EFEITO!$K$17*EFEITO!$Y$17</f>
        <v>0</v>
      </c>
      <c r="N17" s="55">
        <f ca="1">$K$17-EFEITO!$M$17*EFEITO!$Z$17</f>
        <v>0</v>
      </c>
      <c r="O17" s="55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35" t="s">
        <v>21</v>
      </c>
      <c r="B18" s="35" t="s">
        <v>35</v>
      </c>
      <c r="C18" s="35" t="s">
        <v>36</v>
      </c>
      <c r="D18" s="35" t="s">
        <v>39</v>
      </c>
      <c r="E18" s="35" t="s">
        <v>25</v>
      </c>
      <c r="F18" s="35" t="s">
        <v>25</v>
      </c>
      <c r="G18" s="35" t="s">
        <v>25</v>
      </c>
      <c r="H18" s="35" t="s">
        <v>38</v>
      </c>
      <c r="I18" s="54">
        <v>44409</v>
      </c>
      <c r="J18" s="55">
        <f>EFEITO!$J$18*EFEITO!$Y$18</f>
        <v>0</v>
      </c>
      <c r="K18" s="55">
        <f ca="1">EFEITO!$L$18*EFEITO!$Z$18</f>
        <v>27657.617764205792</v>
      </c>
      <c r="L18" s="55">
        <f>EFEITO!$N$18*EFEITO!$AA$18</f>
        <v>67833.693525328563</v>
      </c>
      <c r="M18" s="55">
        <f>$J$18-EFEITO!$K$18*EFEITO!$Y$18</f>
        <v>0</v>
      </c>
      <c r="N18" s="55">
        <f ca="1">$K$18-EFEITO!$M$18*EFEITO!$Z$18</f>
        <v>0</v>
      </c>
      <c r="O18" s="55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35" t="s">
        <v>21</v>
      </c>
      <c r="B19" s="35" t="s">
        <v>35</v>
      </c>
      <c r="C19" s="35" t="s">
        <v>36</v>
      </c>
      <c r="D19" s="35" t="s">
        <v>39</v>
      </c>
      <c r="E19" s="35" t="s">
        <v>25</v>
      </c>
      <c r="F19" s="35" t="s">
        <v>25</v>
      </c>
      <c r="G19" s="35" t="s">
        <v>25</v>
      </c>
      <c r="H19" s="35" t="s">
        <v>38</v>
      </c>
      <c r="I19" s="54">
        <v>44440</v>
      </c>
      <c r="J19" s="55">
        <f>EFEITO!$J$19*EFEITO!$Y$19</f>
        <v>0</v>
      </c>
      <c r="K19" s="55">
        <f ca="1">EFEITO!$L$19*EFEITO!$Z$19</f>
        <v>23319.596910777891</v>
      </c>
      <c r="L19" s="55">
        <f>EFEITO!$N$19*EFEITO!$AA$19</f>
        <v>57194.166304052625</v>
      </c>
      <c r="M19" s="55">
        <f>$J$19-EFEITO!$K$19*EFEITO!$Y$19</f>
        <v>0</v>
      </c>
      <c r="N19" s="55">
        <f ca="1">$K$19-EFEITO!$M$19*EFEITO!$Z$19</f>
        <v>0</v>
      </c>
      <c r="O19" s="55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35" t="s">
        <v>21</v>
      </c>
      <c r="B20" s="35" t="s">
        <v>35</v>
      </c>
      <c r="C20" s="35" t="s">
        <v>36</v>
      </c>
      <c r="D20" s="35" t="s">
        <v>39</v>
      </c>
      <c r="E20" s="35" t="s">
        <v>25</v>
      </c>
      <c r="F20" s="35" t="s">
        <v>25</v>
      </c>
      <c r="G20" s="35" t="s">
        <v>25</v>
      </c>
      <c r="H20" s="35" t="s">
        <v>38</v>
      </c>
      <c r="I20" s="54">
        <v>44470</v>
      </c>
      <c r="J20" s="55">
        <f>EFEITO!$J$20*EFEITO!$Y$20</f>
        <v>0</v>
      </c>
      <c r="K20" s="55">
        <f ca="1">EFEITO!$L$20*EFEITO!$Z$20</f>
        <v>23335.209800454708</v>
      </c>
      <c r="L20" s="55">
        <f>EFEITO!$N$20*EFEITO!$AA$20</f>
        <v>57232.458827378796</v>
      </c>
      <c r="M20" s="55">
        <f>$J$20-EFEITO!$K$20*EFEITO!$Y$20</f>
        <v>0</v>
      </c>
      <c r="N20" s="55">
        <f ca="1">$K$20-EFEITO!$M$20*EFEITO!$Z$20</f>
        <v>0</v>
      </c>
      <c r="O20" s="55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35" t="s">
        <v>21</v>
      </c>
      <c r="B21" s="35" t="s">
        <v>35</v>
      </c>
      <c r="C21" s="35" t="s">
        <v>36</v>
      </c>
      <c r="D21" s="35" t="s">
        <v>39</v>
      </c>
      <c r="E21" s="35" t="s">
        <v>25</v>
      </c>
      <c r="F21" s="35" t="s">
        <v>25</v>
      </c>
      <c r="G21" s="35" t="s">
        <v>25</v>
      </c>
      <c r="H21" s="35" t="s">
        <v>38</v>
      </c>
      <c r="I21" s="54">
        <v>44501</v>
      </c>
      <c r="J21" s="55">
        <f>EFEITO!$J$21*EFEITO!$Y$21</f>
        <v>0</v>
      </c>
      <c r="K21" s="55">
        <f ca="1">EFEITO!$L$21*EFEITO!$Z$21</f>
        <v>27902.082747303328</v>
      </c>
      <c r="L21" s="55">
        <f>EFEITO!$N$21*EFEITO!$AA$21</f>
        <v>68433.273824777731</v>
      </c>
      <c r="M21" s="55">
        <f>$J$21-EFEITO!$K$21*EFEITO!$Y$21</f>
        <v>0</v>
      </c>
      <c r="N21" s="55">
        <f ca="1">$K$21-EFEITO!$M$21*EFEITO!$Z$21</f>
        <v>0</v>
      </c>
      <c r="O21" s="55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35" t="s">
        <v>28</v>
      </c>
      <c r="B22" s="35" t="s">
        <v>35</v>
      </c>
      <c r="C22" s="35" t="s">
        <v>36</v>
      </c>
      <c r="D22" s="35" t="s">
        <v>39</v>
      </c>
      <c r="E22" s="35" t="s">
        <v>25</v>
      </c>
      <c r="F22" s="35" t="s">
        <v>25</v>
      </c>
      <c r="G22" s="35" t="s">
        <v>25</v>
      </c>
      <c r="H22" s="35" t="s">
        <v>38</v>
      </c>
      <c r="I22" s="54">
        <v>44501</v>
      </c>
      <c r="J22" s="55">
        <f>EFEITO!$J$22*EFEITO!$Y$22</f>
        <v>0</v>
      </c>
      <c r="K22" s="55">
        <f ca="1">EFEITO!$L$22*EFEITO!$Z$22</f>
        <v>608.08096636026721</v>
      </c>
      <c r="L22" s="55">
        <f>EFEITO!$N$22*EFEITO!$AA$22</f>
        <v>1491.3930137559146</v>
      </c>
      <c r="M22" s="55">
        <f>$J$22-EFEITO!$K$22*EFEITO!$Y$22</f>
        <v>0</v>
      </c>
      <c r="N22" s="55">
        <f ca="1">$K$22-EFEITO!$M$22*EFEITO!$Z$22</f>
        <v>0</v>
      </c>
      <c r="O22" s="55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35" t="s">
        <v>21</v>
      </c>
      <c r="B23" s="35" t="s">
        <v>35</v>
      </c>
      <c r="C23" s="35" t="s">
        <v>36</v>
      </c>
      <c r="D23" s="35" t="s">
        <v>39</v>
      </c>
      <c r="E23" s="35" t="s">
        <v>25</v>
      </c>
      <c r="F23" s="35" t="s">
        <v>25</v>
      </c>
      <c r="G23" s="35" t="s">
        <v>25</v>
      </c>
      <c r="H23" s="35" t="s">
        <v>38</v>
      </c>
      <c r="I23" s="54">
        <v>44531</v>
      </c>
      <c r="J23" s="55">
        <f>EFEITO!$J$23*EFEITO!$Y$23</f>
        <v>0</v>
      </c>
      <c r="K23" s="55">
        <f ca="1">EFEITO!$L$23*EFEITO!$Z$23</f>
        <v>23883.098968455663</v>
      </c>
      <c r="L23" s="55">
        <f>EFEITO!$N$23*EFEITO!$AA$23</f>
        <v>58576.224086732516</v>
      </c>
      <c r="M23" s="55">
        <f>$J$23-EFEITO!$K$23*EFEITO!$Y$23</f>
        <v>0</v>
      </c>
      <c r="N23" s="55">
        <f ca="1">$K$23-EFEITO!$M$23*EFEITO!$Z$23</f>
        <v>0</v>
      </c>
      <c r="O23" s="55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35" t="s">
        <v>21</v>
      </c>
      <c r="B24" s="35" t="s">
        <v>35</v>
      </c>
      <c r="C24" s="35" t="s">
        <v>36</v>
      </c>
      <c r="D24" s="35" t="s">
        <v>39</v>
      </c>
      <c r="E24" s="35" t="s">
        <v>25</v>
      </c>
      <c r="F24" s="35" t="s">
        <v>25</v>
      </c>
      <c r="G24" s="35" t="s">
        <v>25</v>
      </c>
      <c r="H24" s="35" t="s">
        <v>38</v>
      </c>
      <c r="I24" s="54">
        <v>44562</v>
      </c>
      <c r="J24" s="55">
        <f>EFEITO!$J$24*EFEITO!$Y$24</f>
        <v>0</v>
      </c>
      <c r="K24" s="55">
        <f ca="1">EFEITO!$L$24*EFEITO!$Z$24</f>
        <v>27203.816799783548</v>
      </c>
      <c r="L24" s="55">
        <f>EFEITO!$N$24*EFEITO!$AA$24</f>
        <v>66720.691103914098</v>
      </c>
      <c r="M24" s="55">
        <f>$J$24-EFEITO!$K$24*EFEITO!$Y$24</f>
        <v>0</v>
      </c>
      <c r="N24" s="55">
        <f ca="1">$K$24-EFEITO!$M$24*EFEITO!$Z$24</f>
        <v>0</v>
      </c>
      <c r="O24" s="55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35" t="s">
        <v>21</v>
      </c>
      <c r="B25" s="35" t="s">
        <v>35</v>
      </c>
      <c r="C25" s="35" t="s">
        <v>36</v>
      </c>
      <c r="D25" s="35" t="s">
        <v>39</v>
      </c>
      <c r="E25" s="35" t="s">
        <v>25</v>
      </c>
      <c r="F25" s="35" t="s">
        <v>25</v>
      </c>
      <c r="G25" s="35" t="s">
        <v>25</v>
      </c>
      <c r="H25" s="35" t="s">
        <v>38</v>
      </c>
      <c r="I25" s="54">
        <v>44593</v>
      </c>
      <c r="J25" s="55">
        <f>EFEITO!$J$25*EFEITO!$Y$25</f>
        <v>0</v>
      </c>
      <c r="K25" s="55">
        <f ca="1">EFEITO!$L$25*EFEITO!$Z$25</f>
        <v>28262.82267194138</v>
      </c>
      <c r="L25" s="55">
        <f>EFEITO!$N$25*EFEITO!$AA$25</f>
        <v>69318.032653208604</v>
      </c>
      <c r="M25" s="55">
        <f>$J$25-EFEITO!$K$25*EFEITO!$Y$25</f>
        <v>0</v>
      </c>
      <c r="N25" s="55">
        <f ca="1">$K$25-EFEITO!$M$25*EFEITO!$Z$25</f>
        <v>0</v>
      </c>
      <c r="O25" s="55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35" t="s">
        <v>28</v>
      </c>
      <c r="B26" s="35" t="s">
        <v>35</v>
      </c>
      <c r="C26" s="35" t="s">
        <v>36</v>
      </c>
      <c r="D26" s="35" t="s">
        <v>39</v>
      </c>
      <c r="E26" s="35" t="s">
        <v>25</v>
      </c>
      <c r="F26" s="35" t="s">
        <v>25</v>
      </c>
      <c r="G26" s="35" t="s">
        <v>25</v>
      </c>
      <c r="H26" s="35" t="s">
        <v>38</v>
      </c>
      <c r="I26" s="54">
        <v>44593</v>
      </c>
      <c r="J26" s="55">
        <f>EFEITO!$J$26*EFEITO!$Y$26</f>
        <v>0</v>
      </c>
      <c r="K26" s="55">
        <f ca="1">EFEITO!$L$26*EFEITO!$Z$26</f>
        <v>704.42893028694471</v>
      </c>
      <c r="L26" s="55">
        <f>EFEITO!$N$26*EFEITO!$AA$26</f>
        <v>1727.6981905976456</v>
      </c>
      <c r="M26" s="55">
        <f>$J$26-EFEITO!$K$26*EFEITO!$Y$26</f>
        <v>0</v>
      </c>
      <c r="N26" s="55">
        <f ca="1">$K$26-EFEITO!$M$26*EFEITO!$Z$26</f>
        <v>0</v>
      </c>
      <c r="O26" s="55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35" t="s">
        <v>21</v>
      </c>
      <c r="B27" s="35" t="s">
        <v>35</v>
      </c>
      <c r="C27" s="35" t="s">
        <v>36</v>
      </c>
      <c r="D27" s="35" t="s">
        <v>39</v>
      </c>
      <c r="E27" s="35" t="s">
        <v>25</v>
      </c>
      <c r="F27" s="35" t="s">
        <v>25</v>
      </c>
      <c r="G27" s="35" t="s">
        <v>25</v>
      </c>
      <c r="H27" s="35" t="s">
        <v>38</v>
      </c>
      <c r="I27" s="54">
        <v>44621</v>
      </c>
      <c r="J27" s="55">
        <f>EFEITO!$J$27*EFEITO!$Y$27</f>
        <v>0</v>
      </c>
      <c r="K27" s="55">
        <f ca="1">EFEITO!$L$27*EFEITO!$Z$27</f>
        <v>21288.380507099802</v>
      </c>
      <c r="L27" s="55">
        <f>EFEITO!$N$27*EFEITO!$AA$27</f>
        <v>52212.359404217626</v>
      </c>
      <c r="M27" s="55">
        <f>$J$27-EFEITO!$K$27*EFEITO!$Y$27</f>
        <v>0</v>
      </c>
      <c r="N27" s="55">
        <f ca="1">$K$27-EFEITO!$M$27*EFEITO!$Z$27</f>
        <v>0</v>
      </c>
      <c r="O27" s="55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35" t="s">
        <v>28</v>
      </c>
      <c r="B28" s="35" t="s">
        <v>35</v>
      </c>
      <c r="C28" s="35" t="s">
        <v>36</v>
      </c>
      <c r="D28" s="35" t="s">
        <v>39</v>
      </c>
      <c r="E28" s="35" t="s">
        <v>25</v>
      </c>
      <c r="F28" s="35" t="s">
        <v>25</v>
      </c>
      <c r="G28" s="35" t="s">
        <v>25</v>
      </c>
      <c r="H28" s="35" t="s">
        <v>38</v>
      </c>
      <c r="I28" s="54">
        <v>44621</v>
      </c>
      <c r="J28" s="55">
        <f>EFEITO!$J$28*EFEITO!$Y$28</f>
        <v>0</v>
      </c>
      <c r="K28" s="55">
        <f ca="1">EFEITO!$L$28*EFEITO!$Z$28</f>
        <v>1177.7460068052067</v>
      </c>
      <c r="L28" s="55">
        <f>EFEITO!$N$28*EFEITO!$AA$28</f>
        <v>2888.566266169817</v>
      </c>
      <c r="M28" s="55">
        <f>$J$28-EFEITO!$K$28*EFEITO!$Y$28</f>
        <v>0</v>
      </c>
      <c r="N28" s="55">
        <f ca="1">$K$28-EFEITO!$M$28*EFEITO!$Z$28</f>
        <v>0</v>
      </c>
      <c r="O28" s="55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35" t="s">
        <v>21</v>
      </c>
      <c r="B29" s="35" t="s">
        <v>35</v>
      </c>
      <c r="C29" s="35" t="s">
        <v>36</v>
      </c>
      <c r="D29" s="35" t="s">
        <v>39</v>
      </c>
      <c r="E29" s="35" t="s">
        <v>25</v>
      </c>
      <c r="F29" s="35" t="s">
        <v>25</v>
      </c>
      <c r="G29" s="35" t="s">
        <v>25</v>
      </c>
      <c r="H29" s="35" t="s">
        <v>38</v>
      </c>
      <c r="I29" s="54">
        <v>44652</v>
      </c>
      <c r="J29" s="55">
        <f>EFEITO!$J$29*EFEITO!$Y$29</f>
        <v>0</v>
      </c>
      <c r="K29" s="55">
        <f ca="1">EFEITO!$L$29*EFEITO!$Z$29</f>
        <v>51542.052045594341</v>
      </c>
      <c r="L29" s="55">
        <f>EFEITO!$N$29*EFEITO!$AA$29</f>
        <v>126413.19263050346</v>
      </c>
      <c r="M29" s="55">
        <f>$J$29-EFEITO!$K$29*EFEITO!$Y$29</f>
        <v>0</v>
      </c>
      <c r="N29" s="55">
        <f ca="1">$K$29-EFEITO!$M$29*EFEITO!$Z$29</f>
        <v>0</v>
      </c>
      <c r="O29" s="55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35" t="s">
        <v>28</v>
      </c>
      <c r="B30" s="35" t="s">
        <v>35</v>
      </c>
      <c r="C30" s="35" t="s">
        <v>36</v>
      </c>
      <c r="D30" s="35" t="s">
        <v>39</v>
      </c>
      <c r="E30" s="35" t="s">
        <v>25</v>
      </c>
      <c r="F30" s="35" t="s">
        <v>25</v>
      </c>
      <c r="G30" s="35" t="s">
        <v>25</v>
      </c>
      <c r="H30" s="35" t="s">
        <v>38</v>
      </c>
      <c r="I30" s="54">
        <v>44652</v>
      </c>
      <c r="J30" s="55">
        <f>EFEITO!$J$30*EFEITO!$Y$30</f>
        <v>0</v>
      </c>
      <c r="K30" s="55">
        <f ca="1">EFEITO!$L$30*EFEITO!$Z$30</f>
        <v>2937.2775868307772</v>
      </c>
      <c r="L30" s="55">
        <f>EFEITO!$N$30*EFEITO!$AA$30</f>
        <v>7204.0328752304285</v>
      </c>
      <c r="M30" s="55">
        <f>$J$30-EFEITO!$K$30*EFEITO!$Y$30</f>
        <v>0</v>
      </c>
      <c r="N30" s="55">
        <f ca="1">$K$30-EFEITO!$M$30*EFEITO!$Z$30</f>
        <v>0</v>
      </c>
      <c r="O30" s="55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35" t="s">
        <v>21</v>
      </c>
      <c r="B31" s="35" t="s">
        <v>35</v>
      </c>
      <c r="C31" s="35" t="s">
        <v>36</v>
      </c>
      <c r="D31" s="35" t="s">
        <v>39</v>
      </c>
      <c r="E31" s="35" t="s">
        <v>25</v>
      </c>
      <c r="F31" s="35" t="s">
        <v>25</v>
      </c>
      <c r="G31" s="35" t="s">
        <v>25</v>
      </c>
      <c r="H31" s="35" t="s">
        <v>38</v>
      </c>
      <c r="I31" s="54">
        <v>44682</v>
      </c>
      <c r="J31" s="55">
        <f>EFEITO!$J$31*EFEITO!$Y$31</f>
        <v>0</v>
      </c>
      <c r="K31" s="55">
        <f ca="1">EFEITO!$L$31*EFEITO!$Z$31</f>
        <v>52884.555125041756</v>
      </c>
      <c r="L31" s="55">
        <f>EFEITO!$N$31*EFEITO!$AA$31</f>
        <v>129705.84578756255</v>
      </c>
      <c r="M31" s="55">
        <f>$J$31-EFEITO!$K$31*EFEITO!$Y$31</f>
        <v>0</v>
      </c>
      <c r="N31" s="55">
        <f ca="1">$K$31-EFEITO!$M$31*EFEITO!$Z$31</f>
        <v>0</v>
      </c>
      <c r="O31" s="55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35" t="s">
        <v>28</v>
      </c>
      <c r="B32" s="35" t="s">
        <v>35</v>
      </c>
      <c r="C32" s="35" t="s">
        <v>36</v>
      </c>
      <c r="D32" s="35" t="s">
        <v>39</v>
      </c>
      <c r="E32" s="35" t="s">
        <v>25</v>
      </c>
      <c r="F32" s="35" t="s">
        <v>25</v>
      </c>
      <c r="G32" s="35" t="s">
        <v>25</v>
      </c>
      <c r="H32" s="35" t="s">
        <v>38</v>
      </c>
      <c r="I32" s="54">
        <v>44682</v>
      </c>
      <c r="J32" s="55">
        <f>EFEITO!$J$32*EFEITO!$Y$32</f>
        <v>0</v>
      </c>
      <c r="K32" s="55">
        <f ca="1">EFEITO!$L$32*EFEITO!$Z$32</f>
        <v>5962.0695289552959</v>
      </c>
      <c r="L32" s="55">
        <f>EFEITO!$N$32*EFEITO!$AA$32</f>
        <v>14622.705420683837</v>
      </c>
      <c r="M32" s="55">
        <f>$J$32-EFEITO!$K$32*EFEITO!$Y$32</f>
        <v>0</v>
      </c>
      <c r="N32" s="55">
        <f ca="1">$K$32-EFEITO!$M$32*EFEITO!$Z$32</f>
        <v>0</v>
      </c>
      <c r="O32" s="55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35" t="s">
        <v>21</v>
      </c>
      <c r="B33" s="35" t="s">
        <v>35</v>
      </c>
      <c r="C33" s="35" t="s">
        <v>36</v>
      </c>
      <c r="D33" s="35" t="s">
        <v>39</v>
      </c>
      <c r="E33" s="35" t="s">
        <v>25</v>
      </c>
      <c r="F33" s="35" t="s">
        <v>25</v>
      </c>
      <c r="G33" s="35" t="s">
        <v>25</v>
      </c>
      <c r="H33" s="35" t="s">
        <v>38</v>
      </c>
      <c r="I33" s="54">
        <v>44713</v>
      </c>
      <c r="J33" s="55">
        <f>EFEITO!$J$33*EFEITO!$Y$33</f>
        <v>0</v>
      </c>
      <c r="K33" s="55">
        <f ca="1">EFEITO!$L$33*EFEITO!$Z$33</f>
        <v>44293.562580372825</v>
      </c>
      <c r="L33" s="55">
        <f>EFEITO!$N$33*EFEITO!$AA$33</f>
        <v>108635.38482734004</v>
      </c>
      <c r="M33" s="55">
        <f>$J$33-EFEITO!$K$33*EFEITO!$Y$33</f>
        <v>0</v>
      </c>
      <c r="N33" s="55">
        <f ca="1">$K$33-EFEITO!$M$33*EFEITO!$Z$33</f>
        <v>0</v>
      </c>
      <c r="O33" s="55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35" t="s">
        <v>28</v>
      </c>
      <c r="B34" s="35" t="s">
        <v>35</v>
      </c>
      <c r="C34" s="35" t="s">
        <v>36</v>
      </c>
      <c r="D34" s="35" t="s">
        <v>39</v>
      </c>
      <c r="E34" s="35" t="s">
        <v>25</v>
      </c>
      <c r="F34" s="35" t="s">
        <v>25</v>
      </c>
      <c r="G34" s="35" t="s">
        <v>25</v>
      </c>
      <c r="H34" s="35" t="s">
        <v>38</v>
      </c>
      <c r="I34" s="54">
        <v>44713</v>
      </c>
      <c r="J34" s="55">
        <f>EFEITO!$J$34*EFEITO!$Y$34</f>
        <v>0</v>
      </c>
      <c r="K34" s="55">
        <f ca="1">EFEITO!$L$34*EFEITO!$Z$34</f>
        <v>2885.5085315865922</v>
      </c>
      <c r="L34" s="55">
        <f>EFEITO!$N$34*EFEITO!$AA$34</f>
        <v>7077.0629294647215</v>
      </c>
      <c r="M34" s="55">
        <f>$J$34-EFEITO!$K$34*EFEITO!$Y$34</f>
        <v>0</v>
      </c>
      <c r="N34" s="55">
        <f ca="1">$K$34-EFEITO!$M$34*EFEITO!$Z$34</f>
        <v>0</v>
      </c>
      <c r="O34" s="55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35" t="s">
        <v>21</v>
      </c>
      <c r="B35" s="35" t="s">
        <v>35</v>
      </c>
      <c r="C35" s="35" t="s">
        <v>36</v>
      </c>
      <c r="D35" s="35" t="s">
        <v>39</v>
      </c>
      <c r="E35" s="35" t="s">
        <v>25</v>
      </c>
      <c r="F35" s="35" t="s">
        <v>25</v>
      </c>
      <c r="G35" s="35" t="s">
        <v>25</v>
      </c>
      <c r="H35" s="35" t="s">
        <v>25</v>
      </c>
      <c r="I35" s="54">
        <v>44378</v>
      </c>
      <c r="J35" s="55">
        <f ca="1">EFEITO!$J$35*EFEITO!$Y$35</f>
        <v>133337.9000287368</v>
      </c>
      <c r="K35" s="55">
        <f>EFEITO!$L$35*EFEITO!$Z$35</f>
        <v>0</v>
      </c>
      <c r="L35" s="55">
        <f>EFEITO!$N$35*EFEITO!$AA$35</f>
        <v>0</v>
      </c>
      <c r="M35" s="55">
        <f ca="1">$J$35-EFEITO!$K$35*EFEITO!$Y$35</f>
        <v>0</v>
      </c>
      <c r="N35" s="55">
        <f>$K$35-EFEITO!$M$35*EFEITO!$Z$35</f>
        <v>0</v>
      </c>
      <c r="O35" s="55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35" t="s">
        <v>28</v>
      </c>
      <c r="B36" s="35" t="s">
        <v>35</v>
      </c>
      <c r="C36" s="35" t="s">
        <v>36</v>
      </c>
      <c r="D36" s="35" t="s">
        <v>39</v>
      </c>
      <c r="E36" s="35" t="s">
        <v>25</v>
      </c>
      <c r="F36" s="35" t="s">
        <v>25</v>
      </c>
      <c r="G36" s="35" t="s">
        <v>25</v>
      </c>
      <c r="H36" s="35" t="s">
        <v>25</v>
      </c>
      <c r="I36" s="54">
        <v>44378</v>
      </c>
      <c r="J36" s="55">
        <f ca="1">EFEITO!$J$36*EFEITO!$Y$36</f>
        <v>11287.591846267242</v>
      </c>
      <c r="K36" s="55">
        <f>EFEITO!$L$36*EFEITO!$Z$36</f>
        <v>0</v>
      </c>
      <c r="L36" s="55">
        <f>EFEITO!$N$36*EFEITO!$AA$36</f>
        <v>0</v>
      </c>
      <c r="M36" s="55">
        <f ca="1">$J$36-EFEITO!$K$36*EFEITO!$Y$36</f>
        <v>0</v>
      </c>
      <c r="N36" s="55">
        <f>$K$36-EFEITO!$M$36*EFEITO!$Z$36</f>
        <v>0</v>
      </c>
      <c r="O36" s="55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35" t="s">
        <v>21</v>
      </c>
      <c r="B37" s="35" t="s">
        <v>35</v>
      </c>
      <c r="C37" s="35" t="s">
        <v>36</v>
      </c>
      <c r="D37" s="35" t="s">
        <v>39</v>
      </c>
      <c r="E37" s="35" t="s">
        <v>25</v>
      </c>
      <c r="F37" s="35" t="s">
        <v>25</v>
      </c>
      <c r="G37" s="35" t="s">
        <v>25</v>
      </c>
      <c r="H37" s="35" t="s">
        <v>25</v>
      </c>
      <c r="I37" s="54">
        <v>44409</v>
      </c>
      <c r="J37" s="55">
        <f ca="1">EFEITO!$J$37*EFEITO!$Y$37</f>
        <v>137925.09488863533</v>
      </c>
      <c r="K37" s="55">
        <f>EFEITO!$L$37*EFEITO!$Z$37</f>
        <v>0</v>
      </c>
      <c r="L37" s="55">
        <f>EFEITO!$N$37*EFEITO!$AA$37</f>
        <v>0</v>
      </c>
      <c r="M37" s="55">
        <f ca="1">$J$37-EFEITO!$K$37*EFEITO!$Y$37</f>
        <v>0</v>
      </c>
      <c r="N37" s="55">
        <f>$K$37-EFEITO!$M$37*EFEITO!$Z$37</f>
        <v>0</v>
      </c>
      <c r="O37" s="55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35" t="s">
        <v>28</v>
      </c>
      <c r="B38" s="35" t="s">
        <v>35</v>
      </c>
      <c r="C38" s="35" t="s">
        <v>36</v>
      </c>
      <c r="D38" s="35" t="s">
        <v>39</v>
      </c>
      <c r="E38" s="35" t="s">
        <v>25</v>
      </c>
      <c r="F38" s="35" t="s">
        <v>25</v>
      </c>
      <c r="G38" s="35" t="s">
        <v>25</v>
      </c>
      <c r="H38" s="35" t="s">
        <v>25</v>
      </c>
      <c r="I38" s="54">
        <v>44409</v>
      </c>
      <c r="J38" s="55">
        <f ca="1">EFEITO!$J$38*EFEITO!$Y$38</f>
        <v>8040.476383642419</v>
      </c>
      <c r="K38" s="55">
        <f>EFEITO!$L$38*EFEITO!$Z$38</f>
        <v>0</v>
      </c>
      <c r="L38" s="55">
        <f>EFEITO!$N$38*EFEITO!$AA$38</f>
        <v>0</v>
      </c>
      <c r="M38" s="55">
        <f ca="1">$J$38-EFEITO!$K$38*EFEITO!$Y$38</f>
        <v>0</v>
      </c>
      <c r="N38" s="55">
        <f>$K$38-EFEITO!$M$38*EFEITO!$Z$38</f>
        <v>0</v>
      </c>
      <c r="O38" s="55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35" t="s">
        <v>21</v>
      </c>
      <c r="B39" s="35" t="s">
        <v>35</v>
      </c>
      <c r="C39" s="35" t="s">
        <v>36</v>
      </c>
      <c r="D39" s="35" t="s">
        <v>39</v>
      </c>
      <c r="E39" s="35" t="s">
        <v>25</v>
      </c>
      <c r="F39" s="35" t="s">
        <v>25</v>
      </c>
      <c r="G39" s="35" t="s">
        <v>25</v>
      </c>
      <c r="H39" s="35" t="s">
        <v>25</v>
      </c>
      <c r="I39" s="54">
        <v>44440</v>
      </c>
      <c r="J39" s="55">
        <f ca="1">EFEITO!$J$39*EFEITO!$Y$39</f>
        <v>104371.56844151217</v>
      </c>
      <c r="K39" s="55">
        <f>EFEITO!$L$39*EFEITO!$Z$39</f>
        <v>0</v>
      </c>
      <c r="L39" s="55">
        <f>EFEITO!$N$39*EFEITO!$AA$39</f>
        <v>0</v>
      </c>
      <c r="M39" s="55">
        <f ca="1">$J$39-EFEITO!$K$39*EFEITO!$Y$39</f>
        <v>0</v>
      </c>
      <c r="N39" s="55">
        <f>$K$39-EFEITO!$M$39*EFEITO!$Z$39</f>
        <v>0</v>
      </c>
      <c r="O39" s="55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35" t="s">
        <v>28</v>
      </c>
      <c r="B40" s="35" t="s">
        <v>35</v>
      </c>
      <c r="C40" s="35" t="s">
        <v>36</v>
      </c>
      <c r="D40" s="35" t="s">
        <v>39</v>
      </c>
      <c r="E40" s="35" t="s">
        <v>25</v>
      </c>
      <c r="F40" s="35" t="s">
        <v>25</v>
      </c>
      <c r="G40" s="35" t="s">
        <v>25</v>
      </c>
      <c r="H40" s="35" t="s">
        <v>25</v>
      </c>
      <c r="I40" s="54">
        <v>44440</v>
      </c>
      <c r="J40" s="55">
        <f ca="1">EFEITO!$J$40*EFEITO!$Y$40</f>
        <v>4123.3212223807277</v>
      </c>
      <c r="K40" s="55">
        <f>EFEITO!$L$40*EFEITO!$Z$40</f>
        <v>0</v>
      </c>
      <c r="L40" s="55">
        <f>EFEITO!$N$40*EFEITO!$AA$40</f>
        <v>0</v>
      </c>
      <c r="M40" s="55">
        <f ca="1">$J$40-EFEITO!$K$40*EFEITO!$Y$40</f>
        <v>0</v>
      </c>
      <c r="N40" s="55">
        <f>$K$40-EFEITO!$M$40*EFEITO!$Z$40</f>
        <v>0</v>
      </c>
      <c r="O40" s="55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35" t="s">
        <v>21</v>
      </c>
      <c r="B41" s="35" t="s">
        <v>35</v>
      </c>
      <c r="C41" s="35" t="s">
        <v>36</v>
      </c>
      <c r="D41" s="35" t="s">
        <v>39</v>
      </c>
      <c r="E41" s="35" t="s">
        <v>25</v>
      </c>
      <c r="F41" s="35" t="s">
        <v>25</v>
      </c>
      <c r="G41" s="35" t="s">
        <v>25</v>
      </c>
      <c r="H41" s="35" t="s">
        <v>25</v>
      </c>
      <c r="I41" s="54">
        <v>44470</v>
      </c>
      <c r="J41" s="55">
        <f ca="1">EFEITO!$J$41*EFEITO!$Y$41</f>
        <v>100351.33024969096</v>
      </c>
      <c r="K41" s="55">
        <f>EFEITO!$L$41*EFEITO!$Z$41</f>
        <v>0</v>
      </c>
      <c r="L41" s="55">
        <f>EFEITO!$N$41*EFEITO!$AA$41</f>
        <v>0</v>
      </c>
      <c r="M41" s="55">
        <f ca="1">$J$41-EFEITO!$K$41*EFEITO!$Y$41</f>
        <v>0</v>
      </c>
      <c r="N41" s="55">
        <f>$K$41-EFEITO!$M$41*EFEITO!$Z$41</f>
        <v>0</v>
      </c>
      <c r="O41" s="55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35" t="s">
        <v>28</v>
      </c>
      <c r="B42" s="35" t="s">
        <v>35</v>
      </c>
      <c r="C42" s="35" t="s">
        <v>36</v>
      </c>
      <c r="D42" s="35" t="s">
        <v>39</v>
      </c>
      <c r="E42" s="35" t="s">
        <v>25</v>
      </c>
      <c r="F42" s="35" t="s">
        <v>25</v>
      </c>
      <c r="G42" s="35" t="s">
        <v>25</v>
      </c>
      <c r="H42" s="35" t="s">
        <v>25</v>
      </c>
      <c r="I42" s="54">
        <v>44470</v>
      </c>
      <c r="J42" s="55">
        <f ca="1">EFEITO!$J$42*EFEITO!$Y$42</f>
        <v>6288.0648641306097</v>
      </c>
      <c r="K42" s="55">
        <f>EFEITO!$L$42*EFEITO!$Z$42</f>
        <v>0</v>
      </c>
      <c r="L42" s="55">
        <f>EFEITO!$N$42*EFEITO!$AA$42</f>
        <v>0</v>
      </c>
      <c r="M42" s="55">
        <f ca="1">$J$42-EFEITO!$K$42*EFEITO!$Y$42</f>
        <v>0</v>
      </c>
      <c r="N42" s="55">
        <f>$K$42-EFEITO!$M$42*EFEITO!$Z$42</f>
        <v>0</v>
      </c>
      <c r="O42" s="55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35" t="s">
        <v>21</v>
      </c>
      <c r="B43" s="35" t="s">
        <v>35</v>
      </c>
      <c r="C43" s="35" t="s">
        <v>36</v>
      </c>
      <c r="D43" s="35" t="s">
        <v>39</v>
      </c>
      <c r="E43" s="35" t="s">
        <v>25</v>
      </c>
      <c r="F43" s="35" t="s">
        <v>25</v>
      </c>
      <c r="G43" s="35" t="s">
        <v>25</v>
      </c>
      <c r="H43" s="35" t="s">
        <v>25</v>
      </c>
      <c r="I43" s="54">
        <v>44501</v>
      </c>
      <c r="J43" s="55">
        <f ca="1">EFEITO!$J$43*EFEITO!$Y$43</f>
        <v>124730.46697701701</v>
      </c>
      <c r="K43" s="55">
        <f>EFEITO!$L$43*EFEITO!$Z$43</f>
        <v>0</v>
      </c>
      <c r="L43" s="55">
        <f>EFEITO!$N$43*EFEITO!$AA$43</f>
        <v>0</v>
      </c>
      <c r="M43" s="55">
        <f ca="1">$J$43-EFEITO!$K$43*EFEITO!$Y$43</f>
        <v>0</v>
      </c>
      <c r="N43" s="55">
        <f>$K$43-EFEITO!$M$43*EFEITO!$Z$43</f>
        <v>0</v>
      </c>
      <c r="O43" s="55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35" t="s">
        <v>28</v>
      </c>
      <c r="B44" s="35" t="s">
        <v>35</v>
      </c>
      <c r="C44" s="35" t="s">
        <v>36</v>
      </c>
      <c r="D44" s="35" t="s">
        <v>39</v>
      </c>
      <c r="E44" s="35" t="s">
        <v>25</v>
      </c>
      <c r="F44" s="35" t="s">
        <v>25</v>
      </c>
      <c r="G44" s="35" t="s">
        <v>25</v>
      </c>
      <c r="H44" s="35" t="s">
        <v>25</v>
      </c>
      <c r="I44" s="54">
        <v>44501</v>
      </c>
      <c r="J44" s="55">
        <f ca="1">EFEITO!$J$44*EFEITO!$Y$44</f>
        <v>8298.183960041215</v>
      </c>
      <c r="K44" s="55">
        <f>EFEITO!$L$44*EFEITO!$Z$44</f>
        <v>0</v>
      </c>
      <c r="L44" s="55">
        <f>EFEITO!$N$44*EFEITO!$AA$44</f>
        <v>0</v>
      </c>
      <c r="M44" s="55">
        <f ca="1">$J$44-EFEITO!$K$44*EFEITO!$Y$44</f>
        <v>0</v>
      </c>
      <c r="N44" s="55">
        <f>$K$44-EFEITO!$M$44*EFEITO!$Z$44</f>
        <v>0</v>
      </c>
      <c r="O44" s="55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35" t="s">
        <v>21</v>
      </c>
      <c r="B45" s="35" t="s">
        <v>35</v>
      </c>
      <c r="C45" s="35" t="s">
        <v>36</v>
      </c>
      <c r="D45" s="35" t="s">
        <v>39</v>
      </c>
      <c r="E45" s="35" t="s">
        <v>25</v>
      </c>
      <c r="F45" s="35" t="s">
        <v>25</v>
      </c>
      <c r="G45" s="35" t="s">
        <v>25</v>
      </c>
      <c r="H45" s="35" t="s">
        <v>25</v>
      </c>
      <c r="I45" s="54">
        <v>44531</v>
      </c>
      <c r="J45" s="55">
        <f ca="1">EFEITO!$J$45*EFEITO!$Y$45</f>
        <v>103959.2363192741</v>
      </c>
      <c r="K45" s="55">
        <f>EFEITO!$L$45*EFEITO!$Z$45</f>
        <v>0</v>
      </c>
      <c r="L45" s="55">
        <f>EFEITO!$N$45*EFEITO!$AA$45</f>
        <v>0</v>
      </c>
      <c r="M45" s="55">
        <f ca="1">$J$45-EFEITO!$K$45*EFEITO!$Y$45</f>
        <v>0</v>
      </c>
      <c r="N45" s="55">
        <f>$K$45-EFEITO!$M$45*EFEITO!$Z$45</f>
        <v>0</v>
      </c>
      <c r="O45" s="55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35" t="s">
        <v>28</v>
      </c>
      <c r="B46" s="35" t="s">
        <v>35</v>
      </c>
      <c r="C46" s="35" t="s">
        <v>36</v>
      </c>
      <c r="D46" s="35" t="s">
        <v>39</v>
      </c>
      <c r="E46" s="35" t="s">
        <v>25</v>
      </c>
      <c r="F46" s="35" t="s">
        <v>25</v>
      </c>
      <c r="G46" s="35" t="s">
        <v>25</v>
      </c>
      <c r="H46" s="35" t="s">
        <v>25</v>
      </c>
      <c r="I46" s="54">
        <v>44531</v>
      </c>
      <c r="J46" s="55">
        <f ca="1">EFEITO!$J$46*EFEITO!$Y$46</f>
        <v>6236.5233488508511</v>
      </c>
      <c r="K46" s="55">
        <f>EFEITO!$L$46*EFEITO!$Z$46</f>
        <v>0</v>
      </c>
      <c r="L46" s="55">
        <f>EFEITO!$N$46*EFEITO!$AA$46</f>
        <v>0</v>
      </c>
      <c r="M46" s="55">
        <f ca="1">$J$46-EFEITO!$K$46*EFEITO!$Y$46</f>
        <v>0</v>
      </c>
      <c r="N46" s="55">
        <f>$K$46-EFEITO!$M$46*EFEITO!$Z$46</f>
        <v>0</v>
      </c>
      <c r="O46" s="55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35" t="s">
        <v>21</v>
      </c>
      <c r="B47" s="35" t="s">
        <v>35</v>
      </c>
      <c r="C47" s="35" t="s">
        <v>36</v>
      </c>
      <c r="D47" s="35" t="s">
        <v>39</v>
      </c>
      <c r="E47" s="35" t="s">
        <v>25</v>
      </c>
      <c r="F47" s="35" t="s">
        <v>25</v>
      </c>
      <c r="G47" s="35" t="s">
        <v>25</v>
      </c>
      <c r="H47" s="35" t="s">
        <v>25</v>
      </c>
      <c r="I47" s="54">
        <v>44562</v>
      </c>
      <c r="J47" s="55">
        <f ca="1">EFEITO!$J$47*EFEITO!$Y$47</f>
        <v>121483.35151439218</v>
      </c>
      <c r="K47" s="55">
        <f>EFEITO!$L$47*EFEITO!$Z$47</f>
        <v>0</v>
      </c>
      <c r="L47" s="55">
        <f>EFEITO!$N$47*EFEITO!$AA$47</f>
        <v>0</v>
      </c>
      <c r="M47" s="55">
        <f ca="1">$J$47-EFEITO!$K$47*EFEITO!$Y$47</f>
        <v>0</v>
      </c>
      <c r="N47" s="55">
        <f>$K$47-EFEITO!$M$47*EFEITO!$Z$47</f>
        <v>0</v>
      </c>
      <c r="O47" s="55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35" t="s">
        <v>28</v>
      </c>
      <c r="B48" s="35" t="s">
        <v>35</v>
      </c>
      <c r="C48" s="35" t="s">
        <v>36</v>
      </c>
      <c r="D48" s="35" t="s">
        <v>39</v>
      </c>
      <c r="E48" s="35" t="s">
        <v>25</v>
      </c>
      <c r="F48" s="35" t="s">
        <v>25</v>
      </c>
      <c r="G48" s="35" t="s">
        <v>25</v>
      </c>
      <c r="H48" s="35" t="s">
        <v>25</v>
      </c>
      <c r="I48" s="54">
        <v>44562</v>
      </c>
      <c r="J48" s="55">
        <f ca="1">EFEITO!$J$48*EFEITO!$Y$48</f>
        <v>5411.8591043747056</v>
      </c>
      <c r="K48" s="55">
        <f>EFEITO!$L$48*EFEITO!$Z$48</f>
        <v>0</v>
      </c>
      <c r="L48" s="55">
        <f>EFEITO!$N$48*EFEITO!$AA$48</f>
        <v>0</v>
      </c>
      <c r="M48" s="55">
        <f ca="1">$J$48-EFEITO!$K$48*EFEITO!$Y$48</f>
        <v>0</v>
      </c>
      <c r="N48" s="55">
        <f>$K$48-EFEITO!$M$48*EFEITO!$Z$48</f>
        <v>0</v>
      </c>
      <c r="O48" s="55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35" t="s">
        <v>21</v>
      </c>
      <c r="B49" s="35" t="s">
        <v>35</v>
      </c>
      <c r="C49" s="35" t="s">
        <v>36</v>
      </c>
      <c r="D49" s="35" t="s">
        <v>39</v>
      </c>
      <c r="E49" s="35" t="s">
        <v>25</v>
      </c>
      <c r="F49" s="35" t="s">
        <v>25</v>
      </c>
      <c r="G49" s="35" t="s">
        <v>25</v>
      </c>
      <c r="H49" s="35" t="s">
        <v>25</v>
      </c>
      <c r="I49" s="54">
        <v>44593</v>
      </c>
      <c r="J49" s="55">
        <f ca="1">EFEITO!$J$49*EFEITO!$Y$49</f>
        <v>138131.26094975439</v>
      </c>
      <c r="K49" s="55">
        <f>EFEITO!$L$49*EFEITO!$Z$49</f>
        <v>0</v>
      </c>
      <c r="L49" s="55">
        <f>EFEITO!$N$49*EFEITO!$AA$49</f>
        <v>0</v>
      </c>
      <c r="M49" s="55">
        <f ca="1">$J$49-EFEITO!$K$49*EFEITO!$Y$49</f>
        <v>0</v>
      </c>
      <c r="N49" s="55">
        <f>$K$49-EFEITO!$M$49*EFEITO!$Z$49</f>
        <v>0</v>
      </c>
      <c r="O49" s="55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35" t="s">
        <v>28</v>
      </c>
      <c r="B50" s="35" t="s">
        <v>35</v>
      </c>
      <c r="C50" s="35" t="s">
        <v>36</v>
      </c>
      <c r="D50" s="35" t="s">
        <v>39</v>
      </c>
      <c r="E50" s="35" t="s">
        <v>25</v>
      </c>
      <c r="F50" s="35" t="s">
        <v>25</v>
      </c>
      <c r="G50" s="35" t="s">
        <v>25</v>
      </c>
      <c r="H50" s="35" t="s">
        <v>25</v>
      </c>
      <c r="I50" s="54">
        <v>44593</v>
      </c>
      <c r="J50" s="55">
        <f ca="1">EFEITO!$J$50*EFEITO!$Y$50</f>
        <v>7421.9782002853099</v>
      </c>
      <c r="K50" s="55">
        <f>EFEITO!$L$50*EFEITO!$Z$50</f>
        <v>0</v>
      </c>
      <c r="L50" s="55">
        <f>EFEITO!$N$50*EFEITO!$AA$50</f>
        <v>0</v>
      </c>
      <c r="M50" s="55">
        <f ca="1">$J$50-EFEITO!$K$50*EFEITO!$Y$50</f>
        <v>0</v>
      </c>
      <c r="N50" s="55">
        <f>$K$50-EFEITO!$M$50*EFEITO!$Z$50</f>
        <v>0</v>
      </c>
      <c r="O50" s="55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35" t="s">
        <v>21</v>
      </c>
      <c r="B51" s="35" t="s">
        <v>35</v>
      </c>
      <c r="C51" s="35" t="s">
        <v>36</v>
      </c>
      <c r="D51" s="35" t="s">
        <v>39</v>
      </c>
      <c r="E51" s="35" t="s">
        <v>25</v>
      </c>
      <c r="F51" s="35" t="s">
        <v>25</v>
      </c>
      <c r="G51" s="35" t="s">
        <v>25</v>
      </c>
      <c r="H51" s="35" t="s">
        <v>25</v>
      </c>
      <c r="I51" s="54">
        <v>44621</v>
      </c>
      <c r="J51" s="55">
        <f ca="1">EFEITO!$J$51*EFEITO!$Y$51</f>
        <v>131533.94699394522</v>
      </c>
      <c r="K51" s="55">
        <f>EFEITO!$L$51*EFEITO!$Z$51</f>
        <v>0</v>
      </c>
      <c r="L51" s="55">
        <f>EFEITO!$N$51*EFEITO!$AA$51</f>
        <v>0</v>
      </c>
      <c r="M51" s="55">
        <f ca="1">$J$51-EFEITO!$K$51*EFEITO!$Y$51</f>
        <v>0</v>
      </c>
      <c r="N51" s="55">
        <f>$K$51-EFEITO!$M$51*EFEITO!$Z$51</f>
        <v>0</v>
      </c>
      <c r="O51" s="55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35" t="s">
        <v>28</v>
      </c>
      <c r="B52" s="35" t="s">
        <v>35</v>
      </c>
      <c r="C52" s="35" t="s">
        <v>36</v>
      </c>
      <c r="D52" s="35" t="s">
        <v>39</v>
      </c>
      <c r="E52" s="35" t="s">
        <v>25</v>
      </c>
      <c r="F52" s="35" t="s">
        <v>25</v>
      </c>
      <c r="G52" s="35" t="s">
        <v>25</v>
      </c>
      <c r="H52" s="35" t="s">
        <v>25</v>
      </c>
      <c r="I52" s="54">
        <v>44621</v>
      </c>
      <c r="J52" s="55">
        <f ca="1">EFEITO!$J$52*EFEITO!$Y$52</f>
        <v>7215.8121391662735</v>
      </c>
      <c r="K52" s="55">
        <f>EFEITO!$L$52*EFEITO!$Z$52</f>
        <v>0</v>
      </c>
      <c r="L52" s="55">
        <f>EFEITO!$N$52*EFEITO!$AA$52</f>
        <v>0</v>
      </c>
      <c r="M52" s="55">
        <f ca="1">$J$52-EFEITO!$K$52*EFEITO!$Y$52</f>
        <v>0</v>
      </c>
      <c r="N52" s="55">
        <f>$K$52-EFEITO!$M$52*EFEITO!$Z$52</f>
        <v>0</v>
      </c>
      <c r="O52" s="55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35" t="s">
        <v>21</v>
      </c>
      <c r="B53" s="35" t="s">
        <v>35</v>
      </c>
      <c r="C53" s="35" t="s">
        <v>36</v>
      </c>
      <c r="D53" s="35" t="s">
        <v>39</v>
      </c>
      <c r="E53" s="35" t="s">
        <v>25</v>
      </c>
      <c r="F53" s="35" t="s">
        <v>25</v>
      </c>
      <c r="G53" s="35" t="s">
        <v>25</v>
      </c>
      <c r="H53" s="35" t="s">
        <v>25</v>
      </c>
      <c r="I53" s="54">
        <v>44652</v>
      </c>
      <c r="J53" s="55">
        <f ca="1">EFEITO!$J$53*EFEITO!$Y$53</f>
        <v>177508.97862349031</v>
      </c>
      <c r="K53" s="55">
        <f>EFEITO!$L$53*EFEITO!$Z$53</f>
        <v>0</v>
      </c>
      <c r="L53" s="55">
        <f>EFEITO!$N$53*EFEITO!$AA$53</f>
        <v>0</v>
      </c>
      <c r="M53" s="55">
        <f ca="1">$J$53-EFEITO!$K$53*EFEITO!$Y$53</f>
        <v>0</v>
      </c>
      <c r="N53" s="55">
        <f>$K$53-EFEITO!$M$53*EFEITO!$Z$53</f>
        <v>0</v>
      </c>
      <c r="O53" s="55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35" t="s">
        <v>28</v>
      </c>
      <c r="B54" s="35" t="s">
        <v>35</v>
      </c>
      <c r="C54" s="35" t="s">
        <v>36</v>
      </c>
      <c r="D54" s="35" t="s">
        <v>39</v>
      </c>
      <c r="E54" s="35" t="s">
        <v>25</v>
      </c>
      <c r="F54" s="35" t="s">
        <v>25</v>
      </c>
      <c r="G54" s="35" t="s">
        <v>25</v>
      </c>
      <c r="H54" s="35" t="s">
        <v>25</v>
      </c>
      <c r="I54" s="54">
        <v>44652</v>
      </c>
      <c r="J54" s="55">
        <f ca="1">EFEITO!$J$54*EFEITO!$Y$54</f>
        <v>9329.0142656363969</v>
      </c>
      <c r="K54" s="55">
        <f>EFEITO!$L$54*EFEITO!$Z$54</f>
        <v>0</v>
      </c>
      <c r="L54" s="55">
        <f>EFEITO!$N$54*EFEITO!$AA$54</f>
        <v>0</v>
      </c>
      <c r="M54" s="55">
        <f ca="1">$J$54-EFEITO!$K$54*EFEITO!$Y$54</f>
        <v>0</v>
      </c>
      <c r="N54" s="55">
        <f>$K$54-EFEITO!$M$54*EFEITO!$Z$54</f>
        <v>0</v>
      </c>
      <c r="O54" s="55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35" t="s">
        <v>21</v>
      </c>
      <c r="B55" s="35" t="s">
        <v>35</v>
      </c>
      <c r="C55" s="35" t="s">
        <v>36</v>
      </c>
      <c r="D55" s="35" t="s">
        <v>39</v>
      </c>
      <c r="E55" s="35" t="s">
        <v>25</v>
      </c>
      <c r="F55" s="35" t="s">
        <v>25</v>
      </c>
      <c r="G55" s="35" t="s">
        <v>25</v>
      </c>
      <c r="H55" s="35" t="s">
        <v>25</v>
      </c>
      <c r="I55" s="54">
        <v>44682</v>
      </c>
      <c r="J55" s="55">
        <f ca="1">EFEITO!$J$55*EFEITO!$Y$55</f>
        <v>181580.75833059128</v>
      </c>
      <c r="K55" s="55">
        <f>EFEITO!$L$55*EFEITO!$Z$55</f>
        <v>0</v>
      </c>
      <c r="L55" s="55">
        <f>EFEITO!$N$55*EFEITO!$AA$55</f>
        <v>0</v>
      </c>
      <c r="M55" s="55">
        <f ca="1">$J$55-EFEITO!$K$55*EFEITO!$Y$55</f>
        <v>0</v>
      </c>
      <c r="N55" s="55">
        <f>$K$55-EFEITO!$M$55*EFEITO!$Z$55</f>
        <v>0</v>
      </c>
      <c r="O55" s="55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35" t="s">
        <v>28</v>
      </c>
      <c r="B56" s="35" t="s">
        <v>35</v>
      </c>
      <c r="C56" s="35" t="s">
        <v>36</v>
      </c>
      <c r="D56" s="35" t="s">
        <v>39</v>
      </c>
      <c r="E56" s="35" t="s">
        <v>25</v>
      </c>
      <c r="F56" s="35" t="s">
        <v>25</v>
      </c>
      <c r="G56" s="35" t="s">
        <v>25</v>
      </c>
      <c r="H56" s="35" t="s">
        <v>25</v>
      </c>
      <c r="I56" s="54">
        <v>44682</v>
      </c>
      <c r="J56" s="55">
        <f ca="1">EFEITO!$J$56*EFEITO!$Y$56</f>
        <v>16802.533981201464</v>
      </c>
      <c r="K56" s="55">
        <f>EFEITO!$L$56*EFEITO!$Z$56</f>
        <v>0</v>
      </c>
      <c r="L56" s="55">
        <f>EFEITO!$N$56*EFEITO!$AA$56</f>
        <v>0</v>
      </c>
      <c r="M56" s="55">
        <f ca="1">$J$56-EFEITO!$K$56*EFEITO!$Y$56</f>
        <v>0</v>
      </c>
      <c r="N56" s="55">
        <f>$K$56-EFEITO!$M$56*EFEITO!$Z$56</f>
        <v>0</v>
      </c>
      <c r="O56" s="55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35" t="s">
        <v>21</v>
      </c>
      <c r="B57" s="35" t="s">
        <v>35</v>
      </c>
      <c r="C57" s="35" t="s">
        <v>36</v>
      </c>
      <c r="D57" s="35" t="s">
        <v>39</v>
      </c>
      <c r="E57" s="35" t="s">
        <v>25</v>
      </c>
      <c r="F57" s="35" t="s">
        <v>25</v>
      </c>
      <c r="G57" s="35" t="s">
        <v>25</v>
      </c>
      <c r="H57" s="35" t="s">
        <v>25</v>
      </c>
      <c r="I57" s="54">
        <v>44713</v>
      </c>
      <c r="J57" s="55">
        <f ca="1">EFEITO!$J$57*EFEITO!$Y$57</f>
        <v>167097.59253697898</v>
      </c>
      <c r="K57" s="55">
        <f>EFEITO!$L$57*EFEITO!$Z$57</f>
        <v>0</v>
      </c>
      <c r="L57" s="55">
        <f>EFEITO!$N$57*EFEITO!$AA$57</f>
        <v>0</v>
      </c>
      <c r="M57" s="55">
        <f ca="1">$J$57-EFEITO!$K$57*EFEITO!$Y$57</f>
        <v>0</v>
      </c>
      <c r="N57" s="55">
        <f>$K$57-EFEITO!$M$57*EFEITO!$Z$57</f>
        <v>0</v>
      </c>
      <c r="O57" s="55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35" t="s">
        <v>27</v>
      </c>
      <c r="B58" s="35" t="s">
        <v>35</v>
      </c>
      <c r="C58" s="35" t="s">
        <v>36</v>
      </c>
      <c r="D58" s="35" t="s">
        <v>39</v>
      </c>
      <c r="E58" s="35" t="s">
        <v>25</v>
      </c>
      <c r="F58" s="35" t="s">
        <v>25</v>
      </c>
      <c r="G58" s="35" t="s">
        <v>25</v>
      </c>
      <c r="H58" s="35" t="s">
        <v>25</v>
      </c>
      <c r="I58" s="54">
        <v>44713</v>
      </c>
      <c r="J58" s="55">
        <f ca="1">EFEITO!$J$58*EFEITO!$Y$58</f>
        <v>-38089.179791741975</v>
      </c>
      <c r="K58" s="55">
        <f>EFEITO!$L$58*EFEITO!$Z$58</f>
        <v>0</v>
      </c>
      <c r="L58" s="55">
        <f>EFEITO!$N$58*EFEITO!$AA$58</f>
        <v>0</v>
      </c>
      <c r="M58" s="55">
        <f ca="1">$J$58-EFEITO!$K$58*EFEITO!$Y$58</f>
        <v>0</v>
      </c>
      <c r="N58" s="55">
        <f>$K$58-EFEITO!$M$58*EFEITO!$Z$58</f>
        <v>0</v>
      </c>
      <c r="O58" s="55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35" t="s">
        <v>28</v>
      </c>
      <c r="B59" s="35" t="s">
        <v>35</v>
      </c>
      <c r="C59" s="35" t="s">
        <v>36</v>
      </c>
      <c r="D59" s="35" t="s">
        <v>39</v>
      </c>
      <c r="E59" s="35" t="s">
        <v>25</v>
      </c>
      <c r="F59" s="35" t="s">
        <v>25</v>
      </c>
      <c r="G59" s="35" t="s">
        <v>25</v>
      </c>
      <c r="H59" s="35" t="s">
        <v>25</v>
      </c>
      <c r="I59" s="54">
        <v>44713</v>
      </c>
      <c r="J59" s="55">
        <f ca="1">EFEITO!$J$59*EFEITO!$Y$59</f>
        <v>14431.624278332547</v>
      </c>
      <c r="K59" s="55">
        <f>EFEITO!$L$59*EFEITO!$Z$59</f>
        <v>0</v>
      </c>
      <c r="L59" s="55">
        <f>EFEITO!$N$59*EFEITO!$AA$59</f>
        <v>0</v>
      </c>
      <c r="M59" s="55">
        <f ca="1">$J$59-EFEITO!$K$59*EFEITO!$Y$59</f>
        <v>0</v>
      </c>
      <c r="N59" s="55">
        <f>$K$59-EFEITO!$M$59*EFEITO!$Z$59</f>
        <v>0</v>
      </c>
      <c r="O59" s="55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35" t="s">
        <v>21</v>
      </c>
      <c r="B60" s="35" t="s">
        <v>35</v>
      </c>
      <c r="C60" s="35" t="s">
        <v>36</v>
      </c>
      <c r="D60" s="35" t="s">
        <v>39</v>
      </c>
      <c r="E60" s="35" t="s">
        <v>25</v>
      </c>
      <c r="F60" s="35" t="s">
        <v>25</v>
      </c>
      <c r="G60" s="35" t="s">
        <v>25</v>
      </c>
      <c r="H60" s="35" t="s">
        <v>37</v>
      </c>
      <c r="I60" s="54">
        <v>44378</v>
      </c>
      <c r="J60" s="55">
        <f>EFEITO!$J$60*EFEITO!$Y$60</f>
        <v>0</v>
      </c>
      <c r="K60" s="55">
        <f ca="1">EFEITO!$L$60*EFEITO!$Z$60</f>
        <v>10221.490927106681</v>
      </c>
      <c r="L60" s="55">
        <f>EFEITO!$N$60*EFEITO!$AA$60</f>
        <v>1558.1530050811371</v>
      </c>
      <c r="M60" s="55">
        <f>$J$60-EFEITO!$K$60*EFEITO!$Y$60</f>
        <v>0</v>
      </c>
      <c r="N60" s="55">
        <f ca="1">$K$60-EFEITO!$M$60*EFEITO!$Z$60</f>
        <v>0</v>
      </c>
      <c r="O60" s="55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35" t="s">
        <v>28</v>
      </c>
      <c r="B61" s="35" t="s">
        <v>35</v>
      </c>
      <c r="C61" s="35" t="s">
        <v>36</v>
      </c>
      <c r="D61" s="35" t="s">
        <v>39</v>
      </c>
      <c r="E61" s="35" t="s">
        <v>25</v>
      </c>
      <c r="F61" s="35" t="s">
        <v>25</v>
      </c>
      <c r="G61" s="35" t="s">
        <v>25</v>
      </c>
      <c r="H61" s="35" t="s">
        <v>37</v>
      </c>
      <c r="I61" s="54">
        <v>44378</v>
      </c>
      <c r="J61" s="55">
        <f>EFEITO!$J$61*EFEITO!$Y$61</f>
        <v>0</v>
      </c>
      <c r="K61" s="55">
        <f ca="1">EFEITO!$L$61*EFEITO!$Z$61</f>
        <v>2032.7298044205688</v>
      </c>
      <c r="L61" s="55">
        <f>EFEITO!$N$61*EFEITO!$AA$61</f>
        <v>309.86712954725931</v>
      </c>
      <c r="M61" s="55">
        <f>$J$61-EFEITO!$K$61*EFEITO!$Y$61</f>
        <v>0</v>
      </c>
      <c r="N61" s="55">
        <f ca="1">$K$61-EFEITO!$M$61*EFEITO!$Z$61</f>
        <v>0</v>
      </c>
      <c r="O61" s="55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35" t="s">
        <v>21</v>
      </c>
      <c r="B62" s="35" t="s">
        <v>35</v>
      </c>
      <c r="C62" s="35" t="s">
        <v>36</v>
      </c>
      <c r="D62" s="35" t="s">
        <v>39</v>
      </c>
      <c r="E62" s="35" t="s">
        <v>25</v>
      </c>
      <c r="F62" s="35" t="s">
        <v>25</v>
      </c>
      <c r="G62" s="35" t="s">
        <v>25</v>
      </c>
      <c r="H62" s="35" t="s">
        <v>37</v>
      </c>
      <c r="I62" s="54">
        <v>44409</v>
      </c>
      <c r="J62" s="55">
        <f>EFEITO!$J$62*EFEITO!$Y$62</f>
        <v>0</v>
      </c>
      <c r="K62" s="55">
        <f ca="1">EFEITO!$L$62*EFEITO!$Z$62</f>
        <v>13391.227321316966</v>
      </c>
      <c r="L62" s="55">
        <f>EFEITO!$N$62*EFEITO!$AA$62</f>
        <v>2041.3441875784081</v>
      </c>
      <c r="M62" s="55">
        <f>$J$62-EFEITO!$K$62*EFEITO!$Y$62</f>
        <v>0</v>
      </c>
      <c r="N62" s="55">
        <f ca="1">$K$62-EFEITO!$M$62*EFEITO!$Z$62</f>
        <v>0</v>
      </c>
      <c r="O62" s="55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35" t="s">
        <v>21</v>
      </c>
      <c r="B63" s="35" t="s">
        <v>35</v>
      </c>
      <c r="C63" s="35" t="s">
        <v>36</v>
      </c>
      <c r="D63" s="35" t="s">
        <v>39</v>
      </c>
      <c r="E63" s="35" t="s">
        <v>25</v>
      </c>
      <c r="F63" s="35" t="s">
        <v>25</v>
      </c>
      <c r="G63" s="35" t="s">
        <v>25</v>
      </c>
      <c r="H63" s="35" t="s">
        <v>37</v>
      </c>
      <c r="I63" s="54">
        <v>44440</v>
      </c>
      <c r="J63" s="55">
        <f>EFEITO!$J$63*EFEITO!$Y$63</f>
        <v>0</v>
      </c>
      <c r="K63" s="55">
        <f ca="1">EFEITO!$L$63*EFEITO!$Z$63</f>
        <v>12783.061005848051</v>
      </c>
      <c r="L63" s="55">
        <f>EFEITO!$N$63*EFEITO!$AA$63</f>
        <v>1948.6359732097974</v>
      </c>
      <c r="M63" s="55">
        <f>$J$63-EFEITO!$K$63*EFEITO!$Y$63</f>
        <v>0</v>
      </c>
      <c r="N63" s="55">
        <f ca="1">$K$63-EFEITO!$M$63*EFEITO!$Z$63</f>
        <v>0</v>
      </c>
      <c r="O63" s="55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35" t="s">
        <v>21</v>
      </c>
      <c r="B64" s="35" t="s">
        <v>35</v>
      </c>
      <c r="C64" s="35" t="s">
        <v>36</v>
      </c>
      <c r="D64" s="35" t="s">
        <v>39</v>
      </c>
      <c r="E64" s="35" t="s">
        <v>25</v>
      </c>
      <c r="F64" s="35" t="s">
        <v>25</v>
      </c>
      <c r="G64" s="35" t="s">
        <v>25</v>
      </c>
      <c r="H64" s="35" t="s">
        <v>37</v>
      </c>
      <c r="I64" s="54">
        <v>44470</v>
      </c>
      <c r="J64" s="55">
        <f>EFEITO!$J$64*EFEITO!$Y$64</f>
        <v>0</v>
      </c>
      <c r="K64" s="55">
        <f ca="1">EFEITO!$L$64*EFEITO!$Z$64</f>
        <v>13569.710913900237</v>
      </c>
      <c r="L64" s="55">
        <f>EFEITO!$N$64*EFEITO!$AA$64</f>
        <v>2068.552033099631</v>
      </c>
      <c r="M64" s="55">
        <f>$J$64-EFEITO!$K$64*EFEITO!$Y$64</f>
        <v>0</v>
      </c>
      <c r="N64" s="55">
        <f ca="1">$K$64-EFEITO!$M$64*EFEITO!$Z$64</f>
        <v>0</v>
      </c>
      <c r="O64" s="55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35" t="s">
        <v>21</v>
      </c>
      <c r="B65" s="35" t="s">
        <v>35</v>
      </c>
      <c r="C65" s="35" t="s">
        <v>36</v>
      </c>
      <c r="D65" s="35" t="s">
        <v>39</v>
      </c>
      <c r="E65" s="35" t="s">
        <v>25</v>
      </c>
      <c r="F65" s="35" t="s">
        <v>25</v>
      </c>
      <c r="G65" s="35" t="s">
        <v>25</v>
      </c>
      <c r="H65" s="35" t="s">
        <v>37</v>
      </c>
      <c r="I65" s="54">
        <v>44501</v>
      </c>
      <c r="J65" s="55">
        <f>EFEITO!$J$65*EFEITO!$Y$65</f>
        <v>0</v>
      </c>
      <c r="K65" s="55">
        <f ca="1">EFEITO!$L$65*EFEITO!$Z$65</f>
        <v>33363.21080621337</v>
      </c>
      <c r="L65" s="55">
        <f>EFEITO!$N$65*EFEITO!$AA$65</f>
        <v>5085.8517165041221</v>
      </c>
      <c r="M65" s="55">
        <f>$J$65-EFEITO!$K$65*EFEITO!$Y$65</f>
        <v>0</v>
      </c>
      <c r="N65" s="55">
        <f ca="1">$K$65-EFEITO!$M$65*EFEITO!$Z$65</f>
        <v>0</v>
      </c>
      <c r="O65" s="55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35" t="s">
        <v>28</v>
      </c>
      <c r="B66" s="35" t="s">
        <v>35</v>
      </c>
      <c r="C66" s="35" t="s">
        <v>36</v>
      </c>
      <c r="D66" s="35" t="s">
        <v>39</v>
      </c>
      <c r="E66" s="35" t="s">
        <v>25</v>
      </c>
      <c r="F66" s="35" t="s">
        <v>25</v>
      </c>
      <c r="G66" s="35" t="s">
        <v>25</v>
      </c>
      <c r="H66" s="35" t="s">
        <v>37</v>
      </c>
      <c r="I66" s="54">
        <v>44501</v>
      </c>
      <c r="J66" s="55">
        <f>EFEITO!$J$66*EFEITO!$Y$66</f>
        <v>0</v>
      </c>
      <c r="K66" s="55">
        <f ca="1">EFEITO!$L$66*EFEITO!$Z$66</f>
        <v>3116.8523667782056</v>
      </c>
      <c r="L66" s="55">
        <f>EFEITO!$N$66*EFEITO!$AA$66</f>
        <v>475.1295986391309</v>
      </c>
      <c r="M66" s="55">
        <f>$J$66-EFEITO!$K$66*EFEITO!$Y$66</f>
        <v>0</v>
      </c>
      <c r="N66" s="55">
        <f ca="1">$K$66-EFEITO!$M$66*EFEITO!$Z$66</f>
        <v>0</v>
      </c>
      <c r="O66" s="55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35" t="s">
        <v>21</v>
      </c>
      <c r="B67" s="35" t="s">
        <v>35</v>
      </c>
      <c r="C67" s="35" t="s">
        <v>36</v>
      </c>
      <c r="D67" s="35" t="s">
        <v>39</v>
      </c>
      <c r="E67" s="35" t="s">
        <v>25</v>
      </c>
      <c r="F67" s="35" t="s">
        <v>25</v>
      </c>
      <c r="G67" s="35" t="s">
        <v>25</v>
      </c>
      <c r="H67" s="35" t="s">
        <v>37</v>
      </c>
      <c r="I67" s="54">
        <v>44531</v>
      </c>
      <c r="J67" s="55">
        <f>EFEITO!$J$67*EFEITO!$Y$67</f>
        <v>0</v>
      </c>
      <c r="K67" s="55">
        <f ca="1">EFEITO!$L$67*EFEITO!$Z$67</f>
        <v>26779.149390919432</v>
      </c>
      <c r="L67" s="55">
        <f>EFEITO!$N$67*EFEITO!$AA$67</f>
        <v>4082.1845261656827</v>
      </c>
      <c r="M67" s="55">
        <f>$J$67-EFEITO!$K$67*EFEITO!$Y$67</f>
        <v>0</v>
      </c>
      <c r="N67" s="55">
        <f ca="1">$K$67-EFEITO!$M$67*EFEITO!$Z$67</f>
        <v>0</v>
      </c>
      <c r="O67" s="55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35" t="s">
        <v>21</v>
      </c>
      <c r="B68" s="35" t="s">
        <v>35</v>
      </c>
      <c r="C68" s="35" t="s">
        <v>36</v>
      </c>
      <c r="D68" s="35" t="s">
        <v>39</v>
      </c>
      <c r="E68" s="35" t="s">
        <v>25</v>
      </c>
      <c r="F68" s="35" t="s">
        <v>25</v>
      </c>
      <c r="G68" s="35" t="s">
        <v>25</v>
      </c>
      <c r="H68" s="35" t="s">
        <v>37</v>
      </c>
      <c r="I68" s="54">
        <v>44562</v>
      </c>
      <c r="J68" s="55">
        <f>EFEITO!$J$68*EFEITO!$Y$68</f>
        <v>0</v>
      </c>
      <c r="K68" s="55">
        <f ca="1">EFEITO!$L$68*EFEITO!$Z$68</f>
        <v>21209.800251978522</v>
      </c>
      <c r="L68" s="55">
        <f>EFEITO!$N$68*EFEITO!$AA$68</f>
        <v>3233.1989761053055</v>
      </c>
      <c r="M68" s="55">
        <f>$J$68-EFEITO!$K$68*EFEITO!$Y$68</f>
        <v>0</v>
      </c>
      <c r="N68" s="55">
        <f ca="1">$K$68-EFEITO!$M$68*EFEITO!$Z$68</f>
        <v>0</v>
      </c>
      <c r="O68" s="55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35" t="s">
        <v>28</v>
      </c>
      <c r="B69" s="35" t="s">
        <v>35</v>
      </c>
      <c r="C69" s="35" t="s">
        <v>36</v>
      </c>
      <c r="D69" s="35" t="s">
        <v>39</v>
      </c>
      <c r="E69" s="35" t="s">
        <v>25</v>
      </c>
      <c r="F69" s="35" t="s">
        <v>25</v>
      </c>
      <c r="G69" s="35" t="s">
        <v>25</v>
      </c>
      <c r="H69" s="35" t="s">
        <v>37</v>
      </c>
      <c r="I69" s="54">
        <v>44562</v>
      </c>
      <c r="J69" s="55">
        <f>EFEITO!$J$69*EFEITO!$Y$69</f>
        <v>0</v>
      </c>
      <c r="K69" s="55">
        <f ca="1">EFEITO!$L$69*EFEITO!$Z$69</f>
        <v>2012.8982941335389</v>
      </c>
      <c r="L69" s="55">
        <f>EFEITO!$N$69*EFEITO!$AA$69</f>
        <v>306.84403560045678</v>
      </c>
      <c r="M69" s="55">
        <f>$J$69-EFEITO!$K$69*EFEITO!$Y$69</f>
        <v>0</v>
      </c>
      <c r="N69" s="55">
        <f ca="1">$K$69-EFEITO!$M$69*EFEITO!$Z$69</f>
        <v>0</v>
      </c>
      <c r="O69" s="55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35" t="s">
        <v>21</v>
      </c>
      <c r="B70" s="35" t="s">
        <v>35</v>
      </c>
      <c r="C70" s="35" t="s">
        <v>36</v>
      </c>
      <c r="D70" s="35" t="s">
        <v>39</v>
      </c>
      <c r="E70" s="35" t="s">
        <v>25</v>
      </c>
      <c r="F70" s="35" t="s">
        <v>25</v>
      </c>
      <c r="G70" s="35" t="s">
        <v>25</v>
      </c>
      <c r="H70" s="35" t="s">
        <v>37</v>
      </c>
      <c r="I70" s="54">
        <v>44593</v>
      </c>
      <c r="J70" s="55">
        <f>EFEITO!$J$70*EFEITO!$Y$70</f>
        <v>0</v>
      </c>
      <c r="K70" s="55">
        <f ca="1">EFEITO!$L$70*EFEITO!$Z$70</f>
        <v>21125.516333258642</v>
      </c>
      <c r="L70" s="55">
        <f>EFEITO!$N$70*EFEITO!$AA$70</f>
        <v>3220.3508268313949</v>
      </c>
      <c r="M70" s="55">
        <f>$J$70-EFEITO!$K$70*EFEITO!$Y$70</f>
        <v>0</v>
      </c>
      <c r="N70" s="55">
        <f ca="1">$K$70-EFEITO!$M$70*EFEITO!$Z$70</f>
        <v>0</v>
      </c>
      <c r="O70" s="55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35" t="s">
        <v>28</v>
      </c>
      <c r="B71" s="35" t="s">
        <v>35</v>
      </c>
      <c r="C71" s="35" t="s">
        <v>36</v>
      </c>
      <c r="D71" s="35" t="s">
        <v>39</v>
      </c>
      <c r="E71" s="35" t="s">
        <v>25</v>
      </c>
      <c r="F71" s="35" t="s">
        <v>25</v>
      </c>
      <c r="G71" s="35" t="s">
        <v>25</v>
      </c>
      <c r="H71" s="35" t="s">
        <v>37</v>
      </c>
      <c r="I71" s="54">
        <v>44593</v>
      </c>
      <c r="J71" s="55">
        <f>EFEITO!$J$71*EFEITO!$Y$71</f>
        <v>0</v>
      </c>
      <c r="K71" s="55">
        <f ca="1">EFEITO!$L$71*EFEITO!$Z$71</f>
        <v>1897.2144841258641</v>
      </c>
      <c r="L71" s="55">
        <f>EFEITO!$N$71*EFEITO!$AA$71</f>
        <v>289.20932091077532</v>
      </c>
      <c r="M71" s="55">
        <f>$J$71-EFEITO!$K$71*EFEITO!$Y$71</f>
        <v>0</v>
      </c>
      <c r="N71" s="55">
        <f ca="1">$K$71-EFEITO!$M$71*EFEITO!$Z$71</f>
        <v>0</v>
      </c>
      <c r="O71" s="55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35" t="s">
        <v>21</v>
      </c>
      <c r="B72" s="35" t="s">
        <v>35</v>
      </c>
      <c r="C72" s="35" t="s">
        <v>36</v>
      </c>
      <c r="D72" s="35" t="s">
        <v>39</v>
      </c>
      <c r="E72" s="35" t="s">
        <v>25</v>
      </c>
      <c r="F72" s="35" t="s">
        <v>25</v>
      </c>
      <c r="G72" s="35" t="s">
        <v>25</v>
      </c>
      <c r="H72" s="35" t="s">
        <v>37</v>
      </c>
      <c r="I72" s="54">
        <v>44621</v>
      </c>
      <c r="J72" s="55">
        <f>EFEITO!$J$72*EFEITO!$Y$72</f>
        <v>0</v>
      </c>
      <c r="K72" s="55">
        <f ca="1">EFEITO!$L$72*EFEITO!$Z$72</f>
        <v>15109.958212859563</v>
      </c>
      <c r="L72" s="55">
        <f>EFEITO!$N$72*EFEITO!$AA$72</f>
        <v>2303.3456629679608</v>
      </c>
      <c r="M72" s="55">
        <f>$J$72-EFEITO!$K$72*EFEITO!$Y$72</f>
        <v>0</v>
      </c>
      <c r="N72" s="55">
        <f ca="1">$K$72-EFEITO!$M$72*EFEITO!$Z$72</f>
        <v>0</v>
      </c>
      <c r="O72" s="55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35" t="s">
        <v>28</v>
      </c>
      <c r="B73" s="35" t="s">
        <v>35</v>
      </c>
      <c r="C73" s="35" t="s">
        <v>36</v>
      </c>
      <c r="D73" s="35" t="s">
        <v>39</v>
      </c>
      <c r="E73" s="35" t="s">
        <v>25</v>
      </c>
      <c r="F73" s="35" t="s">
        <v>25</v>
      </c>
      <c r="G73" s="35" t="s">
        <v>25</v>
      </c>
      <c r="H73" s="35" t="s">
        <v>37</v>
      </c>
      <c r="I73" s="54">
        <v>44621</v>
      </c>
      <c r="J73" s="55">
        <f>EFEITO!$J$73*EFEITO!$Y$73</f>
        <v>0</v>
      </c>
      <c r="K73" s="55">
        <f ca="1">EFEITO!$L$73*EFEITO!$Z$73</f>
        <v>1084.1225623576368</v>
      </c>
      <c r="L73" s="55">
        <f>EFEITO!$N$73*EFEITO!$AA$73</f>
        <v>165.26246909187162</v>
      </c>
      <c r="M73" s="55">
        <f>$J$73-EFEITO!$K$73*EFEITO!$Y$73</f>
        <v>0</v>
      </c>
      <c r="N73" s="55">
        <f ca="1">$K$73-EFEITO!$M$73*EFEITO!$Z$73</f>
        <v>0</v>
      </c>
      <c r="O73" s="55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35" t="s">
        <v>21</v>
      </c>
      <c r="B74" s="35" t="s">
        <v>35</v>
      </c>
      <c r="C74" s="35" t="s">
        <v>36</v>
      </c>
      <c r="D74" s="35" t="s">
        <v>39</v>
      </c>
      <c r="E74" s="35" t="s">
        <v>25</v>
      </c>
      <c r="F74" s="35" t="s">
        <v>25</v>
      </c>
      <c r="G74" s="35" t="s">
        <v>25</v>
      </c>
      <c r="H74" s="35" t="s">
        <v>37</v>
      </c>
      <c r="I74" s="54">
        <v>44652</v>
      </c>
      <c r="J74" s="55">
        <f>EFEITO!$J$74*EFEITO!$Y$74</f>
        <v>0</v>
      </c>
      <c r="K74" s="55">
        <f ca="1">EFEITO!$L$74*EFEITO!$Z$74</f>
        <v>53179.847460528043</v>
      </c>
      <c r="L74" s="55">
        <f>EFEITO!$N$74*EFEITO!$AA$74</f>
        <v>8106.6783428465515</v>
      </c>
      <c r="M74" s="55">
        <f>$J$74-EFEITO!$K$74*EFEITO!$Y$74</f>
        <v>0</v>
      </c>
      <c r="N74" s="55">
        <f ca="1">$K$74-EFEITO!$M$74*EFEITO!$Z$74</f>
        <v>0</v>
      </c>
      <c r="O74" s="55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35" t="s">
        <v>28</v>
      </c>
      <c r="B75" s="35" t="s">
        <v>35</v>
      </c>
      <c r="C75" s="35" t="s">
        <v>36</v>
      </c>
      <c r="D75" s="35" t="s">
        <v>39</v>
      </c>
      <c r="E75" s="35" t="s">
        <v>25</v>
      </c>
      <c r="F75" s="35" t="s">
        <v>25</v>
      </c>
      <c r="G75" s="35" t="s">
        <v>25</v>
      </c>
      <c r="H75" s="35" t="s">
        <v>37</v>
      </c>
      <c r="I75" s="54">
        <v>44652</v>
      </c>
      <c r="J75" s="55">
        <f>EFEITO!$J$75*EFEITO!$Y$75</f>
        <v>0</v>
      </c>
      <c r="K75" s="55">
        <f ca="1">EFEITO!$L$75*EFEITO!$Z$75</f>
        <v>7317.8272959140477</v>
      </c>
      <c r="L75" s="55">
        <f>EFEITO!$N$75*EFEITO!$AA$75</f>
        <v>1115.5216663701335</v>
      </c>
      <c r="M75" s="55">
        <f>$J$75-EFEITO!$K$75*EFEITO!$Y$75</f>
        <v>0</v>
      </c>
      <c r="N75" s="55">
        <f ca="1">$K$75-EFEITO!$M$75*EFEITO!$Z$75</f>
        <v>0</v>
      </c>
      <c r="O75" s="55">
        <f>$L$75-EFEITO!$O$75*EFEITO!$AA$75</f>
        <v>0</v>
      </c>
      <c r="P75" s="39"/>
      <c r="Q75" s="39"/>
      <c r="R75" s="39"/>
      <c r="S75" s="39"/>
      <c r="T75" s="39"/>
      <c r="U75" s="39"/>
      <c r="V75" s="39"/>
      <c r="W75" s="39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35" t="s">
        <v>21</v>
      </c>
      <c r="B76" s="35" t="s">
        <v>35</v>
      </c>
      <c r="C76" s="35" t="s">
        <v>36</v>
      </c>
      <c r="D76" s="35" t="s">
        <v>39</v>
      </c>
      <c r="E76" s="35" t="s">
        <v>25</v>
      </c>
      <c r="F76" s="35" t="s">
        <v>25</v>
      </c>
      <c r="G76" s="35" t="s">
        <v>25</v>
      </c>
      <c r="H76" s="35" t="s">
        <v>37</v>
      </c>
      <c r="I76" s="54">
        <v>44682</v>
      </c>
      <c r="J76" s="55">
        <f>EFEITO!$J$76*EFEITO!$Y$76</f>
        <v>0</v>
      </c>
      <c r="K76" s="55">
        <f ca="1">EFEITO!$L$76*EFEITO!$Z$76</f>
        <v>62386.626111281686</v>
      </c>
      <c r="L76" s="55">
        <f>EFEITO!$N$76*EFEITO!$AA$76</f>
        <v>9510.1497076496253</v>
      </c>
      <c r="M76" s="55">
        <f>$J$76-EFEITO!$K$76*EFEITO!$Y$76</f>
        <v>0</v>
      </c>
      <c r="N76" s="55">
        <f ca="1">$K$76-EFEITO!$M$76*EFEITO!$Z$76</f>
        <v>0</v>
      </c>
      <c r="O76" s="55">
        <f>$L$76-EFEITO!$O$76*EFEITO!$AA$76</f>
        <v>0</v>
      </c>
      <c r="P76" s="39"/>
      <c r="Q76" s="39"/>
      <c r="R76" s="39"/>
      <c r="S76" s="39"/>
      <c r="T76" s="39"/>
      <c r="U76" s="39"/>
      <c r="V76" s="39"/>
      <c r="W76" s="39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35" t="s">
        <v>28</v>
      </c>
      <c r="B77" s="35" t="s">
        <v>35</v>
      </c>
      <c r="C77" s="35" t="s">
        <v>36</v>
      </c>
      <c r="D77" s="35" t="s">
        <v>39</v>
      </c>
      <c r="E77" s="35" t="s">
        <v>25</v>
      </c>
      <c r="F77" s="35" t="s">
        <v>25</v>
      </c>
      <c r="G77" s="35" t="s">
        <v>25</v>
      </c>
      <c r="H77" s="35" t="s">
        <v>37</v>
      </c>
      <c r="I77" s="54">
        <v>44682</v>
      </c>
      <c r="J77" s="55">
        <f>EFEITO!$J$77*EFEITO!$Y$77</f>
        <v>0</v>
      </c>
      <c r="K77" s="55">
        <f ca="1">EFEITO!$L$77*EFEITO!$Z$77</f>
        <v>10395.016642118195</v>
      </c>
      <c r="L77" s="55">
        <f>EFEITO!$N$77*EFEITO!$AA$77</f>
        <v>1584.6050771156595</v>
      </c>
      <c r="M77" s="55">
        <f>$J$77-EFEITO!$K$77*EFEITO!$Y$77</f>
        <v>0</v>
      </c>
      <c r="N77" s="55">
        <f ca="1">$K$77-EFEITO!$M$77*EFEITO!$Z$77</f>
        <v>0</v>
      </c>
      <c r="O77" s="55">
        <f>$L$77-EFEITO!$O$77*EFEITO!$AA$77</f>
        <v>0</v>
      </c>
      <c r="P77" s="39"/>
      <c r="Q77" s="39"/>
      <c r="R77" s="39"/>
      <c r="S77" s="39"/>
      <c r="T77" s="39"/>
      <c r="U77" s="39"/>
      <c r="V77" s="39"/>
      <c r="W77" s="39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35" t="s">
        <v>21</v>
      </c>
      <c r="B78" s="35" t="s">
        <v>35</v>
      </c>
      <c r="C78" s="35" t="s">
        <v>36</v>
      </c>
      <c r="D78" s="35" t="s">
        <v>39</v>
      </c>
      <c r="E78" s="35" t="s">
        <v>25</v>
      </c>
      <c r="F78" s="35" t="s">
        <v>25</v>
      </c>
      <c r="G78" s="35" t="s">
        <v>25</v>
      </c>
      <c r="H78" s="35" t="s">
        <v>37</v>
      </c>
      <c r="I78" s="54">
        <v>44713</v>
      </c>
      <c r="J78" s="55">
        <f>EFEITO!$J$78*EFEITO!$Y$78</f>
        <v>0</v>
      </c>
      <c r="K78" s="55">
        <f ca="1">EFEITO!$L$78*EFEITO!$Z$78</f>
        <v>32895.517688610918</v>
      </c>
      <c r="L78" s="55">
        <f>EFEITO!$N$78*EFEITO!$AA$78</f>
        <v>5014.5570842586967</v>
      </c>
      <c r="M78" s="55">
        <f>$J$78-EFEITO!$K$78*EFEITO!$Y$78</f>
        <v>0</v>
      </c>
      <c r="N78" s="55">
        <f ca="1">$K$78-EFEITO!$M$78*EFEITO!$Z$78</f>
        <v>0</v>
      </c>
      <c r="O78" s="55">
        <f>$L$78-EFEITO!$O$78*EFEITO!$AA$78</f>
        <v>0</v>
      </c>
      <c r="P78" s="39"/>
      <c r="Q78" s="39"/>
      <c r="R78" s="39"/>
      <c r="S78" s="39"/>
      <c r="T78" s="39"/>
      <c r="U78" s="39"/>
      <c r="V78" s="39"/>
      <c r="W78" s="39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35" t="s">
        <v>28</v>
      </c>
      <c r="B79" s="35" t="s">
        <v>35</v>
      </c>
      <c r="C79" s="35" t="s">
        <v>36</v>
      </c>
      <c r="D79" s="35" t="s">
        <v>39</v>
      </c>
      <c r="E79" s="35" t="s">
        <v>25</v>
      </c>
      <c r="F79" s="35" t="s">
        <v>25</v>
      </c>
      <c r="G79" s="35" t="s">
        <v>25</v>
      </c>
      <c r="H79" s="35" t="s">
        <v>37</v>
      </c>
      <c r="I79" s="54">
        <v>44713</v>
      </c>
      <c r="J79" s="55">
        <f>EFEITO!$J$79*EFEITO!$Y$79</f>
        <v>0</v>
      </c>
      <c r="K79" s="55">
        <f ca="1">EFEITO!$L$79*EFEITO!$Z$79</f>
        <v>5747.8327315241777</v>
      </c>
      <c r="L79" s="55">
        <f>EFEITO!$N$79*EFEITO!$AA$79</f>
        <v>876.19339558159993</v>
      </c>
      <c r="M79" s="55">
        <f>$J$79-EFEITO!$K$79*EFEITO!$Y$79</f>
        <v>0</v>
      </c>
      <c r="N79" s="55">
        <f ca="1">$K$79-EFEITO!$M$79*EFEITO!$Z$79</f>
        <v>0</v>
      </c>
      <c r="O79" s="55">
        <f>$L$79-EFEITO!$O$79*EFEITO!$AA$79</f>
        <v>0</v>
      </c>
      <c r="P79" s="39"/>
      <c r="Q79" s="39"/>
      <c r="R79" s="39"/>
      <c r="S79" s="39"/>
      <c r="T79" s="39"/>
      <c r="U79" s="39"/>
      <c r="V79" s="39"/>
      <c r="W79" s="39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35" t="s">
        <v>21</v>
      </c>
      <c r="B80" s="35" t="s">
        <v>35</v>
      </c>
      <c r="C80" s="35" t="s">
        <v>36</v>
      </c>
      <c r="D80" s="35" t="s">
        <v>34</v>
      </c>
      <c r="E80" s="35" t="s">
        <v>25</v>
      </c>
      <c r="F80" s="35" t="s">
        <v>53</v>
      </c>
      <c r="G80" s="35" t="s">
        <v>25</v>
      </c>
      <c r="H80" s="35" t="s">
        <v>38</v>
      </c>
      <c r="I80" s="54">
        <v>44440</v>
      </c>
      <c r="J80" s="55">
        <f>EFEITO!$J$80*EFEITO!$Y$80</f>
        <v>0</v>
      </c>
      <c r="K80" s="55">
        <f ca="1">EFEITO!$L$80*EFEITO!$Z$80</f>
        <v>500.228767934882</v>
      </c>
      <c r="L80" s="55">
        <f>EFEITO!$N$80*EFEITO!$AA$80</f>
        <v>0</v>
      </c>
      <c r="M80" s="55">
        <f>$J$80-EFEITO!$K$80*EFEITO!$Y$80</f>
        <v>0</v>
      </c>
      <c r="N80" s="55">
        <f ca="1">$K$80-EFEITO!$M$80*EFEITO!$Z$80</f>
        <v>0</v>
      </c>
      <c r="O80" s="55">
        <f>$L$80-EFEITO!$O$80*EFEITO!$AA$80</f>
        <v>0</v>
      </c>
      <c r="P80" s="39"/>
      <c r="Q80" s="39"/>
      <c r="R80" s="39"/>
      <c r="S80" s="39"/>
      <c r="T80" s="39"/>
      <c r="U80" s="39"/>
      <c r="V80" s="39"/>
      <c r="W80" s="39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35" t="s">
        <v>21</v>
      </c>
      <c r="B81" s="35" t="s">
        <v>35</v>
      </c>
      <c r="C81" s="35" t="s">
        <v>36</v>
      </c>
      <c r="D81" s="35" t="s">
        <v>34</v>
      </c>
      <c r="E81" s="35" t="s">
        <v>25</v>
      </c>
      <c r="F81" s="35" t="s">
        <v>53</v>
      </c>
      <c r="G81" s="35" t="s">
        <v>25</v>
      </c>
      <c r="H81" s="35" t="s">
        <v>38</v>
      </c>
      <c r="I81" s="54">
        <v>44470</v>
      </c>
      <c r="J81" s="55">
        <f>EFEITO!$J$81*EFEITO!$Y$81</f>
        <v>0</v>
      </c>
      <c r="K81" s="55">
        <f ca="1">EFEITO!$L$81*EFEITO!$Z$81</f>
        <v>783.82869160391886</v>
      </c>
      <c r="L81" s="55">
        <f>EFEITO!$N$81*EFEITO!$AA$81</f>
        <v>0</v>
      </c>
      <c r="M81" s="55">
        <f>$J$81-EFEITO!$K$81*EFEITO!$Y$81</f>
        <v>0</v>
      </c>
      <c r="N81" s="55">
        <f ca="1">$K$81-EFEITO!$M$81*EFEITO!$Z$81</f>
        <v>391.91434580195943</v>
      </c>
      <c r="O81" s="55">
        <f>$L$81-EFEITO!$O$81*EFEITO!$AA$81</f>
        <v>0</v>
      </c>
      <c r="P81" s="39"/>
      <c r="Q81" s="39"/>
      <c r="R81" s="39"/>
      <c r="S81" s="39"/>
      <c r="T81" s="39"/>
      <c r="U81" s="39"/>
      <c r="V81" s="39"/>
      <c r="W81" s="39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35" t="s">
        <v>21</v>
      </c>
      <c r="B82" s="35" t="s">
        <v>35</v>
      </c>
      <c r="C82" s="35" t="s">
        <v>36</v>
      </c>
      <c r="D82" s="35" t="s">
        <v>34</v>
      </c>
      <c r="E82" s="35" t="s">
        <v>25</v>
      </c>
      <c r="F82" s="35" t="s">
        <v>53</v>
      </c>
      <c r="G82" s="35" t="s">
        <v>25</v>
      </c>
      <c r="H82" s="35" t="s">
        <v>38</v>
      </c>
      <c r="I82" s="54">
        <v>44501</v>
      </c>
      <c r="J82" s="55">
        <f>EFEITO!$J$82*EFEITO!$Y$82</f>
        <v>0</v>
      </c>
      <c r="K82" s="55">
        <f ca="1">EFEITO!$L$82*EFEITO!$Z$82</f>
        <v>1058.0814247427556</v>
      </c>
      <c r="L82" s="55">
        <f>EFEITO!$N$82*EFEITO!$AA$82</f>
        <v>0</v>
      </c>
      <c r="M82" s="55">
        <f>$J$82-EFEITO!$K$82*EFEITO!$Y$82</f>
        <v>0</v>
      </c>
      <c r="N82" s="55">
        <f ca="1">$K$82-EFEITO!$M$82*EFEITO!$Z$82</f>
        <v>0</v>
      </c>
      <c r="O82" s="55">
        <f>$L$82-EFEITO!$O$82*EFEITO!$AA$82</f>
        <v>0</v>
      </c>
      <c r="P82" s="39"/>
      <c r="Q82" s="39"/>
      <c r="R82" s="39"/>
      <c r="S82" s="39"/>
      <c r="T82" s="39"/>
      <c r="U82" s="39"/>
      <c r="V82" s="39"/>
      <c r="W82" s="3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35" t="s">
        <v>21</v>
      </c>
      <c r="B83" s="35" t="s">
        <v>35</v>
      </c>
      <c r="C83" s="35" t="s">
        <v>36</v>
      </c>
      <c r="D83" s="35" t="s">
        <v>34</v>
      </c>
      <c r="E83" s="35" t="s">
        <v>25</v>
      </c>
      <c r="F83" s="35" t="s">
        <v>53</v>
      </c>
      <c r="G83" s="35" t="s">
        <v>25</v>
      </c>
      <c r="H83" s="35" t="s">
        <v>38</v>
      </c>
      <c r="I83" s="54">
        <v>44531</v>
      </c>
      <c r="J83" s="55">
        <f>EFEITO!$J$83*EFEITO!$Y$83</f>
        <v>0</v>
      </c>
      <c r="K83" s="55">
        <f ca="1">EFEITO!$L$83*EFEITO!$Z$83</f>
        <v>1987.6646587901234</v>
      </c>
      <c r="L83" s="55">
        <f>EFEITO!$N$83*EFEITO!$AA$83</f>
        <v>0</v>
      </c>
      <c r="M83" s="55">
        <f>$J$83-EFEITO!$K$83*EFEITO!$Y$83</f>
        <v>0</v>
      </c>
      <c r="N83" s="55">
        <f ca="1">$K$83-EFEITO!$M$83*EFEITO!$Z$83</f>
        <v>0</v>
      </c>
      <c r="O83" s="55">
        <f>$L$83-EFEITO!$O$83*EFEITO!$AA$83</f>
        <v>0</v>
      </c>
      <c r="P83" s="39"/>
      <c r="Q83" s="39"/>
      <c r="R83" s="39"/>
      <c r="S83" s="39"/>
      <c r="T83" s="39"/>
      <c r="U83" s="39"/>
      <c r="V83" s="39"/>
      <c r="W83" s="3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35" t="s">
        <v>21</v>
      </c>
      <c r="B84" s="35" t="s">
        <v>35</v>
      </c>
      <c r="C84" s="35" t="s">
        <v>36</v>
      </c>
      <c r="D84" s="35" t="s">
        <v>34</v>
      </c>
      <c r="E84" s="35" t="s">
        <v>25</v>
      </c>
      <c r="F84" s="35" t="s">
        <v>53</v>
      </c>
      <c r="G84" s="35" t="s">
        <v>25</v>
      </c>
      <c r="H84" s="35" t="s">
        <v>38</v>
      </c>
      <c r="I84" s="54">
        <v>44562</v>
      </c>
      <c r="J84" s="55">
        <f>EFEITO!$J$84*EFEITO!$Y$84</f>
        <v>0</v>
      </c>
      <c r="K84" s="55">
        <f ca="1">EFEITO!$L$84*EFEITO!$Z$84</f>
        <v>954.02973235712204</v>
      </c>
      <c r="L84" s="55">
        <f>EFEITO!$N$84*EFEITO!$AA$84</f>
        <v>0</v>
      </c>
      <c r="M84" s="55">
        <f>$J$84-EFEITO!$K$84*EFEITO!$Y$84</f>
        <v>0</v>
      </c>
      <c r="N84" s="55">
        <f ca="1">$K$84-EFEITO!$M$84*EFEITO!$Z$84</f>
        <v>0</v>
      </c>
      <c r="O84" s="55">
        <f>$L$84-EFEITO!$O$84*EFEITO!$AA$84</f>
        <v>0</v>
      </c>
      <c r="P84" s="39"/>
      <c r="Q84" s="39"/>
      <c r="R84" s="39"/>
      <c r="S84" s="39"/>
      <c r="T84" s="39"/>
      <c r="U84" s="39"/>
      <c r="V84" s="39"/>
      <c r="W84" s="39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35" t="s">
        <v>21</v>
      </c>
      <c r="B85" s="35" t="s">
        <v>35</v>
      </c>
      <c r="C85" s="35" t="s">
        <v>36</v>
      </c>
      <c r="D85" s="35" t="s">
        <v>34</v>
      </c>
      <c r="E85" s="35" t="s">
        <v>25</v>
      </c>
      <c r="F85" s="35" t="s">
        <v>53</v>
      </c>
      <c r="G85" s="35" t="s">
        <v>25</v>
      </c>
      <c r="H85" s="35" t="s">
        <v>38</v>
      </c>
      <c r="I85" s="54">
        <v>44593</v>
      </c>
      <c r="J85" s="55">
        <f>EFEITO!$J$85*EFEITO!$Y$85</f>
        <v>0</v>
      </c>
      <c r="K85" s="55">
        <f ca="1">EFEITO!$L$85*EFEITO!$Z$85</f>
        <v>714.28970271440846</v>
      </c>
      <c r="L85" s="55">
        <f>EFEITO!$N$85*EFEITO!$AA$85</f>
        <v>0</v>
      </c>
      <c r="M85" s="55">
        <f>$J$85-EFEITO!$K$85*EFEITO!$Y$85</f>
        <v>0</v>
      </c>
      <c r="N85" s="55">
        <f ca="1">$K$85-EFEITO!$M$85*EFEITO!$Z$85</f>
        <v>0</v>
      </c>
      <c r="O85" s="55">
        <f>$L$85-EFEITO!$O$85*EFEITO!$AA$85</f>
        <v>0</v>
      </c>
      <c r="P85" s="39"/>
      <c r="Q85" s="39"/>
      <c r="R85" s="39"/>
      <c r="S85" s="39"/>
      <c r="T85" s="39"/>
      <c r="U85" s="39"/>
      <c r="V85" s="39"/>
      <c r="W85" s="39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35" t="s">
        <v>21</v>
      </c>
      <c r="B86" s="35" t="s">
        <v>35</v>
      </c>
      <c r="C86" s="35" t="s">
        <v>36</v>
      </c>
      <c r="D86" s="35" t="s">
        <v>34</v>
      </c>
      <c r="E86" s="35" t="s">
        <v>25</v>
      </c>
      <c r="F86" s="35" t="s">
        <v>53</v>
      </c>
      <c r="G86" s="35" t="s">
        <v>25</v>
      </c>
      <c r="H86" s="35" t="s">
        <v>38</v>
      </c>
      <c r="I86" s="54">
        <v>44621</v>
      </c>
      <c r="J86" s="55">
        <f>EFEITO!$J$86*EFEITO!$Y$86</f>
        <v>0</v>
      </c>
      <c r="K86" s="55">
        <f ca="1">EFEITO!$L$86*EFEITO!$Z$86</f>
        <v>1032.8131953973796</v>
      </c>
      <c r="L86" s="55">
        <f>EFEITO!$N$86*EFEITO!$AA$86</f>
        <v>0</v>
      </c>
      <c r="M86" s="55">
        <f>$J$86-EFEITO!$K$86*EFEITO!$Y$86</f>
        <v>0</v>
      </c>
      <c r="N86" s="55">
        <f ca="1">$K$86-EFEITO!$M$86*EFEITO!$Z$86</f>
        <v>0</v>
      </c>
      <c r="O86" s="55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35" t="s">
        <v>21</v>
      </c>
      <c r="B87" s="35" t="s">
        <v>35</v>
      </c>
      <c r="C87" s="35" t="s">
        <v>36</v>
      </c>
      <c r="D87" s="35" t="s">
        <v>34</v>
      </c>
      <c r="E87" s="35" t="s">
        <v>25</v>
      </c>
      <c r="F87" s="35" t="s">
        <v>53</v>
      </c>
      <c r="G87" s="35" t="s">
        <v>25</v>
      </c>
      <c r="H87" s="35" t="s">
        <v>38</v>
      </c>
      <c r="I87" s="54">
        <v>44652</v>
      </c>
      <c r="J87" s="55">
        <f>EFEITO!$J$87*EFEITO!$Y$87</f>
        <v>0</v>
      </c>
      <c r="K87" s="55">
        <f ca="1">EFEITO!$L$87*EFEITO!$Z$87</f>
        <v>3934.0373330402422</v>
      </c>
      <c r="L87" s="55">
        <f>EFEITO!$N$87*EFEITO!$AA$87</f>
        <v>0</v>
      </c>
      <c r="M87" s="55">
        <f>$J$87-EFEITO!$K$87*EFEITO!$Y$87</f>
        <v>0</v>
      </c>
      <c r="N87" s="55">
        <f ca="1">$K$87-EFEITO!$M$87*EFEITO!$Z$87</f>
        <v>0</v>
      </c>
      <c r="O87" s="55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35" t="s">
        <v>21</v>
      </c>
      <c r="B88" s="35" t="s">
        <v>35</v>
      </c>
      <c r="C88" s="35" t="s">
        <v>36</v>
      </c>
      <c r="D88" s="35" t="s">
        <v>34</v>
      </c>
      <c r="E88" s="35" t="s">
        <v>25</v>
      </c>
      <c r="F88" s="35" t="s">
        <v>53</v>
      </c>
      <c r="G88" s="35" t="s">
        <v>25</v>
      </c>
      <c r="H88" s="35" t="s">
        <v>38</v>
      </c>
      <c r="I88" s="54">
        <v>44682</v>
      </c>
      <c r="J88" s="55">
        <f>EFEITO!$J$88*EFEITO!$Y$88</f>
        <v>0</v>
      </c>
      <c r="K88" s="55">
        <f ca="1">EFEITO!$L$88*EFEITO!$Z$88</f>
        <v>11851.21042849914</v>
      </c>
      <c r="L88" s="55">
        <f>EFEITO!$N$88*EFEITO!$AA$88</f>
        <v>0</v>
      </c>
      <c r="M88" s="55">
        <f>$J$88-EFEITO!$K$88*EFEITO!$Y$88</f>
        <v>0</v>
      </c>
      <c r="N88" s="55">
        <f ca="1">$K$88-EFEITO!$M$88*EFEITO!$Z$88</f>
        <v>0</v>
      </c>
      <c r="O88" s="55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35" t="s">
        <v>21</v>
      </c>
      <c r="B89" s="35" t="s">
        <v>35</v>
      </c>
      <c r="C89" s="35" t="s">
        <v>36</v>
      </c>
      <c r="D89" s="35" t="s">
        <v>34</v>
      </c>
      <c r="E89" s="35" t="s">
        <v>25</v>
      </c>
      <c r="F89" s="35" t="s">
        <v>53</v>
      </c>
      <c r="G89" s="35" t="s">
        <v>25</v>
      </c>
      <c r="H89" s="35" t="s">
        <v>38</v>
      </c>
      <c r="I89" s="54">
        <v>44713</v>
      </c>
      <c r="J89" s="55">
        <f>EFEITO!$J$89*EFEITO!$Y$89</f>
        <v>0</v>
      </c>
      <c r="K89" s="55">
        <f ca="1">EFEITO!$L$89*EFEITO!$Z$89</f>
        <v>4477.9205622425425</v>
      </c>
      <c r="L89" s="55">
        <f>EFEITO!$N$89*EFEITO!$AA$89</f>
        <v>0</v>
      </c>
      <c r="M89" s="55">
        <f>$J$89-EFEITO!$K$89*EFEITO!$Y$89</f>
        <v>0</v>
      </c>
      <c r="N89" s="55">
        <f ca="1">$K$89-EFEITO!$M$89*EFEITO!$Z$89</f>
        <v>0</v>
      </c>
      <c r="O89" s="55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35" t="s">
        <v>21</v>
      </c>
      <c r="B90" s="35" t="s">
        <v>35</v>
      </c>
      <c r="C90" s="35" t="s">
        <v>36</v>
      </c>
      <c r="D90" s="35" t="s">
        <v>34</v>
      </c>
      <c r="E90" s="35" t="s">
        <v>25</v>
      </c>
      <c r="F90" s="35" t="s">
        <v>53</v>
      </c>
      <c r="G90" s="35" t="s">
        <v>25</v>
      </c>
      <c r="H90" s="35" t="s">
        <v>25</v>
      </c>
      <c r="I90" s="54">
        <v>44378</v>
      </c>
      <c r="J90" s="55">
        <f ca="1">EFEITO!$J$90*EFEITO!$Y$90</f>
        <v>61849.818335710916</v>
      </c>
      <c r="K90" s="55">
        <f>EFEITO!$L$90*EFEITO!$Z$90</f>
        <v>0</v>
      </c>
      <c r="L90" s="55">
        <f>EFEITO!$N$90*EFEITO!$AA$90</f>
        <v>0</v>
      </c>
      <c r="M90" s="55">
        <f ca="1">$J$90-EFEITO!$K$90*EFEITO!$Y$90</f>
        <v>30924.909167855458</v>
      </c>
      <c r="N90" s="55">
        <f>$K$90-EFEITO!$M$90*EFEITO!$Z$90</f>
        <v>0</v>
      </c>
      <c r="O90" s="55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35" t="s">
        <v>21</v>
      </c>
      <c r="B91" s="35" t="s">
        <v>35</v>
      </c>
      <c r="C91" s="35" t="s">
        <v>36</v>
      </c>
      <c r="D91" s="35" t="s">
        <v>34</v>
      </c>
      <c r="E91" s="35" t="s">
        <v>25</v>
      </c>
      <c r="F91" s="35" t="s">
        <v>53</v>
      </c>
      <c r="G91" s="35" t="s">
        <v>25</v>
      </c>
      <c r="H91" s="35" t="s">
        <v>25</v>
      </c>
      <c r="I91" s="54">
        <v>44409</v>
      </c>
      <c r="J91" s="55">
        <f ca="1">EFEITO!$J$91*EFEITO!$Y$91</f>
        <v>30924.909167855458</v>
      </c>
      <c r="K91" s="55">
        <f>EFEITO!$L$91*EFEITO!$Z$91</f>
        <v>0</v>
      </c>
      <c r="L91" s="55">
        <f>EFEITO!$N$91*EFEITO!$AA$91</f>
        <v>0</v>
      </c>
      <c r="M91" s="55">
        <f ca="1">$J$91-EFEITO!$K$91*EFEITO!$Y$91</f>
        <v>0</v>
      </c>
      <c r="N91" s="55">
        <f>$K$91-EFEITO!$M$91*EFEITO!$Z$91</f>
        <v>0</v>
      </c>
      <c r="O91" s="55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35" t="s">
        <v>21</v>
      </c>
      <c r="B92" s="35" t="s">
        <v>35</v>
      </c>
      <c r="C92" s="35" t="s">
        <v>36</v>
      </c>
      <c r="D92" s="35" t="s">
        <v>34</v>
      </c>
      <c r="E92" s="35" t="s">
        <v>25</v>
      </c>
      <c r="F92" s="35" t="s">
        <v>53</v>
      </c>
      <c r="G92" s="35" t="s">
        <v>25</v>
      </c>
      <c r="H92" s="35" t="s">
        <v>25</v>
      </c>
      <c r="I92" s="54">
        <v>44440</v>
      </c>
      <c r="J92" s="55">
        <f ca="1">EFEITO!$J$92*EFEITO!$Y$92</f>
        <v>30924.909167855458</v>
      </c>
      <c r="K92" s="55">
        <f>EFEITO!$L$92*EFEITO!$Z$92</f>
        <v>0</v>
      </c>
      <c r="L92" s="55">
        <f>EFEITO!$N$92*EFEITO!$AA$92</f>
        <v>0</v>
      </c>
      <c r="M92" s="55">
        <f ca="1">$J$92-EFEITO!$K$92*EFEITO!$Y$92</f>
        <v>0</v>
      </c>
      <c r="N92" s="55">
        <f>$K$92-EFEITO!$M$92*EFEITO!$Z$92</f>
        <v>0</v>
      </c>
      <c r="O92" s="55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35" t="s">
        <v>21</v>
      </c>
      <c r="B93" s="35" t="s">
        <v>35</v>
      </c>
      <c r="C93" s="35" t="s">
        <v>36</v>
      </c>
      <c r="D93" s="35" t="s">
        <v>34</v>
      </c>
      <c r="E93" s="35" t="s">
        <v>25</v>
      </c>
      <c r="F93" s="35" t="s">
        <v>53</v>
      </c>
      <c r="G93" s="35" t="s">
        <v>25</v>
      </c>
      <c r="H93" s="35" t="s">
        <v>25</v>
      </c>
      <c r="I93" s="54">
        <v>44470</v>
      </c>
      <c r="J93" s="55">
        <f ca="1">EFEITO!$J$93*EFEITO!$Y$93</f>
        <v>30924.909167855458</v>
      </c>
      <c r="K93" s="55">
        <f>EFEITO!$L$93*EFEITO!$Z$93</f>
        <v>0</v>
      </c>
      <c r="L93" s="55">
        <f>EFEITO!$N$93*EFEITO!$AA$93</f>
        <v>0</v>
      </c>
      <c r="M93" s="55">
        <f ca="1">$J$93-EFEITO!$K$93*EFEITO!$Y$93</f>
        <v>14553.262254392779</v>
      </c>
      <c r="N93" s="55">
        <f>$K$93-EFEITO!$M$93*EFEITO!$Z$93</f>
        <v>0</v>
      </c>
      <c r="O93" s="55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35" t="s">
        <v>21</v>
      </c>
      <c r="B94" s="35" t="s">
        <v>35</v>
      </c>
      <c r="C94" s="35" t="s">
        <v>36</v>
      </c>
      <c r="D94" s="35" t="s">
        <v>34</v>
      </c>
      <c r="E94" s="35" t="s">
        <v>25</v>
      </c>
      <c r="F94" s="35" t="s">
        <v>53</v>
      </c>
      <c r="G94" s="35" t="s">
        <v>25</v>
      </c>
      <c r="H94" s="35" t="s">
        <v>25</v>
      </c>
      <c r="I94" s="54">
        <v>44501</v>
      </c>
      <c r="J94" s="55">
        <f ca="1">EFEITO!$J$94*EFEITO!$Y$94</f>
        <v>30924.909167855458</v>
      </c>
      <c r="K94" s="55">
        <f>EFEITO!$L$94*EFEITO!$Z$94</f>
        <v>0</v>
      </c>
      <c r="L94" s="55">
        <f>EFEITO!$N$94*EFEITO!$AA$94</f>
        <v>0</v>
      </c>
      <c r="M94" s="55">
        <f ca="1">$J$94-EFEITO!$K$94*EFEITO!$Y$94</f>
        <v>20150.670813774617</v>
      </c>
      <c r="N94" s="55">
        <f>$K$94-EFEITO!$M$94*EFEITO!$Z$94</f>
        <v>0</v>
      </c>
      <c r="O94" s="55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35" t="s">
        <v>21</v>
      </c>
      <c r="B95" s="35" t="s">
        <v>35</v>
      </c>
      <c r="C95" s="35" t="s">
        <v>36</v>
      </c>
      <c r="D95" s="35" t="s">
        <v>34</v>
      </c>
      <c r="E95" s="35" t="s">
        <v>25</v>
      </c>
      <c r="F95" s="35" t="s">
        <v>53</v>
      </c>
      <c r="G95" s="35" t="s">
        <v>25</v>
      </c>
      <c r="H95" s="35" t="s">
        <v>25</v>
      </c>
      <c r="I95" s="54">
        <v>44531</v>
      </c>
      <c r="J95" s="55">
        <f ca="1">EFEITO!$J$95*EFEITO!$Y$95</f>
        <v>30924.909167855458</v>
      </c>
      <c r="K95" s="55">
        <f>EFEITO!$L$95*EFEITO!$Z$95</f>
        <v>0</v>
      </c>
      <c r="L95" s="55">
        <f>EFEITO!$N$95*EFEITO!$AA$95</f>
        <v>0</v>
      </c>
      <c r="M95" s="55">
        <f ca="1">$J$95-EFEITO!$K$95*EFEITO!$Y$95</f>
        <v>14302.770490133149</v>
      </c>
      <c r="N95" s="55">
        <f>$K$95-EFEITO!$M$95*EFEITO!$Z$95</f>
        <v>0</v>
      </c>
      <c r="O95" s="55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35" t="s">
        <v>21</v>
      </c>
      <c r="B96" s="35" t="s">
        <v>35</v>
      </c>
      <c r="C96" s="35" t="s">
        <v>36</v>
      </c>
      <c r="D96" s="35" t="s">
        <v>34</v>
      </c>
      <c r="E96" s="35" t="s">
        <v>25</v>
      </c>
      <c r="F96" s="35" t="s">
        <v>53</v>
      </c>
      <c r="G96" s="35" t="s">
        <v>25</v>
      </c>
      <c r="H96" s="35" t="s">
        <v>25</v>
      </c>
      <c r="I96" s="54">
        <v>44562</v>
      </c>
      <c r="J96" s="55">
        <f ca="1">EFEITO!$J$96*EFEITO!$Y$96</f>
        <v>30924.909167855458</v>
      </c>
      <c r="K96" s="55">
        <f>EFEITO!$L$96*EFEITO!$Z$96</f>
        <v>0</v>
      </c>
      <c r="L96" s="55">
        <f>EFEITO!$N$96*EFEITO!$AA$96</f>
        <v>0</v>
      </c>
      <c r="M96" s="55">
        <f ca="1">$J$96-EFEITO!$K$96*EFEITO!$Y$96</f>
        <v>0</v>
      </c>
      <c r="N96" s="55">
        <f>$K$96-EFEITO!$M$96*EFEITO!$Z$96</f>
        <v>0</v>
      </c>
      <c r="O96" s="55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35" t="s">
        <v>21</v>
      </c>
      <c r="B97" s="35" t="s">
        <v>35</v>
      </c>
      <c r="C97" s="35" t="s">
        <v>36</v>
      </c>
      <c r="D97" s="35" t="s">
        <v>34</v>
      </c>
      <c r="E97" s="35" t="s">
        <v>25</v>
      </c>
      <c r="F97" s="35" t="s">
        <v>53</v>
      </c>
      <c r="G97" s="35" t="s">
        <v>25</v>
      </c>
      <c r="H97" s="35" t="s">
        <v>25</v>
      </c>
      <c r="I97" s="54">
        <v>44593</v>
      </c>
      <c r="J97" s="55">
        <f ca="1">EFEITO!$J$97*EFEITO!$Y$97</f>
        <v>30924.909167855458</v>
      </c>
      <c r="K97" s="55">
        <f>EFEITO!$L$97*EFEITO!$Z$97</f>
        <v>0</v>
      </c>
      <c r="L97" s="55">
        <f>EFEITO!$N$97*EFEITO!$AA$97</f>
        <v>0</v>
      </c>
      <c r="M97" s="55">
        <f ca="1">$J$97-EFEITO!$K$97*EFEITO!$Y$97</f>
        <v>19597.114939670006</v>
      </c>
      <c r="N97" s="55">
        <f>$K$97-EFEITO!$M$97*EFEITO!$Z$97</f>
        <v>0</v>
      </c>
      <c r="O97" s="55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35" t="s">
        <v>21</v>
      </c>
      <c r="B98" s="35" t="s">
        <v>35</v>
      </c>
      <c r="C98" s="35" t="s">
        <v>36</v>
      </c>
      <c r="D98" s="35" t="s">
        <v>34</v>
      </c>
      <c r="E98" s="35" t="s">
        <v>25</v>
      </c>
      <c r="F98" s="35" t="s">
        <v>53</v>
      </c>
      <c r="G98" s="35" t="s">
        <v>25</v>
      </c>
      <c r="H98" s="35" t="s">
        <v>25</v>
      </c>
      <c r="I98" s="54">
        <v>44621</v>
      </c>
      <c r="J98" s="55">
        <f ca="1">EFEITO!$J$98*EFEITO!$Y$98</f>
        <v>30924.909167855458</v>
      </c>
      <c r="K98" s="55">
        <f>EFEITO!$L$98*EFEITO!$Z$98</f>
        <v>0</v>
      </c>
      <c r="L98" s="55">
        <f>EFEITO!$N$98*EFEITO!$AA$98</f>
        <v>0</v>
      </c>
      <c r="M98" s="55">
        <f ca="1">$J$98-EFEITO!$K$98*EFEITO!$Y$98</f>
        <v>24291.516151350464</v>
      </c>
      <c r="N98" s="55">
        <f>$K$98-EFEITO!$M$98*EFEITO!$Z$98</f>
        <v>0</v>
      </c>
      <c r="O98" s="55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35" t="s">
        <v>21</v>
      </c>
      <c r="B99" s="35" t="s">
        <v>35</v>
      </c>
      <c r="C99" s="35" t="s">
        <v>36</v>
      </c>
      <c r="D99" s="35" t="s">
        <v>34</v>
      </c>
      <c r="E99" s="35" t="s">
        <v>25</v>
      </c>
      <c r="F99" s="35" t="s">
        <v>53</v>
      </c>
      <c r="G99" s="35" t="s">
        <v>25</v>
      </c>
      <c r="H99" s="35" t="s">
        <v>25</v>
      </c>
      <c r="I99" s="54">
        <v>44652</v>
      </c>
      <c r="J99" s="55">
        <f ca="1">EFEITO!$J$99*EFEITO!$Y$99</f>
        <v>30924.909167855458</v>
      </c>
      <c r="K99" s="55">
        <f>EFEITO!$L$99*EFEITO!$Z$99</f>
        <v>0</v>
      </c>
      <c r="L99" s="55">
        <f>EFEITO!$N$99*EFEITO!$AA$99</f>
        <v>0</v>
      </c>
      <c r="M99" s="55">
        <f ca="1">$J$99-EFEITO!$K$99*EFEITO!$Y$99</f>
        <v>23391.601294565869</v>
      </c>
      <c r="N99" s="55">
        <f>$K$99-EFEITO!$M$99*EFEITO!$Z$99</f>
        <v>0</v>
      </c>
      <c r="O99" s="55">
        <f>$L$99-EFEITO!$O$99*EFEITO!$AA$99</f>
        <v>0</v>
      </c>
      <c r="P99" s="39"/>
      <c r="Q99" s="39"/>
      <c r="R99" s="39"/>
      <c r="S99" s="39"/>
      <c r="T99" s="39"/>
      <c r="U99" s="39"/>
      <c r="V99" s="39"/>
      <c r="W99" s="39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35" t="s">
        <v>21</v>
      </c>
      <c r="B100" s="35" t="s">
        <v>35</v>
      </c>
      <c r="C100" s="35" t="s">
        <v>36</v>
      </c>
      <c r="D100" s="35" t="s">
        <v>34</v>
      </c>
      <c r="E100" s="35" t="s">
        <v>25</v>
      </c>
      <c r="F100" s="35" t="s">
        <v>53</v>
      </c>
      <c r="G100" s="35" t="s">
        <v>25</v>
      </c>
      <c r="H100" s="35" t="s">
        <v>25</v>
      </c>
      <c r="I100" s="54">
        <v>44682</v>
      </c>
      <c r="J100" s="55">
        <f ca="1">EFEITO!$J$100*EFEITO!$Y$100</f>
        <v>30924.909167855458</v>
      </c>
      <c r="K100" s="55">
        <f>EFEITO!$L$100*EFEITO!$Z$100</f>
        <v>0</v>
      </c>
      <c r="L100" s="55">
        <f>EFEITO!$N$100*EFEITO!$AA$100</f>
        <v>0</v>
      </c>
      <c r="M100" s="55">
        <f ca="1">$J$100-EFEITO!$K$100*EFEITO!$Y$100</f>
        <v>29616.785510055171</v>
      </c>
      <c r="N100" s="55">
        <f>$K$100-EFEITO!$M$100*EFEITO!$Z$100</f>
        <v>0</v>
      </c>
      <c r="O100" s="55">
        <f>$L$100-EFEITO!$O$100*EFEITO!$AA$100</f>
        <v>0</v>
      </c>
      <c r="P100" s="39"/>
      <c r="Q100" s="39"/>
      <c r="R100" s="39"/>
      <c r="S100" s="39"/>
      <c r="T100" s="39"/>
      <c r="U100" s="39"/>
      <c r="V100" s="39"/>
      <c r="W100" s="39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35" t="s">
        <v>21</v>
      </c>
      <c r="B101" s="35" t="s">
        <v>35</v>
      </c>
      <c r="C101" s="35" t="s">
        <v>36</v>
      </c>
      <c r="D101" s="35" t="s">
        <v>34</v>
      </c>
      <c r="E101" s="35" t="s">
        <v>25</v>
      </c>
      <c r="F101" s="35" t="s">
        <v>53</v>
      </c>
      <c r="G101" s="35" t="s">
        <v>25</v>
      </c>
      <c r="H101" s="35" t="s">
        <v>25</v>
      </c>
      <c r="I101" s="54">
        <v>44713</v>
      </c>
      <c r="J101" s="55">
        <f ca="1">EFEITO!$J$101*EFEITO!$Y$101</f>
        <v>30924.909167855458</v>
      </c>
      <c r="K101" s="55">
        <f>EFEITO!$L$101*EFEITO!$Z$101</f>
        <v>0</v>
      </c>
      <c r="L101" s="55">
        <f>EFEITO!$N$101*EFEITO!$AA$101</f>
        <v>0</v>
      </c>
      <c r="M101" s="55">
        <f ca="1">$J$101-EFEITO!$K$101*EFEITO!$Y$101</f>
        <v>20271.277959529252</v>
      </c>
      <c r="N101" s="55">
        <f>$K$101-EFEITO!$M$101*EFEITO!$Z$101</f>
        <v>0</v>
      </c>
      <c r="O101" s="55">
        <f>$L$101-EFEITO!$O$101*EFEITO!$AA$101</f>
        <v>0</v>
      </c>
      <c r="P101" s="39"/>
      <c r="Q101" s="39"/>
      <c r="R101" s="39"/>
      <c r="S101" s="39"/>
      <c r="T101" s="39"/>
      <c r="U101" s="39"/>
      <c r="V101" s="39"/>
      <c r="W101" s="39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35" t="s">
        <v>21</v>
      </c>
      <c r="B102" s="35" t="s">
        <v>35</v>
      </c>
      <c r="C102" s="35" t="s">
        <v>36</v>
      </c>
      <c r="D102" s="35" t="s">
        <v>34</v>
      </c>
      <c r="E102" s="35" t="s">
        <v>25</v>
      </c>
      <c r="F102" s="35" t="s">
        <v>53</v>
      </c>
      <c r="G102" s="35" t="s">
        <v>25</v>
      </c>
      <c r="H102" s="35" t="s">
        <v>37</v>
      </c>
      <c r="I102" s="54">
        <v>44440</v>
      </c>
      <c r="J102" s="55">
        <f>EFEITO!$J$102*EFEITO!$Y$102</f>
        <v>0</v>
      </c>
      <c r="K102" s="55">
        <f ca="1">EFEITO!$L$102*EFEITO!$Z$102</f>
        <v>991.57551435149696</v>
      </c>
      <c r="L102" s="55">
        <f>EFEITO!$N$102*EFEITO!$AA$102</f>
        <v>0</v>
      </c>
      <c r="M102" s="55">
        <f>$J$102-EFEITO!$K$102*EFEITO!$Y$102</f>
        <v>0</v>
      </c>
      <c r="N102" s="55">
        <f ca="1">$K$102-EFEITO!$M$102*EFEITO!$Z$102</f>
        <v>0</v>
      </c>
      <c r="O102" s="55">
        <f>$L$102-EFEITO!$O$102*EFEITO!$AA$102</f>
        <v>0</v>
      </c>
      <c r="P102" s="39"/>
      <c r="Q102" s="39"/>
      <c r="R102" s="39"/>
      <c r="S102" s="39"/>
      <c r="T102" s="39"/>
      <c r="U102" s="39"/>
      <c r="V102" s="39"/>
      <c r="W102" s="39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35" t="s">
        <v>21</v>
      </c>
      <c r="B103" s="35" t="s">
        <v>35</v>
      </c>
      <c r="C103" s="35" t="s">
        <v>36</v>
      </c>
      <c r="D103" s="35" t="s">
        <v>34</v>
      </c>
      <c r="E103" s="35" t="s">
        <v>25</v>
      </c>
      <c r="F103" s="35" t="s">
        <v>53</v>
      </c>
      <c r="G103" s="35" t="s">
        <v>25</v>
      </c>
      <c r="H103" s="35" t="s">
        <v>37</v>
      </c>
      <c r="I103" s="54">
        <v>44470</v>
      </c>
      <c r="J103" s="55">
        <f>EFEITO!$J$103*EFEITO!$Y$103</f>
        <v>0</v>
      </c>
      <c r="K103" s="55">
        <f ca="1">EFEITO!$L$103*EFEITO!$Z$103</f>
        <v>897.37584048810493</v>
      </c>
      <c r="L103" s="55">
        <f>EFEITO!$N$103*EFEITO!$AA$103</f>
        <v>0</v>
      </c>
      <c r="M103" s="55">
        <f>$J$103-EFEITO!$K$103*EFEITO!$Y$103</f>
        <v>0</v>
      </c>
      <c r="N103" s="55">
        <f ca="1">$K$103-EFEITO!$M$103*EFEITO!$Z$103</f>
        <v>448.68792024405246</v>
      </c>
      <c r="O103" s="55">
        <f>$L$103-EFEITO!$O$103*EFEITO!$AA$103</f>
        <v>0</v>
      </c>
      <c r="P103" s="39"/>
      <c r="Q103" s="39"/>
      <c r="R103" s="39"/>
      <c r="S103" s="39"/>
      <c r="T103" s="39"/>
      <c r="U103" s="39"/>
      <c r="V103" s="39"/>
      <c r="W103" s="39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35" t="s">
        <v>21</v>
      </c>
      <c r="B104" s="35" t="s">
        <v>35</v>
      </c>
      <c r="C104" s="35" t="s">
        <v>36</v>
      </c>
      <c r="D104" s="35" t="s">
        <v>34</v>
      </c>
      <c r="E104" s="35" t="s">
        <v>25</v>
      </c>
      <c r="F104" s="35" t="s">
        <v>53</v>
      </c>
      <c r="G104" s="35" t="s">
        <v>25</v>
      </c>
      <c r="H104" s="35" t="s">
        <v>37</v>
      </c>
      <c r="I104" s="54">
        <v>44501</v>
      </c>
      <c r="J104" s="55">
        <f>EFEITO!$J$104*EFEITO!$Y$104</f>
        <v>0</v>
      </c>
      <c r="K104" s="55">
        <f ca="1">EFEITO!$L$104*EFEITO!$Z$104</f>
        <v>1054.3752969270918</v>
      </c>
      <c r="L104" s="55">
        <f>EFEITO!$N$104*EFEITO!$AA$104</f>
        <v>0</v>
      </c>
      <c r="M104" s="55">
        <f>$J$104-EFEITO!$K$104*EFEITO!$Y$104</f>
        <v>0</v>
      </c>
      <c r="N104" s="55">
        <f ca="1">$K$104-EFEITO!$M$104*EFEITO!$Z$104</f>
        <v>0</v>
      </c>
      <c r="O104" s="55">
        <f>$L$104-EFEITO!$O$104*EFEITO!$AA$104</f>
        <v>0</v>
      </c>
      <c r="P104" s="39"/>
      <c r="Q104" s="39"/>
      <c r="R104" s="39"/>
      <c r="S104" s="39"/>
      <c r="T104" s="39"/>
      <c r="U104" s="39"/>
      <c r="V104" s="39"/>
      <c r="W104" s="39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35" t="s">
        <v>21</v>
      </c>
      <c r="B105" s="35" t="s">
        <v>35</v>
      </c>
      <c r="C105" s="35" t="s">
        <v>36</v>
      </c>
      <c r="D105" s="35" t="s">
        <v>34</v>
      </c>
      <c r="E105" s="35" t="s">
        <v>25</v>
      </c>
      <c r="F105" s="35" t="s">
        <v>53</v>
      </c>
      <c r="G105" s="35" t="s">
        <v>25</v>
      </c>
      <c r="H105" s="35" t="s">
        <v>37</v>
      </c>
      <c r="I105" s="54">
        <v>44531</v>
      </c>
      <c r="J105" s="55">
        <f>EFEITO!$J$105*EFEITO!$Y$105</f>
        <v>0</v>
      </c>
      <c r="K105" s="55">
        <f ca="1">EFEITO!$L$105*EFEITO!$Z$105</f>
        <v>1338.6269443745211</v>
      </c>
      <c r="L105" s="55">
        <f>EFEITO!$N$105*EFEITO!$AA$105</f>
        <v>0</v>
      </c>
      <c r="M105" s="55">
        <f>$J$105-EFEITO!$K$105*EFEITO!$Y$105</f>
        <v>0</v>
      </c>
      <c r="N105" s="55">
        <f ca="1">$K$105-EFEITO!$M$105*EFEITO!$Z$105</f>
        <v>0</v>
      </c>
      <c r="O105" s="55">
        <f>$L$105-EFEITO!$O$105*EFEITO!$AA$105</f>
        <v>0</v>
      </c>
      <c r="P105" s="39"/>
      <c r="Q105" s="39"/>
      <c r="R105" s="39"/>
      <c r="S105" s="39"/>
      <c r="T105" s="39"/>
      <c r="U105" s="39"/>
      <c r="V105" s="39"/>
      <c r="W105" s="39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35" t="s">
        <v>21</v>
      </c>
      <c r="B106" s="35" t="s">
        <v>35</v>
      </c>
      <c r="C106" s="35" t="s">
        <v>36</v>
      </c>
      <c r="D106" s="35" t="s">
        <v>34</v>
      </c>
      <c r="E106" s="35" t="s">
        <v>25</v>
      </c>
      <c r="F106" s="35" t="s">
        <v>53</v>
      </c>
      <c r="G106" s="35" t="s">
        <v>25</v>
      </c>
      <c r="H106" s="35" t="s">
        <v>37</v>
      </c>
      <c r="I106" s="54">
        <v>44562</v>
      </c>
      <c r="J106" s="55">
        <f>EFEITO!$J$106*EFEITO!$Y$106</f>
        <v>0</v>
      </c>
      <c r="K106" s="55">
        <f ca="1">EFEITO!$L$106*EFEITO!$Z$106</f>
        <v>1272.5219100844213</v>
      </c>
      <c r="L106" s="55">
        <f>EFEITO!$N$106*EFEITO!$AA$106</f>
        <v>0</v>
      </c>
      <c r="M106" s="55">
        <f>$J$106-EFEITO!$K$106*EFEITO!$Y$106</f>
        <v>0</v>
      </c>
      <c r="N106" s="55">
        <f ca="1">$K$106-EFEITO!$M$106*EFEITO!$Z$106</f>
        <v>0</v>
      </c>
      <c r="O106" s="55">
        <f>$L$106-EFEITO!$O$106*EFEITO!$AA$106</f>
        <v>0</v>
      </c>
      <c r="P106" s="39"/>
      <c r="Q106" s="39"/>
      <c r="R106" s="39"/>
      <c r="S106" s="39"/>
      <c r="T106" s="39"/>
      <c r="U106" s="39"/>
      <c r="V106" s="39"/>
      <c r="W106" s="39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35" t="s">
        <v>21</v>
      </c>
      <c r="B107" s="35" t="s">
        <v>35</v>
      </c>
      <c r="C107" s="35" t="s">
        <v>36</v>
      </c>
      <c r="D107" s="35" t="s">
        <v>34</v>
      </c>
      <c r="E107" s="35" t="s">
        <v>25</v>
      </c>
      <c r="F107" s="35" t="s">
        <v>53</v>
      </c>
      <c r="G107" s="35" t="s">
        <v>25</v>
      </c>
      <c r="H107" s="35" t="s">
        <v>37</v>
      </c>
      <c r="I107" s="54">
        <v>44593</v>
      </c>
      <c r="J107" s="55">
        <f>EFEITO!$J$107*EFEITO!$Y$107</f>
        <v>0</v>
      </c>
      <c r="K107" s="55">
        <f ca="1">EFEITO!$L$107*EFEITO!$Z$107</f>
        <v>1284.0902910851887</v>
      </c>
      <c r="L107" s="55">
        <f>EFEITO!$N$107*EFEITO!$AA$107</f>
        <v>0</v>
      </c>
      <c r="M107" s="55">
        <f>$J$107-EFEITO!$K$107*EFEITO!$Y$107</f>
        <v>0</v>
      </c>
      <c r="N107" s="55">
        <f ca="1">$K$107-EFEITO!$M$107*EFEITO!$Z$107</f>
        <v>0</v>
      </c>
      <c r="O107" s="55">
        <f>$L$107-EFEITO!$O$107*EFEITO!$AA$107</f>
        <v>0</v>
      </c>
      <c r="P107" s="39"/>
      <c r="Q107" s="39"/>
      <c r="R107" s="39"/>
      <c r="S107" s="39"/>
      <c r="T107" s="39"/>
      <c r="U107" s="39"/>
      <c r="V107" s="39"/>
      <c r="W107" s="39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35" t="s">
        <v>21</v>
      </c>
      <c r="B108" s="35" t="s">
        <v>35</v>
      </c>
      <c r="C108" s="35" t="s">
        <v>36</v>
      </c>
      <c r="D108" s="35" t="s">
        <v>34</v>
      </c>
      <c r="E108" s="35" t="s">
        <v>25</v>
      </c>
      <c r="F108" s="35" t="s">
        <v>53</v>
      </c>
      <c r="G108" s="35" t="s">
        <v>25</v>
      </c>
      <c r="H108" s="35" t="s">
        <v>37</v>
      </c>
      <c r="I108" s="54">
        <v>44621</v>
      </c>
      <c r="J108" s="55">
        <f>EFEITO!$J$108*EFEITO!$Y$108</f>
        <v>0</v>
      </c>
      <c r="K108" s="55">
        <f ca="1">EFEITO!$L$108*EFEITO!$Z$108</f>
        <v>2526.864935739065</v>
      </c>
      <c r="L108" s="55">
        <f>EFEITO!$N$108*EFEITO!$AA$108</f>
        <v>0</v>
      </c>
      <c r="M108" s="55">
        <f>$J$108-EFEITO!$K$108*EFEITO!$Y$108</f>
        <v>0</v>
      </c>
      <c r="N108" s="55">
        <f ca="1">$K$108-EFEITO!$M$108*EFEITO!$Z$108</f>
        <v>0</v>
      </c>
      <c r="O108" s="55">
        <f>$L$108-EFEITO!$O$108*EFEITO!$AA$108</f>
        <v>0</v>
      </c>
      <c r="P108" s="39"/>
      <c r="Q108" s="39"/>
      <c r="R108" s="39"/>
      <c r="S108" s="39"/>
      <c r="T108" s="39"/>
      <c r="U108" s="39"/>
      <c r="V108" s="39"/>
      <c r="W108" s="39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35" t="s">
        <v>21</v>
      </c>
      <c r="B109" s="35" t="s">
        <v>35</v>
      </c>
      <c r="C109" s="35" t="s">
        <v>36</v>
      </c>
      <c r="D109" s="35" t="s">
        <v>34</v>
      </c>
      <c r="E109" s="35" t="s">
        <v>25</v>
      </c>
      <c r="F109" s="35" t="s">
        <v>53</v>
      </c>
      <c r="G109" s="35" t="s">
        <v>25</v>
      </c>
      <c r="H109" s="35" t="s">
        <v>37</v>
      </c>
      <c r="I109" s="54">
        <v>44652</v>
      </c>
      <c r="J109" s="55">
        <f>EFEITO!$J$109*EFEITO!$Y$109</f>
        <v>0</v>
      </c>
      <c r="K109" s="55">
        <f ca="1">EFEITO!$L$109*EFEITO!$Z$109</f>
        <v>8243.2977759754467</v>
      </c>
      <c r="L109" s="55">
        <f>EFEITO!$N$109*EFEITO!$AA$109</f>
        <v>0</v>
      </c>
      <c r="M109" s="55">
        <f>$J$109-EFEITO!$K$109*EFEITO!$Y$109</f>
        <v>0</v>
      </c>
      <c r="N109" s="55">
        <f ca="1">$K$109-EFEITO!$M$109*EFEITO!$Z$109</f>
        <v>0</v>
      </c>
      <c r="O109" s="55">
        <f>$L$109-EFEITO!$O$109*EFEITO!$AA$109</f>
        <v>0</v>
      </c>
      <c r="P109" s="39"/>
      <c r="Q109" s="39"/>
      <c r="R109" s="39"/>
      <c r="S109" s="39"/>
      <c r="T109" s="39"/>
      <c r="U109" s="39"/>
      <c r="V109" s="39"/>
      <c r="W109" s="39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35" t="s">
        <v>21</v>
      </c>
      <c r="B110" s="35" t="s">
        <v>35</v>
      </c>
      <c r="C110" s="35" t="s">
        <v>36</v>
      </c>
      <c r="D110" s="35" t="s">
        <v>34</v>
      </c>
      <c r="E110" s="35" t="s">
        <v>25</v>
      </c>
      <c r="F110" s="35" t="s">
        <v>53</v>
      </c>
      <c r="G110" s="35" t="s">
        <v>25</v>
      </c>
      <c r="H110" s="35" t="s">
        <v>37</v>
      </c>
      <c r="I110" s="54">
        <v>44682</v>
      </c>
      <c r="J110" s="55">
        <f>EFEITO!$J$110*EFEITO!$Y$110</f>
        <v>0</v>
      </c>
      <c r="K110" s="55">
        <f ca="1">EFEITO!$L$110*EFEITO!$Z$110</f>
        <v>29268.00393194169</v>
      </c>
      <c r="L110" s="55">
        <f>EFEITO!$N$110*EFEITO!$AA$110</f>
        <v>0</v>
      </c>
      <c r="M110" s="55">
        <f>$J$110-EFEITO!$K$110*EFEITO!$Y$110</f>
        <v>0</v>
      </c>
      <c r="N110" s="55">
        <f ca="1">$K$110-EFEITO!$M$110*EFEITO!$Z$110</f>
        <v>0</v>
      </c>
      <c r="O110" s="55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35" t="s">
        <v>21</v>
      </c>
      <c r="B111" s="35" t="s">
        <v>35</v>
      </c>
      <c r="C111" s="35" t="s">
        <v>36</v>
      </c>
      <c r="D111" s="35" t="s">
        <v>34</v>
      </c>
      <c r="E111" s="35" t="s">
        <v>25</v>
      </c>
      <c r="F111" s="35" t="s">
        <v>53</v>
      </c>
      <c r="G111" s="35" t="s">
        <v>25</v>
      </c>
      <c r="H111" s="35" t="s">
        <v>37</v>
      </c>
      <c r="I111" s="54">
        <v>44713</v>
      </c>
      <c r="J111" s="55">
        <f>EFEITO!$J$111*EFEITO!$Y$111</f>
        <v>0</v>
      </c>
      <c r="K111" s="55">
        <f ca="1">EFEITO!$L$111*EFEITO!$Z$111</f>
        <v>4113.38575870146</v>
      </c>
      <c r="L111" s="55">
        <f>EFEITO!$N$111*EFEITO!$AA$111</f>
        <v>0</v>
      </c>
      <c r="M111" s="55">
        <f>$J$111-EFEITO!$K$111*EFEITO!$Y$111</f>
        <v>0</v>
      </c>
      <c r="N111" s="55">
        <f ca="1">$K$111-EFEITO!$M$111*EFEITO!$Z$111</f>
        <v>0</v>
      </c>
      <c r="O111" s="55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35" t="s">
        <v>21</v>
      </c>
      <c r="B112" s="35" t="s">
        <v>35</v>
      </c>
      <c r="C112" s="35" t="s">
        <v>36</v>
      </c>
      <c r="D112" s="35" t="s">
        <v>34</v>
      </c>
      <c r="E112" s="35" t="s">
        <v>25</v>
      </c>
      <c r="F112" s="35" t="s">
        <v>25</v>
      </c>
      <c r="G112" s="35" t="s">
        <v>25</v>
      </c>
      <c r="H112" s="35" t="s">
        <v>38</v>
      </c>
      <c r="I112" s="54">
        <v>44378</v>
      </c>
      <c r="J112" s="55">
        <f>EFEITO!$J$112*EFEITO!$Y$112</f>
        <v>0</v>
      </c>
      <c r="K112" s="55">
        <f ca="1">EFEITO!$L$112*EFEITO!$Z$112</f>
        <v>31619.799385216087</v>
      </c>
      <c r="L112" s="55">
        <f>EFEITO!$N$112*EFEITO!$AA$112</f>
        <v>77551.429017325296</v>
      </c>
      <c r="M112" s="55">
        <f>$J$112-EFEITO!$K$112*EFEITO!$Y$112</f>
        <v>0</v>
      </c>
      <c r="N112" s="55">
        <f ca="1">$K$112-EFEITO!$M$112*EFEITO!$Z$112</f>
        <v>0</v>
      </c>
      <c r="O112" s="55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35" t="s">
        <v>21</v>
      </c>
      <c r="B113" s="35" t="s">
        <v>35</v>
      </c>
      <c r="C113" s="35" t="s">
        <v>36</v>
      </c>
      <c r="D113" s="35" t="s">
        <v>34</v>
      </c>
      <c r="E113" s="35" t="s">
        <v>25</v>
      </c>
      <c r="F113" s="35" t="s">
        <v>25</v>
      </c>
      <c r="G113" s="35" t="s">
        <v>25</v>
      </c>
      <c r="H113" s="35" t="s">
        <v>38</v>
      </c>
      <c r="I113" s="54">
        <v>44409</v>
      </c>
      <c r="J113" s="55">
        <f>EFEITO!$J$113*EFEITO!$Y$113</f>
        <v>0</v>
      </c>
      <c r="K113" s="55">
        <f ca="1">EFEITO!$L$113*EFEITO!$Z$113</f>
        <v>44060.396399015095</v>
      </c>
      <c r="L113" s="55">
        <f>EFEITO!$N$113*EFEITO!$AA$113</f>
        <v>108063.51622240322</v>
      </c>
      <c r="M113" s="55">
        <f>$J$113-EFEITO!$K$113*EFEITO!$Y$113</f>
        <v>0</v>
      </c>
      <c r="N113" s="55">
        <f ca="1">$K$113-EFEITO!$M$113*EFEITO!$Z$113</f>
        <v>0</v>
      </c>
      <c r="O113" s="55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35" t="s">
        <v>21</v>
      </c>
      <c r="B114" s="35" t="s">
        <v>35</v>
      </c>
      <c r="C114" s="35" t="s">
        <v>36</v>
      </c>
      <c r="D114" s="35" t="s">
        <v>34</v>
      </c>
      <c r="E114" s="35" t="s">
        <v>25</v>
      </c>
      <c r="F114" s="35" t="s">
        <v>25</v>
      </c>
      <c r="G114" s="35" t="s">
        <v>25</v>
      </c>
      <c r="H114" s="35" t="s">
        <v>38</v>
      </c>
      <c r="I114" s="54">
        <v>44440</v>
      </c>
      <c r="J114" s="55">
        <f>EFEITO!$J$114*EFEITO!$Y$114</f>
        <v>0</v>
      </c>
      <c r="K114" s="55">
        <f ca="1">EFEITO!$L$114*EFEITO!$Z$114</f>
        <v>39022.877001513982</v>
      </c>
      <c r="L114" s="55">
        <f>EFEITO!$N$114*EFEITO!$AA$114</f>
        <v>95708.38318631686</v>
      </c>
      <c r="M114" s="55">
        <f>$J$114-EFEITO!$K$114*EFEITO!$Y$114</f>
        <v>0</v>
      </c>
      <c r="N114" s="55">
        <f ca="1">$K$114-EFEITO!$M$114*EFEITO!$Z$114</f>
        <v>0</v>
      </c>
      <c r="O114" s="55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35" t="s">
        <v>21</v>
      </c>
      <c r="B115" s="35" t="s">
        <v>35</v>
      </c>
      <c r="C115" s="35" t="s">
        <v>36</v>
      </c>
      <c r="D115" s="35" t="s">
        <v>34</v>
      </c>
      <c r="E115" s="35" t="s">
        <v>25</v>
      </c>
      <c r="F115" s="35" t="s">
        <v>25</v>
      </c>
      <c r="G115" s="35" t="s">
        <v>25</v>
      </c>
      <c r="H115" s="35" t="s">
        <v>38</v>
      </c>
      <c r="I115" s="54">
        <v>44470</v>
      </c>
      <c r="J115" s="55">
        <f>EFEITO!$J$115*EFEITO!$Y$115</f>
        <v>0</v>
      </c>
      <c r="K115" s="55">
        <f ca="1">EFEITO!$L$115*EFEITO!$Z$115</f>
        <v>42320.175498326636</v>
      </c>
      <c r="L115" s="55">
        <f>EFEITO!$N$115*EFEITO!$AA$115</f>
        <v>103795.41141850919</v>
      </c>
      <c r="M115" s="55">
        <f>$J$115-EFEITO!$K$115*EFEITO!$Y$115</f>
        <v>0</v>
      </c>
      <c r="N115" s="55">
        <f ca="1">$K$115-EFEITO!$M$115*EFEITO!$Z$115</f>
        <v>0</v>
      </c>
      <c r="O115" s="55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35" t="s">
        <v>21</v>
      </c>
      <c r="B116" s="35" t="s">
        <v>35</v>
      </c>
      <c r="C116" s="35" t="s">
        <v>36</v>
      </c>
      <c r="D116" s="35" t="s">
        <v>34</v>
      </c>
      <c r="E116" s="35" t="s">
        <v>25</v>
      </c>
      <c r="F116" s="35" t="s">
        <v>25</v>
      </c>
      <c r="G116" s="35" t="s">
        <v>25</v>
      </c>
      <c r="H116" s="35" t="s">
        <v>38</v>
      </c>
      <c r="I116" s="54">
        <v>44501</v>
      </c>
      <c r="J116" s="55">
        <f>EFEITO!$J$116*EFEITO!$Y$116</f>
        <v>0</v>
      </c>
      <c r="K116" s="55">
        <f ca="1">EFEITO!$L$116*EFEITO!$Z$116</f>
        <v>44560.830599708883</v>
      </c>
      <c r="L116" s="55">
        <f>EFEITO!$N$116*EFEITO!$AA$116</f>
        <v>109290.89236480505</v>
      </c>
      <c r="M116" s="55">
        <f>$J$116-EFEITO!$K$116*EFEITO!$Y$116</f>
        <v>0</v>
      </c>
      <c r="N116" s="55">
        <f ca="1">$K$116-EFEITO!$M$116*EFEITO!$Z$116</f>
        <v>0</v>
      </c>
      <c r="O116" s="55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35" t="s">
        <v>21</v>
      </c>
      <c r="B117" s="35" t="s">
        <v>35</v>
      </c>
      <c r="C117" s="35" t="s">
        <v>36</v>
      </c>
      <c r="D117" s="35" t="s">
        <v>34</v>
      </c>
      <c r="E117" s="35" t="s">
        <v>25</v>
      </c>
      <c r="F117" s="35" t="s">
        <v>25</v>
      </c>
      <c r="G117" s="35" t="s">
        <v>25</v>
      </c>
      <c r="H117" s="35" t="s">
        <v>38</v>
      </c>
      <c r="I117" s="54">
        <v>44531</v>
      </c>
      <c r="J117" s="55">
        <f>EFEITO!$J$117*EFEITO!$Y$117</f>
        <v>0</v>
      </c>
      <c r="K117" s="55">
        <f ca="1">EFEITO!$L$117*EFEITO!$Z$117</f>
        <v>39680.056397252665</v>
      </c>
      <c r="L117" s="55">
        <f>EFEITO!$N$117*EFEITO!$AA$117</f>
        <v>97320.196108953751</v>
      </c>
      <c r="M117" s="55">
        <f>$J$117-EFEITO!$K$117*EFEITO!$Y$117</f>
        <v>0</v>
      </c>
      <c r="N117" s="55">
        <f ca="1">$K$117-EFEITO!$M$117*EFEITO!$Z$117</f>
        <v>0</v>
      </c>
      <c r="O117" s="55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35" t="s">
        <v>21</v>
      </c>
      <c r="B118" s="35" t="s">
        <v>35</v>
      </c>
      <c r="C118" s="35" t="s">
        <v>36</v>
      </c>
      <c r="D118" s="35" t="s">
        <v>34</v>
      </c>
      <c r="E118" s="35" t="s">
        <v>25</v>
      </c>
      <c r="F118" s="35" t="s">
        <v>25</v>
      </c>
      <c r="G118" s="35" t="s">
        <v>25</v>
      </c>
      <c r="H118" s="35" t="s">
        <v>38</v>
      </c>
      <c r="I118" s="54">
        <v>44562</v>
      </c>
      <c r="J118" s="55">
        <f>EFEITO!$J$118*EFEITO!$Y$118</f>
        <v>0</v>
      </c>
      <c r="K118" s="55">
        <f ca="1">EFEITO!$L$118*EFEITO!$Z$118</f>
        <v>38226.927777134639</v>
      </c>
      <c r="L118" s="55">
        <f>EFEITO!$N$118*EFEITO!$AA$118</f>
        <v>93756.220270169128</v>
      </c>
      <c r="M118" s="55">
        <f>$J$118-EFEITO!$K$118*EFEITO!$Y$118</f>
        <v>0</v>
      </c>
      <c r="N118" s="55">
        <f ca="1">$K$118-EFEITO!$M$118*EFEITO!$Z$118</f>
        <v>0</v>
      </c>
      <c r="O118" s="55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35" t="s">
        <v>21</v>
      </c>
      <c r="B119" s="35" t="s">
        <v>35</v>
      </c>
      <c r="C119" s="35" t="s">
        <v>36</v>
      </c>
      <c r="D119" s="35" t="s">
        <v>34</v>
      </c>
      <c r="E119" s="35" t="s">
        <v>25</v>
      </c>
      <c r="F119" s="35" t="s">
        <v>25</v>
      </c>
      <c r="G119" s="35" t="s">
        <v>25</v>
      </c>
      <c r="H119" s="35" t="s">
        <v>38</v>
      </c>
      <c r="I119" s="54">
        <v>44593</v>
      </c>
      <c r="J119" s="55">
        <f>EFEITO!$J$119*EFEITO!$Y$119</f>
        <v>0</v>
      </c>
      <c r="K119" s="55">
        <f ca="1">EFEITO!$L$119*EFEITO!$Z$119</f>
        <v>41438.149947965896</v>
      </c>
      <c r="L119" s="55">
        <f>EFEITO!$N$119*EFEITO!$AA$119</f>
        <v>101632.13577507641</v>
      </c>
      <c r="M119" s="55">
        <f>$J$119-EFEITO!$K$119*EFEITO!$Y$119</f>
        <v>0</v>
      </c>
      <c r="N119" s="55">
        <f ca="1">$K$119-EFEITO!$M$119*EFEITO!$Z$119</f>
        <v>0</v>
      </c>
      <c r="O119" s="55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35" t="s">
        <v>21</v>
      </c>
      <c r="B120" s="35" t="s">
        <v>35</v>
      </c>
      <c r="C120" s="35" t="s">
        <v>36</v>
      </c>
      <c r="D120" s="35" t="s">
        <v>34</v>
      </c>
      <c r="E120" s="35" t="s">
        <v>25</v>
      </c>
      <c r="F120" s="35" t="s">
        <v>25</v>
      </c>
      <c r="G120" s="35" t="s">
        <v>25</v>
      </c>
      <c r="H120" s="35" t="s">
        <v>38</v>
      </c>
      <c r="I120" s="54">
        <v>44621</v>
      </c>
      <c r="J120" s="55">
        <f>EFEITO!$J$120*EFEITO!$Y$120</f>
        <v>0</v>
      </c>
      <c r="K120" s="55">
        <f ca="1">EFEITO!$L$120*EFEITO!$Z$120</f>
        <v>55769.755507489986</v>
      </c>
      <c r="L120" s="55">
        <f>EFEITO!$N$120*EFEITO!$AA$120</f>
        <v>136782.15294354054</v>
      </c>
      <c r="M120" s="55">
        <f>$J$120-EFEITO!$K$120*EFEITO!$Y$120</f>
        <v>0</v>
      </c>
      <c r="N120" s="55">
        <f ca="1">$K$120-EFEITO!$M$120*EFEITO!$Z$120</f>
        <v>0</v>
      </c>
      <c r="O120" s="55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35" t="s">
        <v>21</v>
      </c>
      <c r="B121" s="35" t="s">
        <v>35</v>
      </c>
      <c r="C121" s="35" t="s">
        <v>36</v>
      </c>
      <c r="D121" s="35" t="s">
        <v>34</v>
      </c>
      <c r="E121" s="35" t="s">
        <v>25</v>
      </c>
      <c r="F121" s="35" t="s">
        <v>25</v>
      </c>
      <c r="G121" s="35" t="s">
        <v>25</v>
      </c>
      <c r="H121" s="35" t="s">
        <v>38</v>
      </c>
      <c r="I121" s="54">
        <v>44652</v>
      </c>
      <c r="J121" s="55">
        <f>EFEITO!$J$121*EFEITO!$Y$121</f>
        <v>0</v>
      </c>
      <c r="K121" s="55">
        <f ca="1">EFEITO!$L$121*EFEITO!$Z$121</f>
        <v>87449.541258306475</v>
      </c>
      <c r="L121" s="55">
        <f>EFEITO!$N$121*EFEITO!$AA$121</f>
        <v>214480.70586627693</v>
      </c>
      <c r="M121" s="55">
        <f>$J$121-EFEITO!$K$121*EFEITO!$Y$121</f>
        <v>0</v>
      </c>
      <c r="N121" s="55">
        <f ca="1">$K$121-EFEITO!$M$121*EFEITO!$Z$121</f>
        <v>0</v>
      </c>
      <c r="O121" s="55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35" t="s">
        <v>21</v>
      </c>
      <c r="B122" s="35" t="s">
        <v>35</v>
      </c>
      <c r="C122" s="35" t="s">
        <v>36</v>
      </c>
      <c r="D122" s="35" t="s">
        <v>34</v>
      </c>
      <c r="E122" s="35" t="s">
        <v>25</v>
      </c>
      <c r="F122" s="35" t="s">
        <v>25</v>
      </c>
      <c r="G122" s="35" t="s">
        <v>25</v>
      </c>
      <c r="H122" s="35" t="s">
        <v>38</v>
      </c>
      <c r="I122" s="54">
        <v>44682</v>
      </c>
      <c r="J122" s="55">
        <f>EFEITO!$J$122*EFEITO!$Y$122</f>
        <v>0</v>
      </c>
      <c r="K122" s="55">
        <f ca="1">EFEITO!$L$122*EFEITO!$Z$122</f>
        <v>67913.502184670549</v>
      </c>
      <c r="L122" s="55">
        <f>EFEITO!$N$122*EFEITO!$AA$122</f>
        <v>166566.1783564302</v>
      </c>
      <c r="M122" s="55">
        <f>$J$122-EFEITO!$K$122*EFEITO!$Y$122</f>
        <v>0</v>
      </c>
      <c r="N122" s="55">
        <f ca="1">$K$122-EFEITO!$M$122*EFEITO!$Z$122</f>
        <v>0</v>
      </c>
      <c r="O122" s="55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35" t="s">
        <v>27</v>
      </c>
      <c r="B123" s="35" t="s">
        <v>35</v>
      </c>
      <c r="C123" s="35" t="s">
        <v>36</v>
      </c>
      <c r="D123" s="35" t="s">
        <v>34</v>
      </c>
      <c r="E123" s="35" t="s">
        <v>25</v>
      </c>
      <c r="F123" s="35" t="s">
        <v>25</v>
      </c>
      <c r="G123" s="35" t="s">
        <v>25</v>
      </c>
      <c r="H123" s="35" t="s">
        <v>38</v>
      </c>
      <c r="I123" s="54">
        <v>44682</v>
      </c>
      <c r="J123" s="55">
        <f>EFEITO!$J$123*EFEITO!$Y$123</f>
        <v>0</v>
      </c>
      <c r="K123" s="55">
        <f ca="1">EFEITO!$L$123*EFEITO!$Z$123</f>
        <v>-6700.9084463589106</v>
      </c>
      <c r="L123" s="55">
        <f>EFEITO!$N$123*EFEITO!$AA$123</f>
        <v>-16434.798317296383</v>
      </c>
      <c r="M123" s="55">
        <f>$J$123-EFEITO!$K$123*EFEITO!$Y$123</f>
        <v>0</v>
      </c>
      <c r="N123" s="55">
        <f ca="1">$K$123-EFEITO!$M$123*EFEITO!$Z$123</f>
        <v>0</v>
      </c>
      <c r="O123" s="55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35" t="s">
        <v>21</v>
      </c>
      <c r="B124" s="35" t="s">
        <v>35</v>
      </c>
      <c r="C124" s="35" t="s">
        <v>36</v>
      </c>
      <c r="D124" s="35" t="s">
        <v>34</v>
      </c>
      <c r="E124" s="35" t="s">
        <v>25</v>
      </c>
      <c r="F124" s="35" t="s">
        <v>25</v>
      </c>
      <c r="G124" s="35" t="s">
        <v>25</v>
      </c>
      <c r="H124" s="35" t="s">
        <v>38</v>
      </c>
      <c r="I124" s="54">
        <v>44713</v>
      </c>
      <c r="J124" s="55">
        <f>EFEITO!$J$124*EFEITO!$Y$124</f>
        <v>0</v>
      </c>
      <c r="K124" s="55">
        <f ca="1">EFEITO!$L$124*EFEITO!$Z$124</f>
        <v>35026.079960628107</v>
      </c>
      <c r="L124" s="55">
        <f>EFEITO!$N$124*EFEITO!$AA$124</f>
        <v>85905.749139314081</v>
      </c>
      <c r="M124" s="55">
        <f>$J$124-EFEITO!$K$124*EFEITO!$Y$124</f>
        <v>0</v>
      </c>
      <c r="N124" s="55">
        <f ca="1">$K$124-EFEITO!$M$124*EFEITO!$Z$124</f>
        <v>0</v>
      </c>
      <c r="O124" s="55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35" t="s">
        <v>28</v>
      </c>
      <c r="B125" s="35" t="s">
        <v>35</v>
      </c>
      <c r="C125" s="35" t="s">
        <v>36</v>
      </c>
      <c r="D125" s="35" t="s">
        <v>34</v>
      </c>
      <c r="E125" s="35" t="s">
        <v>25</v>
      </c>
      <c r="F125" s="35" t="s">
        <v>25</v>
      </c>
      <c r="G125" s="35" t="s">
        <v>25</v>
      </c>
      <c r="H125" s="35" t="s">
        <v>38</v>
      </c>
      <c r="I125" s="54">
        <v>44713</v>
      </c>
      <c r="J125" s="55">
        <f>EFEITO!$J$125*EFEITO!$Y$125</f>
        <v>0</v>
      </c>
      <c r="K125" s="55">
        <f ca="1">EFEITO!$L$125*EFEITO!$Z$125</f>
        <v>807.45345887805081</v>
      </c>
      <c r="L125" s="55">
        <f>EFEITO!$N$125*EFEITO!$AA$125</f>
        <v>1980.3784596512239</v>
      </c>
      <c r="M125" s="55">
        <f>$J$125-EFEITO!$K$125*EFEITO!$Y$125</f>
        <v>0</v>
      </c>
      <c r="N125" s="55">
        <f ca="1">$K$125-EFEITO!$M$125*EFEITO!$Z$125</f>
        <v>0</v>
      </c>
      <c r="O125" s="55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35" t="s">
        <v>21</v>
      </c>
      <c r="B126" s="35" t="s">
        <v>35</v>
      </c>
      <c r="C126" s="35" t="s">
        <v>36</v>
      </c>
      <c r="D126" s="35" t="s">
        <v>34</v>
      </c>
      <c r="E126" s="35" t="s">
        <v>25</v>
      </c>
      <c r="F126" s="35" t="s">
        <v>25</v>
      </c>
      <c r="G126" s="35" t="s">
        <v>25</v>
      </c>
      <c r="H126" s="35" t="s">
        <v>25</v>
      </c>
      <c r="I126" s="54">
        <v>44378</v>
      </c>
      <c r="J126" s="55">
        <f ca="1">EFEITO!$J$126*EFEITO!$Y$126</f>
        <v>69168.71350543671</v>
      </c>
      <c r="K126" s="55">
        <f>EFEITO!$L$126*EFEITO!$Z$126</f>
        <v>0</v>
      </c>
      <c r="L126" s="55">
        <f>EFEITO!$N$126*EFEITO!$AA$126</f>
        <v>0</v>
      </c>
      <c r="M126" s="55">
        <f ca="1">$J$126-EFEITO!$K$126*EFEITO!$Y$126</f>
        <v>0</v>
      </c>
      <c r="N126" s="55">
        <f>$K$126-EFEITO!$M$126*EFEITO!$Z$126</f>
        <v>0</v>
      </c>
      <c r="O126" s="55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35" t="s">
        <v>21</v>
      </c>
      <c r="B127" s="35" t="s">
        <v>35</v>
      </c>
      <c r="C127" s="35" t="s">
        <v>36</v>
      </c>
      <c r="D127" s="35" t="s">
        <v>34</v>
      </c>
      <c r="E127" s="35" t="s">
        <v>25</v>
      </c>
      <c r="F127" s="35" t="s">
        <v>25</v>
      </c>
      <c r="G127" s="35" t="s">
        <v>25</v>
      </c>
      <c r="H127" s="35" t="s">
        <v>25</v>
      </c>
      <c r="I127" s="54">
        <v>44409</v>
      </c>
      <c r="J127" s="55">
        <f ca="1">EFEITO!$J$127*EFEITO!$Y$127</f>
        <v>116174.575440577</v>
      </c>
      <c r="K127" s="55">
        <f>EFEITO!$L$127*EFEITO!$Z$127</f>
        <v>0</v>
      </c>
      <c r="L127" s="55">
        <f>EFEITO!$N$127*EFEITO!$AA$127</f>
        <v>0</v>
      </c>
      <c r="M127" s="55">
        <f ca="1">$J$127-EFEITO!$K$127*EFEITO!$Y$127</f>
        <v>0</v>
      </c>
      <c r="N127" s="55">
        <f>$K$127-EFEITO!$M$127*EFEITO!$Z$127</f>
        <v>0</v>
      </c>
      <c r="O127" s="55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35" t="s">
        <v>21</v>
      </c>
      <c r="B128" s="35" t="s">
        <v>35</v>
      </c>
      <c r="C128" s="35" t="s">
        <v>36</v>
      </c>
      <c r="D128" s="35" t="s">
        <v>34</v>
      </c>
      <c r="E128" s="35" t="s">
        <v>25</v>
      </c>
      <c r="F128" s="35" t="s">
        <v>25</v>
      </c>
      <c r="G128" s="35" t="s">
        <v>25</v>
      </c>
      <c r="H128" s="35" t="s">
        <v>25</v>
      </c>
      <c r="I128" s="54">
        <v>44440</v>
      </c>
      <c r="J128" s="55">
        <f ca="1">EFEITO!$J$128*EFEITO!$Y$128</f>
        <v>88290.615674227331</v>
      </c>
      <c r="K128" s="55">
        <f>EFEITO!$L$128*EFEITO!$Z$128</f>
        <v>0</v>
      </c>
      <c r="L128" s="55">
        <f>EFEITO!$N$128*EFEITO!$AA$128</f>
        <v>0</v>
      </c>
      <c r="M128" s="55">
        <f ca="1">$J$128-EFEITO!$K$128*EFEITO!$Y$128</f>
        <v>0</v>
      </c>
      <c r="N128" s="55">
        <f>$K$128-EFEITO!$M$128*EFEITO!$Z$128</f>
        <v>0</v>
      </c>
      <c r="O128" s="55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35" t="s">
        <v>21</v>
      </c>
      <c r="B129" s="35" t="s">
        <v>35</v>
      </c>
      <c r="C129" s="35" t="s">
        <v>36</v>
      </c>
      <c r="D129" s="35" t="s">
        <v>34</v>
      </c>
      <c r="E129" s="35" t="s">
        <v>25</v>
      </c>
      <c r="F129" s="35" t="s">
        <v>25</v>
      </c>
      <c r="G129" s="35" t="s">
        <v>25</v>
      </c>
      <c r="H129" s="35" t="s">
        <v>25</v>
      </c>
      <c r="I129" s="54">
        <v>44470</v>
      </c>
      <c r="J129" s="55">
        <f ca="1">EFEITO!$J$129*EFEITO!$Y$129</f>
        <v>98650.460245458904</v>
      </c>
      <c r="K129" s="55">
        <f>EFEITO!$L$129*EFEITO!$Z$129</f>
        <v>0</v>
      </c>
      <c r="L129" s="55">
        <f>EFEITO!$N$129*EFEITO!$AA$129</f>
        <v>0</v>
      </c>
      <c r="M129" s="55">
        <f ca="1">$J$129-EFEITO!$K$129*EFEITO!$Y$129</f>
        <v>0</v>
      </c>
      <c r="N129" s="55">
        <f>$K$129-EFEITO!$M$129*EFEITO!$Z$129</f>
        <v>0</v>
      </c>
      <c r="O129" s="55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35" t="s">
        <v>21</v>
      </c>
      <c r="B130" s="35" t="s">
        <v>35</v>
      </c>
      <c r="C130" s="35" t="s">
        <v>36</v>
      </c>
      <c r="D130" s="35" t="s">
        <v>34</v>
      </c>
      <c r="E130" s="35" t="s">
        <v>25</v>
      </c>
      <c r="F130" s="35" t="s">
        <v>25</v>
      </c>
      <c r="G130" s="35" t="s">
        <v>25</v>
      </c>
      <c r="H130" s="35" t="s">
        <v>25</v>
      </c>
      <c r="I130" s="54">
        <v>44501</v>
      </c>
      <c r="J130" s="55">
        <f ca="1">EFEITO!$J$130*EFEITO!$Y$130</f>
        <v>101742.95116224446</v>
      </c>
      <c r="K130" s="55">
        <f>EFEITO!$L$130*EFEITO!$Z$130</f>
        <v>0</v>
      </c>
      <c r="L130" s="55">
        <f>EFEITO!$N$130*EFEITO!$AA$130</f>
        <v>0</v>
      </c>
      <c r="M130" s="55">
        <f ca="1">$J$130-EFEITO!$K$130*EFEITO!$Y$130</f>
        <v>0</v>
      </c>
      <c r="N130" s="55">
        <f>$K$130-EFEITO!$M$130*EFEITO!$Z$130</f>
        <v>0</v>
      </c>
      <c r="O130" s="55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35" t="s">
        <v>21</v>
      </c>
      <c r="B131" s="35" t="s">
        <v>35</v>
      </c>
      <c r="C131" s="35" t="s">
        <v>36</v>
      </c>
      <c r="D131" s="35" t="s">
        <v>34</v>
      </c>
      <c r="E131" s="35" t="s">
        <v>25</v>
      </c>
      <c r="F131" s="35" t="s">
        <v>25</v>
      </c>
      <c r="G131" s="35" t="s">
        <v>25</v>
      </c>
      <c r="H131" s="35" t="s">
        <v>25</v>
      </c>
      <c r="I131" s="54">
        <v>44531</v>
      </c>
      <c r="J131" s="55">
        <f ca="1">EFEITO!$J$131*EFEITO!$Y$131</f>
        <v>107309.43481245844</v>
      </c>
      <c r="K131" s="55">
        <f>EFEITO!$L$131*EFEITO!$Z$131</f>
        <v>0</v>
      </c>
      <c r="L131" s="55">
        <f>EFEITO!$N$131*EFEITO!$AA$131</f>
        <v>0</v>
      </c>
      <c r="M131" s="55">
        <f ca="1">$J$131-EFEITO!$K$131*EFEITO!$Y$131</f>
        <v>0</v>
      </c>
      <c r="N131" s="55">
        <f>$K$131-EFEITO!$M$131*EFEITO!$Z$131</f>
        <v>0</v>
      </c>
      <c r="O131" s="55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35" t="s">
        <v>21</v>
      </c>
      <c r="B132" s="35" t="s">
        <v>35</v>
      </c>
      <c r="C132" s="35" t="s">
        <v>36</v>
      </c>
      <c r="D132" s="35" t="s">
        <v>34</v>
      </c>
      <c r="E132" s="35" t="s">
        <v>25</v>
      </c>
      <c r="F132" s="35" t="s">
        <v>25</v>
      </c>
      <c r="G132" s="35" t="s">
        <v>25</v>
      </c>
      <c r="H132" s="35" t="s">
        <v>25</v>
      </c>
      <c r="I132" s="54">
        <v>44562</v>
      </c>
      <c r="J132" s="55">
        <f ca="1">EFEITO!$J$132*EFEITO!$Y$132</f>
        <v>95248.720236994806</v>
      </c>
      <c r="K132" s="55">
        <f>EFEITO!$L$132*EFEITO!$Z$132</f>
        <v>0</v>
      </c>
      <c r="L132" s="55">
        <f>EFEITO!$N$132*EFEITO!$AA$132</f>
        <v>0</v>
      </c>
      <c r="M132" s="55">
        <f ca="1">$J$132-EFEITO!$K$132*EFEITO!$Y$132</f>
        <v>0</v>
      </c>
      <c r="N132" s="55">
        <f>$K$132-EFEITO!$M$132*EFEITO!$Z$132</f>
        <v>0</v>
      </c>
      <c r="O132" s="55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35" t="s">
        <v>28</v>
      </c>
      <c r="B133" s="35" t="s">
        <v>35</v>
      </c>
      <c r="C133" s="35" t="s">
        <v>36</v>
      </c>
      <c r="D133" s="35" t="s">
        <v>34</v>
      </c>
      <c r="E133" s="35" t="s">
        <v>25</v>
      </c>
      <c r="F133" s="35" t="s">
        <v>25</v>
      </c>
      <c r="G133" s="35" t="s">
        <v>25</v>
      </c>
      <c r="H133" s="35" t="s">
        <v>25</v>
      </c>
      <c r="I133" s="54">
        <v>44562</v>
      </c>
      <c r="J133" s="55">
        <f ca="1">EFEITO!$J$133*EFEITO!$Y$133</f>
        <v>4123.3212223807277</v>
      </c>
      <c r="K133" s="55">
        <f>EFEITO!$L$133*EFEITO!$Z$133</f>
        <v>0</v>
      </c>
      <c r="L133" s="55">
        <f>EFEITO!$N$133*EFEITO!$AA$133</f>
        <v>0</v>
      </c>
      <c r="M133" s="55">
        <f ca="1">$J$133-EFEITO!$K$133*EFEITO!$Y$133</f>
        <v>0</v>
      </c>
      <c r="N133" s="55">
        <f>$K$133-EFEITO!$M$133*EFEITO!$Z$133</f>
        <v>0</v>
      </c>
      <c r="O133" s="55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35" t="s">
        <v>21</v>
      </c>
      <c r="B134" s="35" t="s">
        <v>35</v>
      </c>
      <c r="C134" s="35" t="s">
        <v>36</v>
      </c>
      <c r="D134" s="35" t="s">
        <v>34</v>
      </c>
      <c r="E134" s="35" t="s">
        <v>25</v>
      </c>
      <c r="F134" s="35" t="s">
        <v>25</v>
      </c>
      <c r="G134" s="35" t="s">
        <v>25</v>
      </c>
      <c r="H134" s="35" t="s">
        <v>25</v>
      </c>
      <c r="I134" s="54">
        <v>44593</v>
      </c>
      <c r="J134" s="55">
        <f ca="1">EFEITO!$J$134*EFEITO!$Y$134</f>
        <v>116019.95089473773</v>
      </c>
      <c r="K134" s="55">
        <f>EFEITO!$L$134*EFEITO!$Z$134</f>
        <v>0</v>
      </c>
      <c r="L134" s="55">
        <f>EFEITO!$N$134*EFEITO!$AA$134</f>
        <v>0</v>
      </c>
      <c r="M134" s="55">
        <f ca="1">$J$134-EFEITO!$K$134*EFEITO!$Y$134</f>
        <v>0</v>
      </c>
      <c r="N134" s="55">
        <f>$K$134-EFEITO!$M$134*EFEITO!$Z$134</f>
        <v>0</v>
      </c>
      <c r="O134" s="55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35" t="s">
        <v>28</v>
      </c>
      <c r="B135" s="35" t="s">
        <v>35</v>
      </c>
      <c r="C135" s="35" t="s">
        <v>36</v>
      </c>
      <c r="D135" s="35" t="s">
        <v>34</v>
      </c>
      <c r="E135" s="35" t="s">
        <v>25</v>
      </c>
      <c r="F135" s="35" t="s">
        <v>25</v>
      </c>
      <c r="G135" s="35" t="s">
        <v>25</v>
      </c>
      <c r="H135" s="35" t="s">
        <v>25</v>
      </c>
      <c r="I135" s="54">
        <v>44593</v>
      </c>
      <c r="J135" s="55">
        <f ca="1">EFEITO!$J$135*EFEITO!$Y$135</f>
        <v>4020.2381918212095</v>
      </c>
      <c r="K135" s="55">
        <f>EFEITO!$L$135*EFEITO!$Z$135</f>
        <v>0</v>
      </c>
      <c r="L135" s="55">
        <f>EFEITO!$N$135*EFEITO!$AA$135</f>
        <v>0</v>
      </c>
      <c r="M135" s="55">
        <f ca="1">$J$135-EFEITO!$K$135*EFEITO!$Y$135</f>
        <v>0</v>
      </c>
      <c r="N135" s="55">
        <f>$K$135-EFEITO!$M$135*EFEITO!$Z$135</f>
        <v>0</v>
      </c>
      <c r="O135" s="55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35" t="s">
        <v>21</v>
      </c>
      <c r="B136" s="35" t="s">
        <v>35</v>
      </c>
      <c r="C136" s="35" t="s">
        <v>36</v>
      </c>
      <c r="D136" s="35" t="s">
        <v>34</v>
      </c>
      <c r="E136" s="35" t="s">
        <v>25</v>
      </c>
      <c r="F136" s="35" t="s">
        <v>25</v>
      </c>
      <c r="G136" s="35" t="s">
        <v>25</v>
      </c>
      <c r="H136" s="35" t="s">
        <v>25</v>
      </c>
      <c r="I136" s="54">
        <v>44621</v>
      </c>
      <c r="J136" s="55">
        <f ca="1">EFEITO!$J$136*EFEITO!$Y$136</f>
        <v>147666.44127650981</v>
      </c>
      <c r="K136" s="55">
        <f>EFEITO!$L$136*EFEITO!$Z$136</f>
        <v>0</v>
      </c>
      <c r="L136" s="55">
        <f>EFEITO!$N$136*EFEITO!$AA$136</f>
        <v>0</v>
      </c>
      <c r="M136" s="55">
        <f ca="1">$J$136-EFEITO!$K$136*EFEITO!$Y$136</f>
        <v>0</v>
      </c>
      <c r="N136" s="55">
        <f>$K$136-EFEITO!$M$136*EFEITO!$Z$136</f>
        <v>0</v>
      </c>
      <c r="O136" s="55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35" t="s">
        <v>28</v>
      </c>
      <c r="B137" s="35" t="s">
        <v>35</v>
      </c>
      <c r="C137" s="35" t="s">
        <v>36</v>
      </c>
      <c r="D137" s="35" t="s">
        <v>34</v>
      </c>
      <c r="E137" s="35" t="s">
        <v>25</v>
      </c>
      <c r="F137" s="35" t="s">
        <v>25</v>
      </c>
      <c r="G137" s="35" t="s">
        <v>25</v>
      </c>
      <c r="H137" s="35" t="s">
        <v>25</v>
      </c>
      <c r="I137" s="54">
        <v>44621</v>
      </c>
      <c r="J137" s="55">
        <f ca="1">EFEITO!$J$137*EFEITO!$Y$137</f>
        <v>4123.3212223807277</v>
      </c>
      <c r="K137" s="55">
        <f>EFEITO!$L$137*EFEITO!$Z$137</f>
        <v>0</v>
      </c>
      <c r="L137" s="55">
        <f>EFEITO!$N$137*EFEITO!$AA$137</f>
        <v>0</v>
      </c>
      <c r="M137" s="55">
        <f ca="1">$J$137-EFEITO!$K$137*EFEITO!$Y$137</f>
        <v>0</v>
      </c>
      <c r="N137" s="55">
        <f>$K$137-EFEITO!$M$137*EFEITO!$Z$137</f>
        <v>0</v>
      </c>
      <c r="O137" s="55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35" t="s">
        <v>21</v>
      </c>
      <c r="B138" s="35" t="s">
        <v>35</v>
      </c>
      <c r="C138" s="35" t="s">
        <v>36</v>
      </c>
      <c r="D138" s="35" t="s">
        <v>34</v>
      </c>
      <c r="E138" s="35" t="s">
        <v>25</v>
      </c>
      <c r="F138" s="35" t="s">
        <v>25</v>
      </c>
      <c r="G138" s="35" t="s">
        <v>25</v>
      </c>
      <c r="H138" s="35" t="s">
        <v>25</v>
      </c>
      <c r="I138" s="54">
        <v>44652</v>
      </c>
      <c r="J138" s="55">
        <f ca="1">EFEITO!$J$138*EFEITO!$Y$138</f>
        <v>175395.77649702021</v>
      </c>
      <c r="K138" s="55">
        <f>EFEITO!$L$138*EFEITO!$Z$138</f>
        <v>0</v>
      </c>
      <c r="L138" s="55">
        <f>EFEITO!$N$138*EFEITO!$AA$138</f>
        <v>0</v>
      </c>
      <c r="M138" s="55">
        <f ca="1">$J$138-EFEITO!$K$138*EFEITO!$Y$138</f>
        <v>0</v>
      </c>
      <c r="N138" s="55">
        <f>$K$138-EFEITO!$M$138*EFEITO!$Z$138</f>
        <v>0</v>
      </c>
      <c r="O138" s="55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35" t="s">
        <v>28</v>
      </c>
      <c r="B139" s="35" t="s">
        <v>35</v>
      </c>
      <c r="C139" s="35" t="s">
        <v>36</v>
      </c>
      <c r="D139" s="35" t="s">
        <v>34</v>
      </c>
      <c r="E139" s="35" t="s">
        <v>25</v>
      </c>
      <c r="F139" s="35" t="s">
        <v>25</v>
      </c>
      <c r="G139" s="35" t="s">
        <v>25</v>
      </c>
      <c r="H139" s="35" t="s">
        <v>25</v>
      </c>
      <c r="I139" s="54">
        <v>44652</v>
      </c>
      <c r="J139" s="55">
        <f ca="1">EFEITO!$J$139*EFEITO!$Y$139</f>
        <v>8865.1406281185646</v>
      </c>
      <c r="K139" s="55">
        <f>EFEITO!$L$139*EFEITO!$Z$139</f>
        <v>0</v>
      </c>
      <c r="L139" s="55">
        <f>EFEITO!$N$139*EFEITO!$AA$139</f>
        <v>0</v>
      </c>
      <c r="M139" s="55">
        <f ca="1">$J$139-EFEITO!$K$139*EFEITO!$Y$139</f>
        <v>0</v>
      </c>
      <c r="N139" s="55">
        <f>$K$139-EFEITO!$M$139*EFEITO!$Z$139</f>
        <v>0</v>
      </c>
      <c r="O139" s="55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35" t="s">
        <v>21</v>
      </c>
      <c r="B140" s="35" t="s">
        <v>35</v>
      </c>
      <c r="C140" s="35" t="s">
        <v>36</v>
      </c>
      <c r="D140" s="35" t="s">
        <v>34</v>
      </c>
      <c r="E140" s="35" t="s">
        <v>25</v>
      </c>
      <c r="F140" s="35" t="s">
        <v>25</v>
      </c>
      <c r="G140" s="35" t="s">
        <v>25</v>
      </c>
      <c r="H140" s="35" t="s">
        <v>25</v>
      </c>
      <c r="I140" s="54">
        <v>44682</v>
      </c>
      <c r="J140" s="55">
        <f ca="1">EFEITO!$J$140*EFEITO!$Y$140</f>
        <v>172715.61770247272</v>
      </c>
      <c r="K140" s="55">
        <f>EFEITO!$L$140*EFEITO!$Z$140</f>
        <v>0</v>
      </c>
      <c r="L140" s="55">
        <f>EFEITO!$N$140*EFEITO!$AA$140</f>
        <v>0</v>
      </c>
      <c r="M140" s="55">
        <f ca="1">$J$140-EFEITO!$K$140*EFEITO!$Y$140</f>
        <v>0</v>
      </c>
      <c r="N140" s="55">
        <f>$K$140-EFEITO!$M$140*EFEITO!$Z$140</f>
        <v>0</v>
      </c>
      <c r="O140" s="55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35" t="s">
        <v>28</v>
      </c>
      <c r="B141" s="35" t="s">
        <v>35</v>
      </c>
      <c r="C141" s="35" t="s">
        <v>36</v>
      </c>
      <c r="D141" s="35" t="s">
        <v>34</v>
      </c>
      <c r="E141" s="35" t="s">
        <v>25</v>
      </c>
      <c r="F141" s="35" t="s">
        <v>25</v>
      </c>
      <c r="G141" s="35" t="s">
        <v>25</v>
      </c>
      <c r="H141" s="35" t="s">
        <v>25</v>
      </c>
      <c r="I141" s="54">
        <v>44682</v>
      </c>
      <c r="J141" s="55">
        <f ca="1">EFEITO!$J$141*EFEITO!$Y$141</f>
        <v>10514.469117070856</v>
      </c>
      <c r="K141" s="55">
        <f>EFEITO!$L$141*EFEITO!$Z$141</f>
        <v>0</v>
      </c>
      <c r="L141" s="55">
        <f>EFEITO!$N$141*EFEITO!$AA$141</f>
        <v>0</v>
      </c>
      <c r="M141" s="55">
        <f ca="1">$J$141-EFEITO!$K$141*EFEITO!$Y$141</f>
        <v>0</v>
      </c>
      <c r="N141" s="55">
        <f>$K$141-EFEITO!$M$141*EFEITO!$Z$141</f>
        <v>0</v>
      </c>
      <c r="O141" s="55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35" t="s">
        <v>21</v>
      </c>
      <c r="B142" s="35" t="s">
        <v>35</v>
      </c>
      <c r="C142" s="35" t="s">
        <v>36</v>
      </c>
      <c r="D142" s="35" t="s">
        <v>34</v>
      </c>
      <c r="E142" s="35" t="s">
        <v>25</v>
      </c>
      <c r="F142" s="35" t="s">
        <v>25</v>
      </c>
      <c r="G142" s="35" t="s">
        <v>25</v>
      </c>
      <c r="H142" s="35" t="s">
        <v>25</v>
      </c>
      <c r="I142" s="54">
        <v>44713</v>
      </c>
      <c r="J142" s="55">
        <f ca="1">EFEITO!$J$142*EFEITO!$Y$142</f>
        <v>123751.1781867016</v>
      </c>
      <c r="K142" s="55">
        <f>EFEITO!$L$142*EFEITO!$Z$142</f>
        <v>0</v>
      </c>
      <c r="L142" s="55">
        <f>EFEITO!$N$142*EFEITO!$AA$142</f>
        <v>0</v>
      </c>
      <c r="M142" s="55">
        <f ca="1">$J$142-EFEITO!$K$142*EFEITO!$Y$142</f>
        <v>0</v>
      </c>
      <c r="N142" s="55">
        <f>$K$142-EFEITO!$M$142*EFEITO!$Z$142</f>
        <v>0</v>
      </c>
      <c r="O142" s="55">
        <f>$L$142-EFEITO!$O$142*EFEITO!$AA$142</f>
        <v>0</v>
      </c>
      <c r="P142" s="39"/>
      <c r="Q142" s="39"/>
      <c r="R142" s="39"/>
      <c r="S142" s="39"/>
      <c r="T142" s="39"/>
      <c r="U142" s="39"/>
      <c r="V142" s="39"/>
      <c r="W142" s="39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35" t="s">
        <v>28</v>
      </c>
      <c r="B143" s="35" t="s">
        <v>35</v>
      </c>
      <c r="C143" s="35" t="s">
        <v>36</v>
      </c>
      <c r="D143" s="35" t="s">
        <v>34</v>
      </c>
      <c r="E143" s="35" t="s">
        <v>25</v>
      </c>
      <c r="F143" s="35" t="s">
        <v>25</v>
      </c>
      <c r="G143" s="35" t="s">
        <v>25</v>
      </c>
      <c r="H143" s="35" t="s">
        <v>25</v>
      </c>
      <c r="I143" s="54">
        <v>44713</v>
      </c>
      <c r="J143" s="55">
        <f ca="1">EFEITO!$J$143*EFEITO!$Y$143</f>
        <v>10256.76154067206</v>
      </c>
      <c r="K143" s="55">
        <f>EFEITO!$L$143*EFEITO!$Z$143</f>
        <v>0</v>
      </c>
      <c r="L143" s="55">
        <f>EFEITO!$N$143*EFEITO!$AA$143</f>
        <v>0</v>
      </c>
      <c r="M143" s="55">
        <f ca="1">$J$143-EFEITO!$K$143*EFEITO!$Y$143</f>
        <v>0</v>
      </c>
      <c r="N143" s="55">
        <f>$K$143-EFEITO!$M$143*EFEITO!$Z$143</f>
        <v>0</v>
      </c>
      <c r="O143" s="55">
        <f>$L$143-EFEITO!$O$143*EFEITO!$AA$143</f>
        <v>0</v>
      </c>
      <c r="P143" s="39"/>
      <c r="Q143" s="39"/>
      <c r="R143" s="39"/>
      <c r="S143" s="39"/>
      <c r="T143" s="39"/>
      <c r="U143" s="39"/>
      <c r="V143" s="39"/>
      <c r="W143" s="39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35" t="s">
        <v>21</v>
      </c>
      <c r="B144" s="35" t="s">
        <v>35</v>
      </c>
      <c r="C144" s="35" t="s">
        <v>36</v>
      </c>
      <c r="D144" s="35" t="s">
        <v>34</v>
      </c>
      <c r="E144" s="35" t="s">
        <v>25</v>
      </c>
      <c r="F144" s="35" t="s">
        <v>25</v>
      </c>
      <c r="G144" s="35" t="s">
        <v>25</v>
      </c>
      <c r="H144" s="35" t="s">
        <v>37</v>
      </c>
      <c r="I144" s="54">
        <v>44378</v>
      </c>
      <c r="J144" s="55">
        <f>EFEITO!$J$144*EFEITO!$Y$144</f>
        <v>0</v>
      </c>
      <c r="K144" s="55">
        <f ca="1">EFEITO!$L$144*EFEITO!$Z$144</f>
        <v>32728.602477028409</v>
      </c>
      <c r="L144" s="55">
        <f>EFEITO!$N$144*EFEITO!$AA$144</f>
        <v>4989.1127102064411</v>
      </c>
      <c r="M144" s="55">
        <f>$J$144-EFEITO!$K$144*EFEITO!$Y$144</f>
        <v>0</v>
      </c>
      <c r="N144" s="55">
        <f ca="1">$K$144-EFEITO!$M$144*EFEITO!$Z$144</f>
        <v>0</v>
      </c>
      <c r="O144" s="55">
        <f>$L$144-EFEITO!$O$144*EFEITO!$AA$144</f>
        <v>0</v>
      </c>
      <c r="P144" s="39"/>
      <c r="Q144" s="39"/>
      <c r="R144" s="39"/>
      <c r="S144" s="39"/>
      <c r="T144" s="39"/>
      <c r="U144" s="39"/>
      <c r="V144" s="39"/>
      <c r="W144" s="39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35" t="s">
        <v>21</v>
      </c>
      <c r="B145" s="35" t="s">
        <v>35</v>
      </c>
      <c r="C145" s="35" t="s">
        <v>36</v>
      </c>
      <c r="D145" s="35" t="s">
        <v>34</v>
      </c>
      <c r="E145" s="35" t="s">
        <v>25</v>
      </c>
      <c r="F145" s="35" t="s">
        <v>25</v>
      </c>
      <c r="G145" s="35" t="s">
        <v>25</v>
      </c>
      <c r="H145" s="35" t="s">
        <v>37</v>
      </c>
      <c r="I145" s="54">
        <v>44409</v>
      </c>
      <c r="J145" s="55">
        <f>EFEITO!$J$145*EFEITO!$Y$145</f>
        <v>0</v>
      </c>
      <c r="K145" s="55">
        <f ca="1">EFEITO!$L$145*EFEITO!$Z$145</f>
        <v>32700.507837455119</v>
      </c>
      <c r="L145" s="55">
        <f>EFEITO!$N$145*EFEITO!$AA$145</f>
        <v>4984.8299937818047</v>
      </c>
      <c r="M145" s="55">
        <f>$J$145-EFEITO!$K$145*EFEITO!$Y$145</f>
        <v>0</v>
      </c>
      <c r="N145" s="55">
        <f ca="1">$K$145-EFEITO!$M$145*EFEITO!$Z$145</f>
        <v>0</v>
      </c>
      <c r="O145" s="55">
        <f>$L$145-EFEITO!$O$145*EFEITO!$AA$145</f>
        <v>0</v>
      </c>
      <c r="P145" s="39"/>
      <c r="Q145" s="39"/>
      <c r="R145" s="39"/>
      <c r="S145" s="39"/>
      <c r="T145" s="39"/>
      <c r="U145" s="39"/>
      <c r="V145" s="39"/>
      <c r="W145" s="39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35" t="s">
        <v>21</v>
      </c>
      <c r="B146" s="35" t="s">
        <v>35</v>
      </c>
      <c r="C146" s="35" t="s">
        <v>36</v>
      </c>
      <c r="D146" s="35" t="s">
        <v>34</v>
      </c>
      <c r="E146" s="35" t="s">
        <v>25</v>
      </c>
      <c r="F146" s="35" t="s">
        <v>25</v>
      </c>
      <c r="G146" s="35" t="s">
        <v>25</v>
      </c>
      <c r="H146" s="35" t="s">
        <v>37</v>
      </c>
      <c r="I146" s="54">
        <v>44440</v>
      </c>
      <c r="J146" s="55">
        <f>EFEITO!$J$146*EFEITO!$Y$146</f>
        <v>0</v>
      </c>
      <c r="K146" s="55">
        <f ca="1">EFEITO!$L$146*EFEITO!$Z$146</f>
        <v>34933.205370603246</v>
      </c>
      <c r="L146" s="55">
        <f>EFEITO!$N$146*EFEITO!$AA$146</f>
        <v>5325.1799872926567</v>
      </c>
      <c r="M146" s="55">
        <f>$J$146-EFEITO!$K$146*EFEITO!$Y$146</f>
        <v>0</v>
      </c>
      <c r="N146" s="55">
        <f ca="1">$K$146-EFEITO!$M$146*EFEITO!$Z$146</f>
        <v>0</v>
      </c>
      <c r="O146" s="55">
        <f>$L$146-EFEITO!$O$146*EFEITO!$AA$146</f>
        <v>0</v>
      </c>
      <c r="P146" s="39"/>
      <c r="Q146" s="39"/>
      <c r="R146" s="39"/>
      <c r="S146" s="39"/>
      <c r="T146" s="39"/>
      <c r="U146" s="39"/>
      <c r="V146" s="39"/>
      <c r="W146" s="39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35" t="s">
        <v>21</v>
      </c>
      <c r="B147" s="35" t="s">
        <v>35</v>
      </c>
      <c r="C147" s="35" t="s">
        <v>36</v>
      </c>
      <c r="D147" s="35" t="s">
        <v>34</v>
      </c>
      <c r="E147" s="35" t="s">
        <v>25</v>
      </c>
      <c r="F147" s="35" t="s">
        <v>25</v>
      </c>
      <c r="G147" s="35" t="s">
        <v>25</v>
      </c>
      <c r="H147" s="35" t="s">
        <v>37</v>
      </c>
      <c r="I147" s="54">
        <v>44470</v>
      </c>
      <c r="J147" s="55">
        <f>EFEITO!$J$147*EFEITO!$Y$147</f>
        <v>0</v>
      </c>
      <c r="K147" s="55">
        <f ca="1">EFEITO!$L$147*EFEITO!$Z$147</f>
        <v>33189.685091201856</v>
      </c>
      <c r="L147" s="55">
        <f>EFEITO!$N$147*EFEITO!$AA$147</f>
        <v>5059.3996444696004</v>
      </c>
      <c r="M147" s="55">
        <f>$J$147-EFEITO!$K$147*EFEITO!$Y$147</f>
        <v>0</v>
      </c>
      <c r="N147" s="55">
        <f ca="1">$K$147-EFEITO!$M$147*EFEITO!$Z$147</f>
        <v>0</v>
      </c>
      <c r="O147" s="55">
        <f>$L$147-EFEITO!$O$147*EFEITO!$AA$147</f>
        <v>0</v>
      </c>
      <c r="P147" s="39"/>
      <c r="Q147" s="39"/>
      <c r="R147" s="39"/>
      <c r="S147" s="39"/>
      <c r="T147" s="39"/>
      <c r="U147" s="39"/>
      <c r="V147" s="39"/>
      <c r="W147" s="39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35" t="s">
        <v>21</v>
      </c>
      <c r="B148" s="35" t="s">
        <v>35</v>
      </c>
      <c r="C148" s="35" t="s">
        <v>36</v>
      </c>
      <c r="D148" s="35" t="s">
        <v>34</v>
      </c>
      <c r="E148" s="35" t="s">
        <v>25</v>
      </c>
      <c r="F148" s="35" t="s">
        <v>25</v>
      </c>
      <c r="G148" s="35" t="s">
        <v>25</v>
      </c>
      <c r="H148" s="35" t="s">
        <v>37</v>
      </c>
      <c r="I148" s="54">
        <v>44501</v>
      </c>
      <c r="J148" s="55">
        <f>EFEITO!$J$148*EFEITO!$Y$148</f>
        <v>0</v>
      </c>
      <c r="K148" s="55">
        <f ca="1">EFEITO!$L$148*EFEITO!$Z$148</f>
        <v>40375.302318535709</v>
      </c>
      <c r="L148" s="55">
        <f>EFEITO!$N$148*EFEITO!$AA$148</f>
        <v>6154.767351194384</v>
      </c>
      <c r="M148" s="55">
        <f>$J$148-EFEITO!$K$148*EFEITO!$Y$148</f>
        <v>0</v>
      </c>
      <c r="N148" s="55">
        <f ca="1">$K$148-EFEITO!$M$148*EFEITO!$Z$148</f>
        <v>0</v>
      </c>
      <c r="O148" s="55">
        <f>$L$148-EFEITO!$O$148*EFEITO!$AA$148</f>
        <v>0</v>
      </c>
      <c r="P148" s="39"/>
      <c r="Q148" s="39"/>
      <c r="R148" s="39"/>
      <c r="S148" s="39"/>
      <c r="T148" s="39"/>
      <c r="U148" s="39"/>
      <c r="V148" s="39"/>
      <c r="W148" s="39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35" t="s">
        <v>21</v>
      </c>
      <c r="B149" s="35" t="s">
        <v>35</v>
      </c>
      <c r="C149" s="35" t="s">
        <v>36</v>
      </c>
      <c r="D149" s="35" t="s">
        <v>34</v>
      </c>
      <c r="E149" s="35" t="s">
        <v>25</v>
      </c>
      <c r="F149" s="35" t="s">
        <v>25</v>
      </c>
      <c r="G149" s="35" t="s">
        <v>25</v>
      </c>
      <c r="H149" s="35" t="s">
        <v>37</v>
      </c>
      <c r="I149" s="54">
        <v>44531</v>
      </c>
      <c r="J149" s="55">
        <f>EFEITO!$J$149*EFEITO!$Y$149</f>
        <v>0</v>
      </c>
      <c r="K149" s="55">
        <f ca="1">EFEITO!$L$149*EFEITO!$Z$149</f>
        <v>37027.082331742153</v>
      </c>
      <c r="L149" s="55">
        <f>EFEITO!$N$149*EFEITO!$AA$149</f>
        <v>5644.3683231758905</v>
      </c>
      <c r="M149" s="55">
        <f>$J$149-EFEITO!$K$149*EFEITO!$Y$149</f>
        <v>0</v>
      </c>
      <c r="N149" s="55">
        <f ca="1">$K$149-EFEITO!$M$149*EFEITO!$Z$149</f>
        <v>0</v>
      </c>
      <c r="O149" s="55">
        <f>$L$149-EFEITO!$O$149*EFEITO!$AA$149</f>
        <v>0</v>
      </c>
      <c r="P149" s="39"/>
      <c r="Q149" s="39"/>
      <c r="R149" s="39"/>
      <c r="S149" s="39"/>
      <c r="T149" s="39"/>
      <c r="U149" s="39"/>
      <c r="V149" s="39"/>
      <c r="W149" s="39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35" t="s">
        <v>21</v>
      </c>
      <c r="B150" s="35" t="s">
        <v>35</v>
      </c>
      <c r="C150" s="35" t="s">
        <v>36</v>
      </c>
      <c r="D150" s="35" t="s">
        <v>34</v>
      </c>
      <c r="E150" s="35" t="s">
        <v>25</v>
      </c>
      <c r="F150" s="35" t="s">
        <v>25</v>
      </c>
      <c r="G150" s="35" t="s">
        <v>25</v>
      </c>
      <c r="H150" s="35" t="s">
        <v>37</v>
      </c>
      <c r="I150" s="54">
        <v>44562</v>
      </c>
      <c r="J150" s="55">
        <f>EFEITO!$J$150*EFEITO!$Y$150</f>
        <v>0</v>
      </c>
      <c r="K150" s="55">
        <f ca="1">EFEITO!$L$150*EFEITO!$Z$150</f>
        <v>44149.899776500402</v>
      </c>
      <c r="L150" s="55">
        <f>EFEITO!$N$150*EFEITO!$AA$150</f>
        <v>6730.1628990691315</v>
      </c>
      <c r="M150" s="55">
        <f>$J$150-EFEITO!$K$150*EFEITO!$Y$150</f>
        <v>0</v>
      </c>
      <c r="N150" s="55">
        <f ca="1">$K$150-EFEITO!$M$150*EFEITO!$Z$150</f>
        <v>0</v>
      </c>
      <c r="O150" s="55">
        <f>$L$150-EFEITO!$O$150*EFEITO!$AA$150</f>
        <v>0</v>
      </c>
      <c r="P150" s="39"/>
      <c r="Q150" s="39"/>
      <c r="R150" s="39"/>
      <c r="S150" s="39"/>
      <c r="T150" s="39"/>
      <c r="U150" s="39"/>
      <c r="V150" s="39"/>
      <c r="W150" s="39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35" t="s">
        <v>21</v>
      </c>
      <c r="B151" s="35" t="s">
        <v>35</v>
      </c>
      <c r="C151" s="35" t="s">
        <v>36</v>
      </c>
      <c r="D151" s="35" t="s">
        <v>34</v>
      </c>
      <c r="E151" s="35" t="s">
        <v>25</v>
      </c>
      <c r="F151" s="35" t="s">
        <v>25</v>
      </c>
      <c r="G151" s="35" t="s">
        <v>25</v>
      </c>
      <c r="H151" s="35" t="s">
        <v>37</v>
      </c>
      <c r="I151" s="54">
        <v>44593</v>
      </c>
      <c r="J151" s="55">
        <f>EFEITO!$J$151*EFEITO!$Y$151</f>
        <v>0</v>
      </c>
      <c r="K151" s="55">
        <f ca="1">EFEITO!$L$151*EFEITO!$Z$151</f>
        <v>42647.66287225789</v>
      </c>
      <c r="L151" s="55">
        <f>EFEITO!$N$151*EFEITO!$AA$151</f>
        <v>6501.1635325988409</v>
      </c>
      <c r="M151" s="55">
        <f>$J$151-EFEITO!$K$151*EFEITO!$Y$151</f>
        <v>0</v>
      </c>
      <c r="N151" s="55">
        <f ca="1">$K$151-EFEITO!$M$151*EFEITO!$Z$151</f>
        <v>0</v>
      </c>
      <c r="O151" s="55">
        <f>$L$151-EFEITO!$O$151*EFEITO!$AA$151</f>
        <v>0</v>
      </c>
      <c r="P151" s="39"/>
      <c r="Q151" s="39"/>
      <c r="R151" s="39"/>
      <c r="S151" s="39"/>
      <c r="T151" s="39"/>
      <c r="U151" s="39"/>
      <c r="V151" s="39"/>
      <c r="W151" s="39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35" t="s">
        <v>21</v>
      </c>
      <c r="B152" s="35" t="s">
        <v>35</v>
      </c>
      <c r="C152" s="35" t="s">
        <v>36</v>
      </c>
      <c r="D152" s="35" t="s">
        <v>34</v>
      </c>
      <c r="E152" s="35" t="s">
        <v>25</v>
      </c>
      <c r="F152" s="35" t="s">
        <v>25</v>
      </c>
      <c r="G152" s="35" t="s">
        <v>25</v>
      </c>
      <c r="H152" s="35" t="s">
        <v>37</v>
      </c>
      <c r="I152" s="54">
        <v>44621</v>
      </c>
      <c r="J152" s="55">
        <f>EFEITO!$J$152*EFEITO!$Y$152</f>
        <v>0</v>
      </c>
      <c r="K152" s="55">
        <f ca="1">EFEITO!$L$152*EFEITO!$Z$152</f>
        <v>78393.960164629359</v>
      </c>
      <c r="L152" s="55">
        <f>EFEITO!$N$152*EFEITO!$AA$152</f>
        <v>11950.2903717104</v>
      </c>
      <c r="M152" s="55">
        <f>$J$152-EFEITO!$K$152*EFEITO!$Y$152</f>
        <v>0</v>
      </c>
      <c r="N152" s="55">
        <f ca="1">$K$152-EFEITO!$M$152*EFEITO!$Z$152</f>
        <v>0</v>
      </c>
      <c r="O152" s="55">
        <f>$L$152-EFEITO!$O$152*EFEITO!$AA$152</f>
        <v>0</v>
      </c>
      <c r="P152" s="39"/>
      <c r="Q152" s="39"/>
      <c r="R152" s="39"/>
      <c r="S152" s="39"/>
      <c r="T152" s="39"/>
      <c r="U152" s="39"/>
      <c r="V152" s="39"/>
      <c r="W152" s="39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35" t="s">
        <v>21</v>
      </c>
      <c r="B153" s="35" t="s">
        <v>35</v>
      </c>
      <c r="C153" s="35" t="s">
        <v>36</v>
      </c>
      <c r="D153" s="35" t="s">
        <v>34</v>
      </c>
      <c r="E153" s="35" t="s">
        <v>25</v>
      </c>
      <c r="F153" s="35" t="s">
        <v>25</v>
      </c>
      <c r="G153" s="35" t="s">
        <v>25</v>
      </c>
      <c r="H153" s="35" t="s">
        <v>37</v>
      </c>
      <c r="I153" s="54">
        <v>44652</v>
      </c>
      <c r="J153" s="55">
        <f>EFEITO!$J$153*EFEITO!$Y$153</f>
        <v>0</v>
      </c>
      <c r="K153" s="55">
        <f ca="1">EFEITO!$L$153*EFEITO!$Z$153</f>
        <v>97861.892763063748</v>
      </c>
      <c r="L153" s="55">
        <f>EFEITO!$N$153*EFEITO!$AA$153</f>
        <v>14917.960929488218</v>
      </c>
      <c r="M153" s="55">
        <f>$J$153-EFEITO!$K$153*EFEITO!$Y$153</f>
        <v>0</v>
      </c>
      <c r="N153" s="55">
        <f ca="1">$K$153-EFEITO!$M$153*EFEITO!$Z$153</f>
        <v>0</v>
      </c>
      <c r="O153" s="55">
        <f>$L$153-EFEITO!$O$153*EFEITO!$AA$153</f>
        <v>0</v>
      </c>
      <c r="P153" s="39"/>
      <c r="Q153" s="39"/>
      <c r="R153" s="39"/>
      <c r="S153" s="39"/>
      <c r="T153" s="39"/>
      <c r="U153" s="39"/>
      <c r="V153" s="39"/>
      <c r="W153" s="39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35" t="s">
        <v>21</v>
      </c>
      <c r="B154" s="35" t="s">
        <v>35</v>
      </c>
      <c r="C154" s="35" t="s">
        <v>36</v>
      </c>
      <c r="D154" s="35" t="s">
        <v>34</v>
      </c>
      <c r="E154" s="35" t="s">
        <v>25</v>
      </c>
      <c r="F154" s="35" t="s">
        <v>25</v>
      </c>
      <c r="G154" s="35" t="s">
        <v>25</v>
      </c>
      <c r="H154" s="35" t="s">
        <v>37</v>
      </c>
      <c r="I154" s="54">
        <v>44682</v>
      </c>
      <c r="J154" s="55">
        <f>EFEITO!$J$154*EFEITO!$Y$154</f>
        <v>0</v>
      </c>
      <c r="K154" s="55">
        <f ca="1">EFEITO!$L$154*EFEITO!$Z$154</f>
        <v>82041.305431585613</v>
      </c>
      <c r="L154" s="55">
        <f>EFEITO!$N$154*EFEITO!$AA$154</f>
        <v>12506.287733426499</v>
      </c>
      <c r="M154" s="55">
        <f>$J$154-EFEITO!$K$154*EFEITO!$Y$154</f>
        <v>0</v>
      </c>
      <c r="N154" s="55">
        <f ca="1">$K$154-EFEITO!$M$154*EFEITO!$Z$154</f>
        <v>0</v>
      </c>
      <c r="O154" s="55">
        <f>$L$154-EFEITO!$O$154*EFEITO!$AA$154</f>
        <v>0</v>
      </c>
      <c r="P154" s="39"/>
      <c r="Q154" s="39"/>
      <c r="R154" s="39"/>
      <c r="S154" s="39"/>
      <c r="T154" s="39"/>
      <c r="U154" s="39"/>
      <c r="V154" s="39"/>
      <c r="W154" s="39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35" t="s">
        <v>27</v>
      </c>
      <c r="B155" s="35" t="s">
        <v>35</v>
      </c>
      <c r="C155" s="35" t="s">
        <v>36</v>
      </c>
      <c r="D155" s="35" t="s">
        <v>34</v>
      </c>
      <c r="E155" s="35" t="s">
        <v>25</v>
      </c>
      <c r="F155" s="35" t="s">
        <v>25</v>
      </c>
      <c r="G155" s="35" t="s">
        <v>25</v>
      </c>
      <c r="H155" s="35" t="s">
        <v>37</v>
      </c>
      <c r="I155" s="54">
        <v>44682</v>
      </c>
      <c r="J155" s="55">
        <f>EFEITO!$J$155*EFEITO!$Y$155</f>
        <v>0</v>
      </c>
      <c r="K155" s="55">
        <f ca="1">EFEITO!$L$155*EFEITO!$Z$155</f>
        <v>-8101.1719522517305</v>
      </c>
      <c r="L155" s="55">
        <f>EFEITO!$N$155*EFEITO!$AA$155</f>
        <v>-1234.9338772688334</v>
      </c>
      <c r="M155" s="55">
        <f>$J$155-EFEITO!$K$155*EFEITO!$Y$155</f>
        <v>0</v>
      </c>
      <c r="N155" s="55">
        <f ca="1">$K$155-EFEITO!$M$155*EFEITO!$Z$155</f>
        <v>0</v>
      </c>
      <c r="O155" s="55">
        <f>$L$155-EFEITO!$O$155*EFEITO!$AA$155</f>
        <v>0</v>
      </c>
      <c r="P155" s="39"/>
      <c r="Q155" s="39"/>
      <c r="R155" s="39"/>
      <c r="S155" s="39"/>
      <c r="T155" s="39"/>
      <c r="U155" s="39"/>
      <c r="V155" s="39"/>
      <c r="W155" s="39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35" t="s">
        <v>21</v>
      </c>
      <c r="B156" s="35" t="s">
        <v>35</v>
      </c>
      <c r="C156" s="35" t="s">
        <v>36</v>
      </c>
      <c r="D156" s="35" t="s">
        <v>34</v>
      </c>
      <c r="E156" s="35" t="s">
        <v>25</v>
      </c>
      <c r="F156" s="35" t="s">
        <v>25</v>
      </c>
      <c r="G156" s="35" t="s">
        <v>25</v>
      </c>
      <c r="H156" s="35" t="s">
        <v>37</v>
      </c>
      <c r="I156" s="54">
        <v>44713</v>
      </c>
      <c r="J156" s="55">
        <f>EFEITO!$J$156*EFEITO!$Y$156</f>
        <v>0</v>
      </c>
      <c r="K156" s="55">
        <f ca="1">EFEITO!$L$156*EFEITO!$Z$156</f>
        <v>39737.388737636247</v>
      </c>
      <c r="L156" s="55">
        <f>EFEITO!$N$156*EFEITO!$AA$156</f>
        <v>6057.5244959055699</v>
      </c>
      <c r="M156" s="55">
        <f>$J$156-EFEITO!$K$156*EFEITO!$Y$156</f>
        <v>0</v>
      </c>
      <c r="N156" s="55">
        <f ca="1">$K$156-EFEITO!$M$156*EFEITO!$Z$156</f>
        <v>0</v>
      </c>
      <c r="O156" s="55">
        <f>$L$156-EFEITO!$O$156*EFEITO!$AA$156</f>
        <v>0</v>
      </c>
      <c r="P156" s="39"/>
      <c r="Q156" s="39"/>
      <c r="R156" s="39"/>
      <c r="S156" s="39"/>
      <c r="T156" s="39"/>
      <c r="U156" s="39"/>
      <c r="V156" s="39"/>
      <c r="W156" s="39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35" t="s">
        <v>28</v>
      </c>
      <c r="B157" s="35" t="s">
        <v>35</v>
      </c>
      <c r="C157" s="35" t="s">
        <v>36</v>
      </c>
      <c r="D157" s="35" t="s">
        <v>34</v>
      </c>
      <c r="E157" s="35" t="s">
        <v>25</v>
      </c>
      <c r="F157" s="35" t="s">
        <v>25</v>
      </c>
      <c r="G157" s="35" t="s">
        <v>25</v>
      </c>
      <c r="H157" s="35" t="s">
        <v>37</v>
      </c>
      <c r="I157" s="54">
        <v>44713</v>
      </c>
      <c r="J157" s="55">
        <f>EFEITO!$J$157*EFEITO!$Y$157</f>
        <v>0</v>
      </c>
      <c r="K157" s="55">
        <f ca="1">EFEITO!$L$157*EFEITO!$Z$157</f>
        <v>2179.8135057160407</v>
      </c>
      <c r="L157" s="55">
        <f>EFEITO!$N$157*EFEITO!$AA$157</f>
        <v>332.28840965271138</v>
      </c>
      <c r="M157" s="55">
        <f>$J$157-EFEITO!$K$157*EFEITO!$Y$157</f>
        <v>0</v>
      </c>
      <c r="N157" s="55">
        <f ca="1">$K$157-EFEITO!$M$157*EFEITO!$Z$157</f>
        <v>0</v>
      </c>
      <c r="O157" s="55">
        <f>$L$157-EFEITO!$O$157*EFEITO!$AA$157</f>
        <v>0</v>
      </c>
      <c r="P157" s="39"/>
      <c r="Q157" s="39"/>
      <c r="R157" s="39"/>
      <c r="S157" s="39"/>
      <c r="T157" s="39"/>
      <c r="U157" s="39"/>
      <c r="V157" s="39"/>
      <c r="W157" s="39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35" t="s">
        <v>21</v>
      </c>
      <c r="B158" s="35" t="s">
        <v>35</v>
      </c>
      <c r="C158" s="35" t="s">
        <v>36</v>
      </c>
      <c r="D158" s="35" t="s">
        <v>41</v>
      </c>
      <c r="E158" s="35" t="s">
        <v>49</v>
      </c>
      <c r="F158" s="35" t="s">
        <v>51</v>
      </c>
      <c r="G158" s="35" t="s">
        <v>25</v>
      </c>
      <c r="H158" s="35" t="s">
        <v>38</v>
      </c>
      <c r="I158" s="54">
        <v>44378</v>
      </c>
      <c r="J158" s="55">
        <f>EFEITO!$J$158*EFEITO!$Y$125</f>
        <v>0</v>
      </c>
      <c r="K158" s="55">
        <f ca="1">EFEITO!$L$158*EFEITO!$Z$125</f>
        <v>1758.5044162310433</v>
      </c>
      <c r="L158" s="55">
        <f>EFEITO!$N$158*EFEITO!$AA$125</f>
        <v>4312.9473641049426</v>
      </c>
      <c r="M158" s="55">
        <f>$J$158-EFEITO!$K$158*EFEITO!$Y$158</f>
        <v>0</v>
      </c>
      <c r="N158" s="55">
        <f ca="1">$K$158-EFEITO!$M$158*EFEITO!$Z$158</f>
        <v>1230.9530913617305</v>
      </c>
      <c r="O158" s="55">
        <f>$L$158-EFEITO!$O$158*EFEITO!$AA$158</f>
        <v>3019.06315487346</v>
      </c>
      <c r="P158" s="39"/>
      <c r="Q158" s="39"/>
      <c r="R158" s="39"/>
      <c r="S158" s="39"/>
      <c r="T158" s="39"/>
      <c r="U158" s="39"/>
      <c r="V158" s="39"/>
      <c r="W158" s="39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35" t="s">
        <v>21</v>
      </c>
      <c r="B159" s="35" t="s">
        <v>35</v>
      </c>
      <c r="C159" s="35" t="s">
        <v>36</v>
      </c>
      <c r="D159" s="35" t="s">
        <v>41</v>
      </c>
      <c r="E159" s="35" t="s">
        <v>49</v>
      </c>
      <c r="F159" s="35" t="s">
        <v>51</v>
      </c>
      <c r="G159" s="35" t="s">
        <v>25</v>
      </c>
      <c r="H159" s="35" t="s">
        <v>38</v>
      </c>
      <c r="I159" s="54">
        <v>44409</v>
      </c>
      <c r="J159" s="55">
        <f>EFEITO!$J$159*EFEITO!$Y$125</f>
        <v>0</v>
      </c>
      <c r="K159" s="55">
        <f ca="1">EFEITO!$L$159*EFEITO!$Z$125</f>
        <v>2793.8855211147411</v>
      </c>
      <c r="L159" s="55">
        <f>EFEITO!$N$159*EFEITO!$AA$125</f>
        <v>6852.3462794190673</v>
      </c>
      <c r="M159" s="55">
        <f>$J$159-EFEITO!$K$159*EFEITO!$Y$159</f>
        <v>0</v>
      </c>
      <c r="N159" s="55">
        <f ca="1">$K$159-EFEITO!$M$159*EFEITO!$Z$159</f>
        <v>1955.7198647803186</v>
      </c>
      <c r="O159" s="55">
        <f>$L$159-EFEITO!$O$159*EFEITO!$AA$159</f>
        <v>4796.6423955933469</v>
      </c>
      <c r="P159" s="39"/>
      <c r="Q159" s="39"/>
      <c r="R159" s="39"/>
      <c r="S159" s="39"/>
      <c r="T159" s="39"/>
      <c r="U159" s="39"/>
      <c r="V159" s="39"/>
      <c r="W159" s="39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35" t="s">
        <v>21</v>
      </c>
      <c r="B160" s="35" t="s">
        <v>35</v>
      </c>
      <c r="C160" s="35" t="s">
        <v>36</v>
      </c>
      <c r="D160" s="35" t="s">
        <v>41</v>
      </c>
      <c r="E160" s="35" t="s">
        <v>49</v>
      </c>
      <c r="F160" s="35" t="s">
        <v>51</v>
      </c>
      <c r="G160" s="35" t="s">
        <v>25</v>
      </c>
      <c r="H160" s="35" t="s">
        <v>38</v>
      </c>
      <c r="I160" s="54">
        <v>44440</v>
      </c>
      <c r="J160" s="55">
        <f>EFEITO!$J$160*EFEITO!$Y$125</f>
        <v>0</v>
      </c>
      <c r="K160" s="55">
        <f ca="1">EFEITO!$L$160*EFEITO!$Z$125</f>
        <v>1960.9584001324092</v>
      </c>
      <c r="L160" s="55">
        <f>EFEITO!$N$160*EFEITO!$AA$125</f>
        <v>4809.490544867258</v>
      </c>
      <c r="M160" s="55">
        <f>$J$160-EFEITO!$K$160*EFEITO!$Y$160</f>
        <v>0</v>
      </c>
      <c r="N160" s="55">
        <f ca="1">$K$160-EFEITO!$M$160*EFEITO!$Z$160</f>
        <v>1372.6708800926865</v>
      </c>
      <c r="O160" s="55">
        <f>$L$160-EFEITO!$O$160*EFEITO!$AA$160</f>
        <v>3366.6433814070806</v>
      </c>
      <c r="P160" s="39"/>
      <c r="Q160" s="39"/>
      <c r="R160" s="39"/>
      <c r="S160" s="39"/>
      <c r="T160" s="39"/>
      <c r="U160" s="39"/>
      <c r="V160" s="39"/>
      <c r="W160" s="39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35" t="s">
        <v>21</v>
      </c>
      <c r="B161" s="35" t="s">
        <v>35</v>
      </c>
      <c r="C161" s="35" t="s">
        <v>36</v>
      </c>
      <c r="D161" s="35" t="s">
        <v>41</v>
      </c>
      <c r="E161" s="35" t="s">
        <v>49</v>
      </c>
      <c r="F161" s="35" t="s">
        <v>51</v>
      </c>
      <c r="G161" s="35" t="s">
        <v>25</v>
      </c>
      <c r="H161" s="35" t="s">
        <v>38</v>
      </c>
      <c r="I161" s="54">
        <v>44470</v>
      </c>
      <c r="J161" s="55">
        <f>EFEITO!$J$161*EFEITO!$Y$125</f>
        <v>0</v>
      </c>
      <c r="K161" s="55">
        <f ca="1">EFEITO!$L$161*EFEITO!$Z$125</f>
        <v>3483.9341582783013</v>
      </c>
      <c r="L161" s="55">
        <f>EFEITO!$N$161*EFEITO!$AA$125</f>
        <v>8544.7750406373507</v>
      </c>
      <c r="M161" s="55">
        <f>$J$161-EFEITO!$K$161*EFEITO!$Y$161</f>
        <v>0</v>
      </c>
      <c r="N161" s="55">
        <f ca="1">$K$161-EFEITO!$M$161*EFEITO!$Z$161</f>
        <v>2438.753910794811</v>
      </c>
      <c r="O161" s="55">
        <f>$L$161-EFEITO!$O$161*EFEITO!$AA$161</f>
        <v>5981.3425284461455</v>
      </c>
      <c r="P161" s="39"/>
      <c r="Q161" s="39"/>
      <c r="R161" s="39"/>
      <c r="S161" s="39"/>
      <c r="T161" s="39"/>
      <c r="U161" s="39"/>
      <c r="V161" s="39"/>
      <c r="W161" s="39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35" t="s">
        <v>21</v>
      </c>
      <c r="B162" s="35" t="s">
        <v>35</v>
      </c>
      <c r="C162" s="35" t="s">
        <v>36</v>
      </c>
      <c r="D162" s="35" t="s">
        <v>41</v>
      </c>
      <c r="E162" s="35" t="s">
        <v>49</v>
      </c>
      <c r="F162" s="35" t="s">
        <v>51</v>
      </c>
      <c r="G162" s="35" t="s">
        <v>25</v>
      </c>
      <c r="H162" s="35" t="s">
        <v>38</v>
      </c>
      <c r="I162" s="54">
        <v>44501</v>
      </c>
      <c r="J162" s="55">
        <f>EFEITO!$J$162*EFEITO!$Y$125</f>
        <v>0</v>
      </c>
      <c r="K162" s="55">
        <f ca="1">EFEITO!$L$162*EFEITO!$Z$125</f>
        <v>32237.432974865456</v>
      </c>
      <c r="L162" s="55">
        <f>EFEITO!$N$162*EFEITO!$AA$125</f>
        <v>79066.251009168933</v>
      </c>
      <c r="M162" s="55">
        <f>$J$162-EFEITO!$K$162*EFEITO!$Y$162</f>
        <v>0</v>
      </c>
      <c r="N162" s="55">
        <f ca="1">$K$162-EFEITO!$M$162*EFEITO!$Z$162</f>
        <v>22566.203082405817</v>
      </c>
      <c r="O162" s="55">
        <f>$L$162-EFEITO!$O$162*EFEITO!$AA$162</f>
        <v>55346.375706418257</v>
      </c>
      <c r="P162" s="39"/>
      <c r="Q162" s="39"/>
      <c r="R162" s="39"/>
      <c r="S162" s="39"/>
      <c r="T162" s="39"/>
      <c r="U162" s="39"/>
      <c r="V162" s="39"/>
      <c r="W162" s="39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35" t="s">
        <v>21</v>
      </c>
      <c r="B163" s="35" t="s">
        <v>35</v>
      </c>
      <c r="C163" s="35" t="s">
        <v>36</v>
      </c>
      <c r="D163" s="35" t="s">
        <v>41</v>
      </c>
      <c r="E163" s="35" t="s">
        <v>49</v>
      </c>
      <c r="F163" s="35" t="s">
        <v>51</v>
      </c>
      <c r="G163" s="35" t="s">
        <v>25</v>
      </c>
      <c r="H163" s="35" t="s">
        <v>38</v>
      </c>
      <c r="I163" s="54">
        <v>44531</v>
      </c>
      <c r="J163" s="55">
        <f>EFEITO!$J$163*EFEITO!$Y$125</f>
        <v>0</v>
      </c>
      <c r="K163" s="55">
        <f ca="1">EFEITO!$L$163*EFEITO!$Z$125</f>
        <v>45096.599234934416</v>
      </c>
      <c r="L163" s="55">
        <f>EFEITO!$N$163*EFEITO!$AA$125</f>
        <v>110604.93053368189</v>
      </c>
      <c r="M163" s="55">
        <f>$J$163-EFEITO!$K$163*EFEITO!$Y$163</f>
        <v>0</v>
      </c>
      <c r="N163" s="55">
        <f ca="1">$K$163-EFEITO!$M$163*EFEITO!$Z$163</f>
        <v>31567.619464454096</v>
      </c>
      <c r="O163" s="55">
        <f>$L$163-EFEITO!$O$163*EFEITO!$AA$163</f>
        <v>77423.451373577322</v>
      </c>
      <c r="P163" s="39"/>
      <c r="Q163" s="39"/>
      <c r="R163" s="39"/>
      <c r="S163" s="39"/>
      <c r="T163" s="39"/>
      <c r="U163" s="39"/>
      <c r="V163" s="39"/>
      <c r="W163" s="39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35" t="s">
        <v>21</v>
      </c>
      <c r="B164" s="35" t="s">
        <v>35</v>
      </c>
      <c r="C164" s="35" t="s">
        <v>36</v>
      </c>
      <c r="D164" s="35" t="s">
        <v>41</v>
      </c>
      <c r="E164" s="35" t="s">
        <v>49</v>
      </c>
      <c r="F164" s="35" t="s">
        <v>51</v>
      </c>
      <c r="G164" s="35" t="s">
        <v>25</v>
      </c>
      <c r="H164" s="35" t="s">
        <v>38</v>
      </c>
      <c r="I164" s="54">
        <v>44562</v>
      </c>
      <c r="J164" s="55">
        <f>EFEITO!$J$164*EFEITO!$Y$125</f>
        <v>0</v>
      </c>
      <c r="K164" s="55">
        <f ca="1">EFEITO!$L$164*EFEITO!$Z$125</f>
        <v>47787.15207831969</v>
      </c>
      <c r="L164" s="55">
        <f>EFEITO!$N$164*EFEITO!$AA$125</f>
        <v>117203.84077056068</v>
      </c>
      <c r="M164" s="55">
        <f>$J$164-EFEITO!$K$164*EFEITO!$Y$164</f>
        <v>0</v>
      </c>
      <c r="N164" s="55">
        <f ca="1">$K$164-EFEITO!$M$164*EFEITO!$Z$164</f>
        <v>33451.006454823786</v>
      </c>
      <c r="O164" s="55">
        <f>$L$164-EFEITO!$O$164*EFEITO!$AA$164</f>
        <v>82042.688539392475</v>
      </c>
      <c r="P164" s="39"/>
      <c r="Q164" s="39"/>
      <c r="R164" s="39"/>
      <c r="S164" s="39"/>
      <c r="T164" s="39"/>
      <c r="U164" s="39"/>
      <c r="V164" s="39"/>
      <c r="W164" s="39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35" t="s">
        <v>21</v>
      </c>
      <c r="B165" s="35" t="s">
        <v>35</v>
      </c>
      <c r="C165" s="35" t="s">
        <v>36</v>
      </c>
      <c r="D165" s="35" t="s">
        <v>41</v>
      </c>
      <c r="E165" s="35" t="s">
        <v>49</v>
      </c>
      <c r="F165" s="35" t="s">
        <v>51</v>
      </c>
      <c r="G165" s="35" t="s">
        <v>25</v>
      </c>
      <c r="H165" s="35" t="s">
        <v>38</v>
      </c>
      <c r="I165" s="54">
        <v>44593</v>
      </c>
      <c r="J165" s="55">
        <f>EFEITO!$J$165*EFEITO!$Y$125</f>
        <v>0</v>
      </c>
      <c r="K165" s="55">
        <f ca="1">EFEITO!$L$165*EFEITO!$Z$125</f>
        <v>34301.313187209518</v>
      </c>
      <c r="L165" s="55">
        <f>EFEITO!$N$165*EFEITO!$AA$125</f>
        <v>84128.169898594206</v>
      </c>
      <c r="M165" s="55">
        <f>$J$165-EFEITO!$K$165*EFEITO!$Y$165</f>
        <v>0</v>
      </c>
      <c r="N165" s="55">
        <f ca="1">$K$165-EFEITO!$M$165*EFEITO!$Z$165</f>
        <v>24010.919231046661</v>
      </c>
      <c r="O165" s="55">
        <f>$L$165-EFEITO!$O$165*EFEITO!$AA$165</f>
        <v>58889.718929015944</v>
      </c>
      <c r="P165" s="39"/>
      <c r="Q165" s="39"/>
      <c r="R165" s="39"/>
      <c r="S165" s="39"/>
      <c r="T165" s="39"/>
      <c r="U165" s="39"/>
      <c r="V165" s="39"/>
      <c r="W165" s="39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35" t="s">
        <v>21</v>
      </c>
      <c r="B166" s="35" t="s">
        <v>35</v>
      </c>
      <c r="C166" s="35" t="s">
        <v>36</v>
      </c>
      <c r="D166" s="35" t="s">
        <v>41</v>
      </c>
      <c r="E166" s="35" t="s">
        <v>49</v>
      </c>
      <c r="F166" s="35" t="s">
        <v>51</v>
      </c>
      <c r="G166" s="35" t="s">
        <v>25</v>
      </c>
      <c r="H166" s="35" t="s">
        <v>38</v>
      </c>
      <c r="I166" s="54">
        <v>44621</v>
      </c>
      <c r="J166" s="55">
        <f>EFEITO!$J$166*EFEITO!$Y$125</f>
        <v>0</v>
      </c>
      <c r="K166" s="55">
        <f ca="1">EFEITO!$L$166*EFEITO!$Z$125</f>
        <v>16458.245479713787</v>
      </c>
      <c r="L166" s="55">
        <f>EFEITO!$N$166*EFEITO!$AA$125</f>
        <v>40365.861924680779</v>
      </c>
      <c r="M166" s="55">
        <f>$J$166-EFEITO!$K$166*EFEITO!$Y$166</f>
        <v>0</v>
      </c>
      <c r="N166" s="55">
        <f ca="1">$K$166-EFEITO!$M$166*EFEITO!$Z$166</f>
        <v>11520.771835799651</v>
      </c>
      <c r="O166" s="55">
        <f>$L$166-EFEITO!$O$166*EFEITO!$AA$166</f>
        <v>28256.103347276545</v>
      </c>
      <c r="P166" s="39"/>
      <c r="Q166" s="39"/>
      <c r="R166" s="39"/>
      <c r="S166" s="39"/>
      <c r="T166" s="39"/>
      <c r="U166" s="39"/>
      <c r="V166" s="39"/>
      <c r="W166" s="39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35" t="s">
        <v>21</v>
      </c>
      <c r="B167" s="35" t="s">
        <v>35</v>
      </c>
      <c r="C167" s="35" t="s">
        <v>36</v>
      </c>
      <c r="D167" s="35" t="s">
        <v>41</v>
      </c>
      <c r="E167" s="35" t="s">
        <v>49</v>
      </c>
      <c r="F167" s="35" t="s">
        <v>51</v>
      </c>
      <c r="G167" s="35" t="s">
        <v>25</v>
      </c>
      <c r="H167" s="35" t="s">
        <v>38</v>
      </c>
      <c r="I167" s="54">
        <v>44652</v>
      </c>
      <c r="J167" s="55">
        <f>EFEITO!$J$167*EFEITO!$Y$125</f>
        <v>0</v>
      </c>
      <c r="K167" s="55">
        <f ca="1">EFEITO!$L$167*EFEITO!$Z$125</f>
        <v>4154.569399725292</v>
      </c>
      <c r="L167" s="55">
        <f>EFEITO!$N$167*EFEITO!$AA$125</f>
        <v>10189.590072193494</v>
      </c>
      <c r="M167" s="55">
        <f>$J$167-EFEITO!$K$167*EFEITO!$Y$167</f>
        <v>0</v>
      </c>
      <c r="N167" s="55">
        <f ca="1">$K$167-EFEITO!$M$167*EFEITO!$Z$167</f>
        <v>2908.1985798077044</v>
      </c>
      <c r="O167" s="55">
        <f>$L$167-EFEITO!$O$167*EFEITO!$AA$167</f>
        <v>7132.7130505354453</v>
      </c>
      <c r="P167" s="39"/>
      <c r="Q167" s="39"/>
      <c r="R167" s="39"/>
      <c r="S167" s="39"/>
      <c r="T167" s="39"/>
      <c r="U167" s="39"/>
      <c r="V167" s="39"/>
      <c r="W167" s="39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35" t="s">
        <v>21</v>
      </c>
      <c r="B168" s="35" t="s">
        <v>35</v>
      </c>
      <c r="C168" s="35" t="s">
        <v>36</v>
      </c>
      <c r="D168" s="35" t="s">
        <v>41</v>
      </c>
      <c r="E168" s="35" t="s">
        <v>49</v>
      </c>
      <c r="F168" s="35" t="s">
        <v>51</v>
      </c>
      <c r="G168" s="35" t="s">
        <v>25</v>
      </c>
      <c r="H168" s="35" t="s">
        <v>38</v>
      </c>
      <c r="I168" s="54">
        <v>44682</v>
      </c>
      <c r="J168" s="55">
        <f>EFEITO!$J$168*EFEITO!$Y$125</f>
        <v>0</v>
      </c>
      <c r="K168" s="55">
        <f ca="1">EFEITO!$L$168*EFEITO!$Z$125</f>
        <v>1858.9610353358303</v>
      </c>
      <c r="L168" s="55">
        <f>EFEITO!$N$168*EFEITO!$AA$125</f>
        <v>4559.3295207693482</v>
      </c>
      <c r="M168" s="55">
        <f>$J$168-EFEITO!$K$168*EFEITO!$Y$168</f>
        <v>0</v>
      </c>
      <c r="N168" s="55">
        <f ca="1">$K$168-EFEITO!$M$168*EFEITO!$Z$168</f>
        <v>1301.2727247350811</v>
      </c>
      <c r="O168" s="55">
        <f>$L$168-EFEITO!$O$168*EFEITO!$AA$168</f>
        <v>3191.5306645385435</v>
      </c>
      <c r="P168" s="39"/>
      <c r="Q168" s="39"/>
      <c r="R168" s="39"/>
      <c r="S168" s="39"/>
      <c r="T168" s="39"/>
      <c r="U168" s="39"/>
      <c r="V168" s="39"/>
      <c r="W168" s="39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35" t="s">
        <v>21</v>
      </c>
      <c r="B169" s="35" t="s">
        <v>35</v>
      </c>
      <c r="C169" s="35" t="s">
        <v>36</v>
      </c>
      <c r="D169" s="35" t="s">
        <v>41</v>
      </c>
      <c r="E169" s="35" t="s">
        <v>49</v>
      </c>
      <c r="F169" s="35" t="s">
        <v>51</v>
      </c>
      <c r="G169" s="35" t="s">
        <v>25</v>
      </c>
      <c r="H169" s="35" t="s">
        <v>38</v>
      </c>
      <c r="I169" s="54">
        <v>44713</v>
      </c>
      <c r="J169" s="55">
        <f>EFEITO!$J$169*EFEITO!$Y$125</f>
        <v>0</v>
      </c>
      <c r="K169" s="55">
        <f ca="1">EFEITO!$L$169*EFEITO!$Z$125</f>
        <v>1170.76129300242</v>
      </c>
      <c r="L169" s="55">
        <f>EFEITO!$N$169*EFEITO!$AA$125</f>
        <v>2871.4354004712695</v>
      </c>
      <c r="M169" s="55">
        <f>$J$169-EFEITO!$K$169*EFEITO!$Y$169</f>
        <v>0</v>
      </c>
      <c r="N169" s="55">
        <f ca="1">$K$169-EFEITO!$M$169*EFEITO!$Z$169</f>
        <v>819.53290510169404</v>
      </c>
      <c r="O169" s="55">
        <f>$L$169-EFEITO!$O$169*EFEITO!$AA$169</f>
        <v>2010.0047803298887</v>
      </c>
      <c r="P169" s="39"/>
      <c r="Q169" s="39"/>
      <c r="R169" s="39"/>
      <c r="S169" s="39"/>
      <c r="T169" s="39"/>
      <c r="U169" s="39"/>
      <c r="V169" s="39"/>
      <c r="W169" s="39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35" t="s">
        <v>21</v>
      </c>
      <c r="B170" s="35" t="s">
        <v>35</v>
      </c>
      <c r="C170" s="35" t="s">
        <v>36</v>
      </c>
      <c r="D170" s="35" t="s">
        <v>41</v>
      </c>
      <c r="E170" s="35" t="s">
        <v>49</v>
      </c>
      <c r="F170" s="35" t="s">
        <v>25</v>
      </c>
      <c r="G170" s="35" t="s">
        <v>25</v>
      </c>
      <c r="H170" s="35" t="s">
        <v>38</v>
      </c>
      <c r="I170" s="54">
        <v>44378</v>
      </c>
      <c r="J170" s="55">
        <f>EFEITO!$J$170*EFEITO!$Y$125</f>
        <v>0</v>
      </c>
      <c r="K170" s="55">
        <f ca="1">EFEITO!$L$170*EFEITO!$Z$125</f>
        <v>3160.9938612788624</v>
      </c>
      <c r="L170" s="55">
        <f>EFEITO!$N$170*EFEITO!$AA$125</f>
        <v>7752.7244265750878</v>
      </c>
      <c r="M170" s="55">
        <f>$J$170-EFEITO!$K$170*EFEITO!$Y$170</f>
        <v>0</v>
      </c>
      <c r="N170" s="55">
        <f ca="1">$K$170-EFEITO!$M$170*EFEITO!$Z$170</f>
        <v>63.21987722557742</v>
      </c>
      <c r="O170" s="55">
        <f>$L$170-EFEITO!$O$170*EFEITO!$AA$170</f>
        <v>155.0544885315021</v>
      </c>
      <c r="P170" s="39"/>
      <c r="Q170" s="39"/>
      <c r="R170" s="39"/>
      <c r="S170" s="39"/>
      <c r="T170" s="39"/>
      <c r="U170" s="39"/>
      <c r="V170" s="39"/>
      <c r="W170" s="39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35" t="s">
        <v>21</v>
      </c>
      <c r="B171" s="35" t="s">
        <v>35</v>
      </c>
      <c r="C171" s="35" t="s">
        <v>36</v>
      </c>
      <c r="D171" s="35" t="s">
        <v>41</v>
      </c>
      <c r="E171" s="35" t="s">
        <v>49</v>
      </c>
      <c r="F171" s="35" t="s">
        <v>25</v>
      </c>
      <c r="G171" s="35" t="s">
        <v>25</v>
      </c>
      <c r="H171" s="35" t="s">
        <v>38</v>
      </c>
      <c r="I171" s="54">
        <v>44409</v>
      </c>
      <c r="J171" s="55">
        <f>EFEITO!$J$171*EFEITO!$Y$125</f>
        <v>0</v>
      </c>
      <c r="K171" s="55">
        <f ca="1">EFEITO!$L$171*EFEITO!$Z$125</f>
        <v>5856.7852400162292</v>
      </c>
      <c r="L171" s="55">
        <f>EFEITO!$N$171*EFEITO!$AA$125</f>
        <v>14364.482812727787</v>
      </c>
      <c r="M171" s="55">
        <f>$J$171-EFEITO!$K$171*EFEITO!$Y$171</f>
        <v>0</v>
      </c>
      <c r="N171" s="55">
        <f ca="1">$K$171-EFEITO!$M$171*EFEITO!$Z$171</f>
        <v>117.13570480032467</v>
      </c>
      <c r="O171" s="55">
        <f>$L$171-EFEITO!$O$171*EFEITO!$AA$171</f>
        <v>287.28965625455749</v>
      </c>
      <c r="P171" s="39"/>
      <c r="Q171" s="39"/>
      <c r="R171" s="39"/>
      <c r="S171" s="39"/>
      <c r="T171" s="39"/>
      <c r="U171" s="39"/>
      <c r="V171" s="39"/>
      <c r="W171" s="39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35" t="s">
        <v>21</v>
      </c>
      <c r="B172" s="35" t="s">
        <v>35</v>
      </c>
      <c r="C172" s="35" t="s">
        <v>36</v>
      </c>
      <c r="D172" s="35" t="s">
        <v>41</v>
      </c>
      <c r="E172" s="35" t="s">
        <v>49</v>
      </c>
      <c r="F172" s="35" t="s">
        <v>25</v>
      </c>
      <c r="G172" s="35" t="s">
        <v>25</v>
      </c>
      <c r="H172" s="35" t="s">
        <v>38</v>
      </c>
      <c r="I172" s="54">
        <v>44440</v>
      </c>
      <c r="J172" s="55">
        <f>EFEITO!$J$172*EFEITO!$Y$125</f>
        <v>0</v>
      </c>
      <c r="K172" s="55">
        <f ca="1">EFEITO!$L$172*EFEITO!$Z$125</f>
        <v>3948.52034254308</v>
      </c>
      <c r="L172" s="55">
        <f>EFEITO!$N$172*EFEITO!$AA$125</f>
        <v>9684.2295340863384</v>
      </c>
      <c r="M172" s="55">
        <f>$J$172-EFEITO!$K$172*EFEITO!$Y$172</f>
        <v>0</v>
      </c>
      <c r="N172" s="55">
        <f ca="1">$K$172-EFEITO!$M$172*EFEITO!$Z$172</f>
        <v>78.970406850861764</v>
      </c>
      <c r="O172" s="55">
        <f>$L$172-EFEITO!$O$172*EFEITO!$AA$172</f>
        <v>193.68459068172706</v>
      </c>
      <c r="P172" s="39"/>
      <c r="Q172" s="39"/>
      <c r="R172" s="39"/>
      <c r="S172" s="39"/>
      <c r="T172" s="39"/>
      <c r="U172" s="39"/>
      <c r="V172" s="39"/>
      <c r="W172" s="39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35" t="s">
        <v>21</v>
      </c>
      <c r="B173" s="35" t="s">
        <v>35</v>
      </c>
      <c r="C173" s="35" t="s">
        <v>36</v>
      </c>
      <c r="D173" s="35" t="s">
        <v>41</v>
      </c>
      <c r="E173" s="35" t="s">
        <v>49</v>
      </c>
      <c r="F173" s="35" t="s">
        <v>25</v>
      </c>
      <c r="G173" s="35" t="s">
        <v>25</v>
      </c>
      <c r="H173" s="35" t="s">
        <v>38</v>
      </c>
      <c r="I173" s="54">
        <v>44470</v>
      </c>
      <c r="J173" s="55">
        <f>EFEITO!$J$173*EFEITO!$Y$125</f>
        <v>0</v>
      </c>
      <c r="K173" s="55">
        <f ca="1">EFEITO!$L$173*EFEITO!$Z$125</f>
        <v>4911.0755343947794</v>
      </c>
      <c r="L173" s="55">
        <f>EFEITO!$N$173*EFEITO!$AA$125</f>
        <v>12045.013982043545</v>
      </c>
      <c r="M173" s="55">
        <f>$J$173-EFEITO!$K$173*EFEITO!$Y$173</f>
        <v>0</v>
      </c>
      <c r="N173" s="55">
        <f ca="1">$K$173-EFEITO!$M$173*EFEITO!$Z$173</f>
        <v>98.221510687895716</v>
      </c>
      <c r="O173" s="55">
        <f>$L$173-EFEITO!$O$173*EFEITO!$AA$173</f>
        <v>240.9002796408713</v>
      </c>
      <c r="P173" s="39"/>
      <c r="Q173" s="39"/>
      <c r="R173" s="39"/>
      <c r="S173" s="39"/>
      <c r="T173" s="39"/>
      <c r="U173" s="39"/>
      <c r="V173" s="39"/>
      <c r="W173" s="39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35" t="s">
        <v>21</v>
      </c>
      <c r="B174" s="35" t="s">
        <v>35</v>
      </c>
      <c r="C174" s="35" t="s">
        <v>36</v>
      </c>
      <c r="D174" s="35" t="s">
        <v>41</v>
      </c>
      <c r="E174" s="35" t="s">
        <v>49</v>
      </c>
      <c r="F174" s="35" t="s">
        <v>25</v>
      </c>
      <c r="G174" s="35" t="s">
        <v>25</v>
      </c>
      <c r="H174" s="35" t="s">
        <v>38</v>
      </c>
      <c r="I174" s="54">
        <v>44501</v>
      </c>
      <c r="J174" s="55">
        <f>EFEITO!$J$174*EFEITO!$Y$125</f>
        <v>0</v>
      </c>
      <c r="K174" s="55">
        <f ca="1">EFEITO!$L$174*EFEITO!$Z$125</f>
        <v>42171.955762776328</v>
      </c>
      <c r="L174" s="55">
        <f>EFEITO!$N$174*EFEITO!$AA$125</f>
        <v>103431.88437140619</v>
      </c>
      <c r="M174" s="55">
        <f>$J$174-EFEITO!$K$174*EFEITO!$Y$174</f>
        <v>0</v>
      </c>
      <c r="N174" s="55">
        <f ca="1">$K$174-EFEITO!$M$174*EFEITO!$Z$174</f>
        <v>843.43911525553267</v>
      </c>
      <c r="O174" s="55">
        <f>$L$174-EFEITO!$O$174*EFEITO!$AA$174</f>
        <v>2068.6376874281414</v>
      </c>
      <c r="P174" s="39"/>
      <c r="Q174" s="39"/>
      <c r="R174" s="39"/>
      <c r="S174" s="39"/>
      <c r="T174" s="39"/>
      <c r="U174" s="39"/>
      <c r="V174" s="39"/>
      <c r="W174" s="39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35" t="s">
        <v>28</v>
      </c>
      <c r="B175" s="35" t="s">
        <v>35</v>
      </c>
      <c r="C175" s="35" t="s">
        <v>36</v>
      </c>
      <c r="D175" s="35" t="s">
        <v>41</v>
      </c>
      <c r="E175" s="35" t="s">
        <v>49</v>
      </c>
      <c r="F175" s="35" t="s">
        <v>25</v>
      </c>
      <c r="G175" s="35" t="s">
        <v>25</v>
      </c>
      <c r="H175" s="35" t="s">
        <v>38</v>
      </c>
      <c r="I175" s="54">
        <v>44501</v>
      </c>
      <c r="J175" s="55">
        <f>EFEITO!$J$175*EFEITO!$Y$125</f>
        <v>0</v>
      </c>
      <c r="K175" s="55">
        <f ca="1">EFEITO!$L$175*EFEITO!$Z$125</f>
        <v>2426.4690318122625</v>
      </c>
      <c r="L175" s="55">
        <f>EFEITO!$N$175*EFEITO!$AA$125</f>
        <v>5951.2123587763472</v>
      </c>
      <c r="M175" s="55">
        <f>$J$175-EFEITO!$K$175*EFEITO!$Y$175</f>
        <v>0</v>
      </c>
      <c r="N175" s="55">
        <f ca="1">$K$175-EFEITO!$M$175*EFEITO!$Z$175</f>
        <v>48.529380636245605</v>
      </c>
      <c r="O175" s="55">
        <f>$L$175-EFEITO!$O$175*EFEITO!$AA$175</f>
        <v>119.02424717552731</v>
      </c>
      <c r="P175" s="39"/>
      <c r="Q175" s="39"/>
      <c r="R175" s="39"/>
      <c r="S175" s="39"/>
      <c r="T175" s="39"/>
      <c r="U175" s="39"/>
      <c r="V175" s="39"/>
      <c r="W175" s="39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35" t="s">
        <v>21</v>
      </c>
      <c r="B176" s="35" t="s">
        <v>35</v>
      </c>
      <c r="C176" s="35" t="s">
        <v>36</v>
      </c>
      <c r="D176" s="35" t="s">
        <v>41</v>
      </c>
      <c r="E176" s="35" t="s">
        <v>49</v>
      </c>
      <c r="F176" s="35" t="s">
        <v>25</v>
      </c>
      <c r="G176" s="35" t="s">
        <v>25</v>
      </c>
      <c r="H176" s="35" t="s">
        <v>38</v>
      </c>
      <c r="I176" s="54">
        <v>44531</v>
      </c>
      <c r="J176" s="55">
        <f>EFEITO!$J$176*EFEITO!$Y$125</f>
        <v>0</v>
      </c>
      <c r="K176" s="55">
        <f ca="1">EFEITO!$L$176*EFEITO!$Z$125</f>
        <v>52605.47472206864</v>
      </c>
      <c r="L176" s="55">
        <f>EFEITO!$N$176*EFEITO!$AA$125</f>
        <v>129021.36693310735</v>
      </c>
      <c r="M176" s="55">
        <f>$J$176-EFEITO!$K$176*EFEITO!$Y$176</f>
        <v>0</v>
      </c>
      <c r="N176" s="55">
        <f ca="1">$K$176-EFEITO!$M$176*EFEITO!$Z$176</f>
        <v>1052.109494441378</v>
      </c>
      <c r="O176" s="55">
        <f>$L$176-EFEITO!$O$176*EFEITO!$AA$176</f>
        <v>2580.4273386621644</v>
      </c>
      <c r="P176" s="39"/>
      <c r="Q176" s="39"/>
      <c r="R176" s="39"/>
      <c r="S176" s="39"/>
      <c r="T176" s="39"/>
      <c r="U176" s="39"/>
      <c r="V176" s="39"/>
      <c r="W176" s="39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35" t="s">
        <v>28</v>
      </c>
      <c r="B177" s="35" t="s">
        <v>35</v>
      </c>
      <c r="C177" s="35" t="s">
        <v>36</v>
      </c>
      <c r="D177" s="35" t="s">
        <v>41</v>
      </c>
      <c r="E177" s="35" t="s">
        <v>49</v>
      </c>
      <c r="F177" s="35" t="s">
        <v>25</v>
      </c>
      <c r="G177" s="35" t="s">
        <v>25</v>
      </c>
      <c r="H177" s="35" t="s">
        <v>38</v>
      </c>
      <c r="I177" s="54">
        <v>44531</v>
      </c>
      <c r="J177" s="55">
        <f>EFEITO!$J$177*EFEITO!$Y$125</f>
        <v>0</v>
      </c>
      <c r="K177" s="55">
        <f ca="1">EFEITO!$L$177*EFEITO!$Z$125</f>
        <v>1711.9738963389484</v>
      </c>
      <c r="L177" s="55">
        <f>EFEITO!$N$177*EFEITO!$AA$125</f>
        <v>4198.8255676131475</v>
      </c>
      <c r="M177" s="55">
        <f>$J$177-EFEITO!$K$177*EFEITO!$Y$177</f>
        <v>0</v>
      </c>
      <c r="N177" s="55">
        <f ca="1">$K$177-EFEITO!$M$177*EFEITO!$Z$177</f>
        <v>34.239477926779045</v>
      </c>
      <c r="O177" s="55">
        <f>$L$177-EFEITO!$O$177*EFEITO!$AA$177</f>
        <v>83.976511352263515</v>
      </c>
      <c r="P177" s="39"/>
      <c r="Q177" s="39"/>
      <c r="R177" s="39"/>
      <c r="S177" s="39"/>
      <c r="T177" s="39"/>
      <c r="U177" s="39"/>
      <c r="V177" s="39"/>
      <c r="W177" s="39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35" t="s">
        <v>21</v>
      </c>
      <c r="B178" s="35" t="s">
        <v>35</v>
      </c>
      <c r="C178" s="35" t="s">
        <v>36</v>
      </c>
      <c r="D178" s="35" t="s">
        <v>41</v>
      </c>
      <c r="E178" s="35" t="s">
        <v>49</v>
      </c>
      <c r="F178" s="35" t="s">
        <v>25</v>
      </c>
      <c r="G178" s="35" t="s">
        <v>25</v>
      </c>
      <c r="H178" s="35" t="s">
        <v>38</v>
      </c>
      <c r="I178" s="54">
        <v>44562</v>
      </c>
      <c r="J178" s="55">
        <f>EFEITO!$J$178*EFEITO!$Y$125</f>
        <v>0</v>
      </c>
      <c r="K178" s="55">
        <f ca="1">EFEITO!$L$178*EFEITO!$Z$125</f>
        <v>59414.954381509109</v>
      </c>
      <c r="L178" s="55">
        <f>EFEITO!$N$178*EFEITO!$AA$125</f>
        <v>145722.44944221791</v>
      </c>
      <c r="M178" s="55">
        <f>$J$178-EFEITO!$K$178*EFEITO!$Y$178</f>
        <v>0</v>
      </c>
      <c r="N178" s="55">
        <f ca="1">$K$178-EFEITO!$M$178*EFEITO!$Z$178</f>
        <v>1188.2990876301919</v>
      </c>
      <c r="O178" s="55">
        <f>$L$178-EFEITO!$O$178*EFEITO!$AA$178</f>
        <v>2914.4489888443786</v>
      </c>
      <c r="P178" s="39"/>
      <c r="Q178" s="39"/>
      <c r="R178" s="39"/>
      <c r="S178" s="39"/>
      <c r="T178" s="39"/>
      <c r="U178" s="39"/>
      <c r="V178" s="39"/>
      <c r="W178" s="39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35" t="s">
        <v>28</v>
      </c>
      <c r="B179" s="35" t="s">
        <v>35</v>
      </c>
      <c r="C179" s="35" t="s">
        <v>36</v>
      </c>
      <c r="D179" s="35" t="s">
        <v>41</v>
      </c>
      <c r="E179" s="35" t="s">
        <v>49</v>
      </c>
      <c r="F179" s="35" t="s">
        <v>25</v>
      </c>
      <c r="G179" s="35" t="s">
        <v>25</v>
      </c>
      <c r="H179" s="35" t="s">
        <v>38</v>
      </c>
      <c r="I179" s="54">
        <v>44562</v>
      </c>
      <c r="J179" s="55">
        <f>EFEITO!$J$179*EFEITO!$Y$125</f>
        <v>0</v>
      </c>
      <c r="K179" s="55">
        <f ca="1">EFEITO!$L$179*EFEITO!$Z$125</f>
        <v>3265.4564191823069</v>
      </c>
      <c r="L179" s="55">
        <f>EFEITO!$N$179*EFEITO!$AA$125</f>
        <v>8008.9316385666025</v>
      </c>
      <c r="M179" s="55">
        <f>$J$179-EFEITO!$K$179*EFEITO!$Y$179</f>
        <v>0</v>
      </c>
      <c r="N179" s="55">
        <f ca="1">$K$179-EFEITO!$M$179*EFEITO!$Z$179</f>
        <v>65.309128383646566</v>
      </c>
      <c r="O179" s="55">
        <f>$L$179-EFEITO!$O$179*EFEITO!$AA$179</f>
        <v>160.17863277133256</v>
      </c>
      <c r="P179" s="39"/>
      <c r="Q179" s="39"/>
      <c r="R179" s="39"/>
      <c r="S179" s="39"/>
      <c r="T179" s="39"/>
      <c r="U179" s="39"/>
      <c r="V179" s="39"/>
      <c r="W179" s="39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35" t="s">
        <v>21</v>
      </c>
      <c r="B180" s="35" t="s">
        <v>35</v>
      </c>
      <c r="C180" s="35" t="s">
        <v>36</v>
      </c>
      <c r="D180" s="35" t="s">
        <v>41</v>
      </c>
      <c r="E180" s="35" t="s">
        <v>49</v>
      </c>
      <c r="F180" s="35" t="s">
        <v>25</v>
      </c>
      <c r="G180" s="35" t="s">
        <v>25</v>
      </c>
      <c r="H180" s="35" t="s">
        <v>38</v>
      </c>
      <c r="I180" s="54">
        <v>44593</v>
      </c>
      <c r="J180" s="55">
        <f>EFEITO!$J$180*EFEITO!$Y$125</f>
        <v>0</v>
      </c>
      <c r="K180" s="55">
        <f ca="1">EFEITO!$L$180*EFEITO!$Z$125</f>
        <v>48057.193439900962</v>
      </c>
      <c r="L180" s="55">
        <f>EFEITO!$N$180*EFEITO!$AA$125</f>
        <v>117866.150269406</v>
      </c>
      <c r="M180" s="55">
        <f>$J$180-EFEITO!$K$180*EFEITO!$Y$180</f>
        <v>0</v>
      </c>
      <c r="N180" s="55">
        <f ca="1">$K$180-EFEITO!$M$180*EFEITO!$Z$180</f>
        <v>961.14386879801896</v>
      </c>
      <c r="O180" s="55">
        <f>$L$180-EFEITO!$O$180*EFEITO!$AA$180</f>
        <v>2357.3230053881271</v>
      </c>
      <c r="P180" s="39"/>
      <c r="Q180" s="39"/>
      <c r="R180" s="39"/>
      <c r="S180" s="39"/>
      <c r="T180" s="39"/>
      <c r="U180" s="39"/>
      <c r="V180" s="39"/>
      <c r="W180" s="39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35" t="s">
        <v>28</v>
      </c>
      <c r="B181" s="35" t="s">
        <v>35</v>
      </c>
      <c r="C181" s="35" t="s">
        <v>36</v>
      </c>
      <c r="D181" s="35" t="s">
        <v>41</v>
      </c>
      <c r="E181" s="35" t="s">
        <v>49</v>
      </c>
      <c r="F181" s="35" t="s">
        <v>25</v>
      </c>
      <c r="G181" s="35" t="s">
        <v>25</v>
      </c>
      <c r="H181" s="35" t="s">
        <v>38</v>
      </c>
      <c r="I181" s="54">
        <v>44593</v>
      </c>
      <c r="J181" s="55">
        <f>EFEITO!$J$181*EFEITO!$Y$125</f>
        <v>0</v>
      </c>
      <c r="K181" s="55">
        <f ca="1">EFEITO!$L$181*EFEITO!$Z$125</f>
        <v>5507.6522662563393</v>
      </c>
      <c r="L181" s="55">
        <f>EFEITO!$N$181*EFEITO!$AA$125</f>
        <v>13508.191452295971</v>
      </c>
      <c r="M181" s="55">
        <f>$J$181-EFEITO!$K$181*EFEITO!$Y$181</f>
        <v>0</v>
      </c>
      <c r="N181" s="55">
        <f ca="1">$K$181-EFEITO!$M$181*EFEITO!$Z$181</f>
        <v>110.1530453251271</v>
      </c>
      <c r="O181" s="55">
        <f>$L$181-EFEITO!$O$181*EFEITO!$AA$181</f>
        <v>270.16382904592137</v>
      </c>
      <c r="P181" s="39"/>
      <c r="Q181" s="39"/>
      <c r="R181" s="39"/>
      <c r="S181" s="39"/>
      <c r="T181" s="39"/>
      <c r="U181" s="39"/>
      <c r="V181" s="39"/>
      <c r="W181" s="39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35" t="s">
        <v>21</v>
      </c>
      <c r="B182" s="35" t="s">
        <v>35</v>
      </c>
      <c r="C182" s="35" t="s">
        <v>36</v>
      </c>
      <c r="D182" s="35" t="s">
        <v>41</v>
      </c>
      <c r="E182" s="35" t="s">
        <v>49</v>
      </c>
      <c r="F182" s="35" t="s">
        <v>25</v>
      </c>
      <c r="G182" s="35" t="s">
        <v>25</v>
      </c>
      <c r="H182" s="35" t="s">
        <v>38</v>
      </c>
      <c r="I182" s="54">
        <v>44621</v>
      </c>
      <c r="J182" s="55">
        <f>EFEITO!$J$182*EFEITO!$Y$125</f>
        <v>0</v>
      </c>
      <c r="K182" s="55">
        <f ca="1">EFEITO!$L$182*EFEITO!$Z$125</f>
        <v>21793.847810386775</v>
      </c>
      <c r="L182" s="55">
        <f>EFEITO!$N$182*EFEITO!$AA$125</f>
        <v>53452.079846902234</v>
      </c>
      <c r="M182" s="55">
        <f>$J$182-EFEITO!$K$182*EFEITO!$Y$182</f>
        <v>0</v>
      </c>
      <c r="N182" s="55">
        <f ca="1">$K$182-EFEITO!$M$182*EFEITO!$Z$182</f>
        <v>435.87695620773593</v>
      </c>
      <c r="O182" s="55">
        <f>$L$182-EFEITO!$O$182*EFEITO!$AA$182</f>
        <v>1069.0415969380483</v>
      </c>
      <c r="P182" s="39"/>
      <c r="Q182" s="39"/>
      <c r="R182" s="39"/>
      <c r="S182" s="39"/>
      <c r="T182" s="39"/>
      <c r="U182" s="39"/>
      <c r="V182" s="39"/>
      <c r="W182" s="39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35" t="s">
        <v>28</v>
      </c>
      <c r="B183" s="35" t="s">
        <v>35</v>
      </c>
      <c r="C183" s="35" t="s">
        <v>36</v>
      </c>
      <c r="D183" s="35" t="s">
        <v>41</v>
      </c>
      <c r="E183" s="35" t="s">
        <v>49</v>
      </c>
      <c r="F183" s="35" t="s">
        <v>25</v>
      </c>
      <c r="G183" s="35" t="s">
        <v>25</v>
      </c>
      <c r="H183" s="35" t="s">
        <v>38</v>
      </c>
      <c r="I183" s="54">
        <v>44621</v>
      </c>
      <c r="J183" s="55">
        <f>EFEITO!$J$183*EFEITO!$Y$125</f>
        <v>0</v>
      </c>
      <c r="K183" s="55">
        <f ca="1">EFEITO!$L$183*EFEITO!$Z$125</f>
        <v>405.01068418218478</v>
      </c>
      <c r="L183" s="55">
        <f>EFEITO!$N$183*EFEITO!$AA$125</f>
        <v>993.33828602019798</v>
      </c>
      <c r="M183" s="55">
        <f>$J$183-EFEITO!$K$183*EFEITO!$Y$183</f>
        <v>0</v>
      </c>
      <c r="N183" s="55">
        <f ca="1">$K$183-EFEITO!$M$183*EFEITO!$Z$183</f>
        <v>8.1002136836437444</v>
      </c>
      <c r="O183" s="55">
        <f>$L$183-EFEITO!$O$183*EFEITO!$AA$183</f>
        <v>19.866765720404032</v>
      </c>
      <c r="P183" s="39"/>
      <c r="Q183" s="39"/>
      <c r="R183" s="39"/>
      <c r="S183" s="39"/>
      <c r="T183" s="39"/>
      <c r="U183" s="39"/>
      <c r="V183" s="39"/>
      <c r="W183" s="39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35" t="s">
        <v>21</v>
      </c>
      <c r="B184" s="35" t="s">
        <v>35</v>
      </c>
      <c r="C184" s="35" t="s">
        <v>36</v>
      </c>
      <c r="D184" s="35" t="s">
        <v>41</v>
      </c>
      <c r="E184" s="35" t="s">
        <v>49</v>
      </c>
      <c r="F184" s="35" t="s">
        <v>25</v>
      </c>
      <c r="G184" s="35" t="s">
        <v>25</v>
      </c>
      <c r="H184" s="35" t="s">
        <v>38</v>
      </c>
      <c r="I184" s="54">
        <v>44652</v>
      </c>
      <c r="J184" s="55">
        <f>EFEITO!$J$184*EFEITO!$Y$125</f>
        <v>0</v>
      </c>
      <c r="K184" s="55">
        <f ca="1">EFEITO!$L$184*EFEITO!$Z$125</f>
        <v>5532.509630083905</v>
      </c>
      <c r="L184" s="55">
        <f>EFEITO!$N$184*EFEITO!$AA$125</f>
        <v>13569.157180223156</v>
      </c>
      <c r="M184" s="55">
        <f>$J$184-EFEITO!$K$184*EFEITO!$Y$184</f>
        <v>0</v>
      </c>
      <c r="N184" s="55">
        <f ca="1">$K$184-EFEITO!$M$184*EFEITO!$Z$184</f>
        <v>110.65019260167901</v>
      </c>
      <c r="O184" s="55">
        <f>$L$184-EFEITO!$O$184*EFEITO!$AA$184</f>
        <v>271.38314360446384</v>
      </c>
      <c r="P184" s="39"/>
      <c r="Q184" s="39"/>
      <c r="R184" s="39"/>
      <c r="S184" s="39"/>
      <c r="T184" s="39"/>
      <c r="U184" s="39"/>
      <c r="V184" s="39"/>
      <c r="W184" s="39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35" t="s">
        <v>21</v>
      </c>
      <c r="B185" s="35" t="s">
        <v>35</v>
      </c>
      <c r="C185" s="35" t="s">
        <v>36</v>
      </c>
      <c r="D185" s="35" t="s">
        <v>41</v>
      </c>
      <c r="E185" s="35" t="s">
        <v>49</v>
      </c>
      <c r="F185" s="35" t="s">
        <v>25</v>
      </c>
      <c r="G185" s="35" t="s">
        <v>25</v>
      </c>
      <c r="H185" s="35" t="s">
        <v>38</v>
      </c>
      <c r="I185" s="54">
        <v>44682</v>
      </c>
      <c r="J185" s="55">
        <f>EFEITO!$J$185*EFEITO!$Y$125</f>
        <v>0</v>
      </c>
      <c r="K185" s="55">
        <f ca="1">EFEITO!$L$185*EFEITO!$Z$125</f>
        <v>3017.7045119422792</v>
      </c>
      <c r="L185" s="55">
        <f>EFEITO!$N$185*EFEITO!$AA$125</f>
        <v>7401.289755259294</v>
      </c>
      <c r="M185" s="55">
        <f>$J$185-EFEITO!$K$185*EFEITO!$Y$185</f>
        <v>0</v>
      </c>
      <c r="N185" s="55">
        <f ca="1">$K$185-EFEITO!$M$185*EFEITO!$Z$185</f>
        <v>60.354090238845856</v>
      </c>
      <c r="O185" s="55">
        <f>$L$185-EFEITO!$O$185*EFEITO!$AA$185</f>
        <v>148.02579510518626</v>
      </c>
      <c r="P185" s="39"/>
      <c r="Q185" s="39"/>
      <c r="R185" s="39"/>
      <c r="S185" s="39"/>
      <c r="T185" s="39"/>
      <c r="U185" s="39"/>
      <c r="V185" s="39"/>
      <c r="W185" s="39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35" t="s">
        <v>21</v>
      </c>
      <c r="B186" s="35" t="s">
        <v>35</v>
      </c>
      <c r="C186" s="35" t="s">
        <v>36</v>
      </c>
      <c r="D186" s="35" t="s">
        <v>41</v>
      </c>
      <c r="E186" s="35" t="s">
        <v>49</v>
      </c>
      <c r="F186" s="35" t="s">
        <v>25</v>
      </c>
      <c r="G186" s="35" t="s">
        <v>25</v>
      </c>
      <c r="H186" s="35" t="s">
        <v>38</v>
      </c>
      <c r="I186" s="54">
        <v>44713</v>
      </c>
      <c r="J186" s="55">
        <f>EFEITO!$J$186*EFEITO!$Y$125</f>
        <v>0</v>
      </c>
      <c r="K186" s="55">
        <f ca="1">EFEITO!$L$186*EFEITO!$Z$125</f>
        <v>1855.3659620549843</v>
      </c>
      <c r="L186" s="55">
        <f>EFEITO!$N$186*EFEITO!$AA$125</f>
        <v>4550.5121634245079</v>
      </c>
      <c r="M186" s="55">
        <f>$J$186-EFEITO!$K$186*EFEITO!$Y$186</f>
        <v>0</v>
      </c>
      <c r="N186" s="55">
        <f ca="1">$K$186-EFEITO!$M$186*EFEITO!$Z$186</f>
        <v>37.107319241099958</v>
      </c>
      <c r="O186" s="55">
        <f>$L$186-EFEITO!$O$186*EFEITO!$AA$186</f>
        <v>91.01024326849074</v>
      </c>
      <c r="P186" s="39"/>
      <c r="Q186" s="39"/>
      <c r="R186" s="39"/>
      <c r="S186" s="39"/>
      <c r="T186" s="39"/>
      <c r="U186" s="39"/>
      <c r="V186" s="39"/>
      <c r="W186" s="39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35" t="s">
        <v>21</v>
      </c>
      <c r="B187" s="35" t="s">
        <v>35</v>
      </c>
      <c r="C187" s="35" t="s">
        <v>36</v>
      </c>
      <c r="D187" s="35" t="s">
        <v>41</v>
      </c>
      <c r="E187" s="35" t="s">
        <v>49</v>
      </c>
      <c r="F187" s="35" t="s">
        <v>25</v>
      </c>
      <c r="G187" s="35" t="s">
        <v>25</v>
      </c>
      <c r="H187" s="35" t="s">
        <v>25</v>
      </c>
      <c r="I187" s="54">
        <v>44378</v>
      </c>
      <c r="J187" s="55">
        <f ca="1">EFEITO!$J$187*EFEITO!$Y$143</f>
        <v>64426.894099698868</v>
      </c>
      <c r="K187" s="55">
        <f>EFEITO!$L$187*EFEITO!$Z$143</f>
        <v>0</v>
      </c>
      <c r="L187" s="55">
        <f>EFEITO!$N$187*EFEITO!$AA$143</f>
        <v>0</v>
      </c>
      <c r="M187" s="55">
        <f ca="1">$J$187-EFEITO!$K$187*EFEITO!$Y$187</f>
        <v>1288.5378819939724</v>
      </c>
      <c r="N187" s="55">
        <f>$K$187-EFEITO!$M$187*EFEITO!$Z$187</f>
        <v>0</v>
      </c>
      <c r="O187" s="55">
        <f>$L$187-EFEITO!$O$187*EFEITO!$AA$187</f>
        <v>0</v>
      </c>
      <c r="P187" s="39"/>
      <c r="Q187" s="39"/>
      <c r="R187" s="39"/>
      <c r="S187" s="39"/>
      <c r="T187" s="39"/>
      <c r="U187" s="39"/>
      <c r="V187" s="39"/>
      <c r="W187" s="39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35" t="s">
        <v>21</v>
      </c>
      <c r="B188" s="35" t="s">
        <v>35</v>
      </c>
      <c r="C188" s="35" t="s">
        <v>36</v>
      </c>
      <c r="D188" s="35" t="s">
        <v>41</v>
      </c>
      <c r="E188" s="35" t="s">
        <v>49</v>
      </c>
      <c r="F188" s="35" t="s">
        <v>25</v>
      </c>
      <c r="G188" s="35" t="s">
        <v>25</v>
      </c>
      <c r="H188" s="35" t="s">
        <v>25</v>
      </c>
      <c r="I188" s="54">
        <v>44409</v>
      </c>
      <c r="J188" s="55">
        <f ca="1">EFEITO!$J$188*EFEITO!$Y$143</f>
        <v>76642.233221001778</v>
      </c>
      <c r="K188" s="55">
        <f>EFEITO!$L$188*EFEITO!$Z$143</f>
        <v>0</v>
      </c>
      <c r="L188" s="55">
        <f>EFEITO!$N$188*EFEITO!$AA$143</f>
        <v>0</v>
      </c>
      <c r="M188" s="55">
        <f ca="1">$J$188-EFEITO!$K$188*EFEITO!$Y$188</f>
        <v>1532.8446644200303</v>
      </c>
      <c r="N188" s="55">
        <f>$K$188-EFEITO!$M$188*EFEITO!$Z$188</f>
        <v>0</v>
      </c>
      <c r="O188" s="55">
        <f>$L$188-EFEITO!$O$188*EFEITO!$AA$188</f>
        <v>0</v>
      </c>
      <c r="P188" s="39"/>
      <c r="Q188" s="39"/>
      <c r="R188" s="39"/>
      <c r="S188" s="39"/>
      <c r="T188" s="39"/>
      <c r="U188" s="39"/>
      <c r="V188" s="39"/>
      <c r="W188" s="39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35" t="s">
        <v>21</v>
      </c>
      <c r="B189" s="35" t="s">
        <v>35</v>
      </c>
      <c r="C189" s="35" t="s">
        <v>36</v>
      </c>
      <c r="D189" s="35" t="s">
        <v>41</v>
      </c>
      <c r="E189" s="35" t="s">
        <v>49</v>
      </c>
      <c r="F189" s="35" t="s">
        <v>25</v>
      </c>
      <c r="G189" s="35" t="s">
        <v>25</v>
      </c>
      <c r="H189" s="35" t="s">
        <v>25</v>
      </c>
      <c r="I189" s="54">
        <v>44440</v>
      </c>
      <c r="J189" s="55">
        <f ca="1">EFEITO!$J$189*EFEITO!$Y$143</f>
        <v>103031.48904423843</v>
      </c>
      <c r="K189" s="55">
        <f>EFEITO!$L$189*EFEITO!$Z$143</f>
        <v>0</v>
      </c>
      <c r="L189" s="55">
        <f>EFEITO!$N$189*EFEITO!$AA$143</f>
        <v>0</v>
      </c>
      <c r="M189" s="55">
        <f ca="1">$J$189-EFEITO!$K$189*EFEITO!$Y$189</f>
        <v>2060.6297808847739</v>
      </c>
      <c r="N189" s="55">
        <f>$K$189-EFEITO!$M$189*EFEITO!$Z$189</f>
        <v>0</v>
      </c>
      <c r="O189" s="55">
        <f>$L$189-EFEITO!$O$189*EFEITO!$AA$189</f>
        <v>0</v>
      </c>
      <c r="P189" s="39"/>
      <c r="Q189" s="39"/>
      <c r="R189" s="39"/>
      <c r="S189" s="39"/>
      <c r="T189" s="39"/>
      <c r="U189" s="39"/>
      <c r="V189" s="39"/>
      <c r="W189" s="39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35" t="s">
        <v>21</v>
      </c>
      <c r="B190" s="35" t="s">
        <v>35</v>
      </c>
      <c r="C190" s="35" t="s">
        <v>36</v>
      </c>
      <c r="D190" s="35" t="s">
        <v>41</v>
      </c>
      <c r="E190" s="35" t="s">
        <v>49</v>
      </c>
      <c r="F190" s="35" t="s">
        <v>25</v>
      </c>
      <c r="G190" s="35" t="s">
        <v>25</v>
      </c>
      <c r="H190" s="35" t="s">
        <v>25</v>
      </c>
      <c r="I190" s="54">
        <v>44470</v>
      </c>
      <c r="J190" s="55">
        <f ca="1">EFEITO!$J$190*EFEITO!$Y$143</f>
        <v>102155.28328448253</v>
      </c>
      <c r="K190" s="55">
        <f>EFEITO!$L$190*EFEITO!$Z$143</f>
        <v>0</v>
      </c>
      <c r="L190" s="55">
        <f>EFEITO!$N$190*EFEITO!$AA$143</f>
        <v>0</v>
      </c>
      <c r="M190" s="55">
        <f ca="1">$J$190-EFEITO!$K$190*EFEITO!$Y$190</f>
        <v>2043.1056656896544</v>
      </c>
      <c r="N190" s="55">
        <f>$K$190-EFEITO!$M$190*EFEITO!$Z$190</f>
        <v>0</v>
      </c>
      <c r="O190" s="55">
        <f>$L$190-EFEITO!$O$190*EFEITO!$AA$190</f>
        <v>0</v>
      </c>
      <c r="P190" s="39"/>
      <c r="Q190" s="39"/>
      <c r="R190" s="39"/>
      <c r="S190" s="39"/>
      <c r="T190" s="39"/>
      <c r="U190" s="39"/>
      <c r="V190" s="39"/>
      <c r="W190" s="39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35" t="s">
        <v>21</v>
      </c>
      <c r="B191" s="35" t="s">
        <v>35</v>
      </c>
      <c r="C191" s="35" t="s">
        <v>36</v>
      </c>
      <c r="D191" s="35" t="s">
        <v>41</v>
      </c>
      <c r="E191" s="35" t="s">
        <v>49</v>
      </c>
      <c r="F191" s="35" t="s">
        <v>25</v>
      </c>
      <c r="G191" s="35" t="s">
        <v>25</v>
      </c>
      <c r="H191" s="35" t="s">
        <v>25</v>
      </c>
      <c r="I191" s="54">
        <v>44501</v>
      </c>
      <c r="J191" s="55">
        <f ca="1">EFEITO!$J$191*EFEITO!$Y$143</f>
        <v>187095.70046552553</v>
      </c>
      <c r="K191" s="55">
        <f>EFEITO!$L$191*EFEITO!$Z$143</f>
        <v>0</v>
      </c>
      <c r="L191" s="55">
        <f>EFEITO!$N$191*EFEITO!$AA$143</f>
        <v>0</v>
      </c>
      <c r="M191" s="55">
        <f ca="1">$J$191-EFEITO!$K$191*EFEITO!$Y$191</f>
        <v>3741.9140093105088</v>
      </c>
      <c r="N191" s="55">
        <f>$K$191-EFEITO!$M$191*EFEITO!$Z$191</f>
        <v>0</v>
      </c>
      <c r="O191" s="55">
        <f>$L$191-EFEITO!$O$191*EFEITO!$AA$191</f>
        <v>0</v>
      </c>
      <c r="P191" s="39"/>
      <c r="Q191" s="39"/>
      <c r="R191" s="39"/>
      <c r="S191" s="39"/>
      <c r="T191" s="39"/>
      <c r="U191" s="39"/>
      <c r="V191" s="39"/>
      <c r="W191" s="39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35" t="s">
        <v>28</v>
      </c>
      <c r="B192" s="35" t="s">
        <v>35</v>
      </c>
      <c r="C192" s="35" t="s">
        <v>36</v>
      </c>
      <c r="D192" s="35" t="s">
        <v>41</v>
      </c>
      <c r="E192" s="35" t="s">
        <v>49</v>
      </c>
      <c r="F192" s="35" t="s">
        <v>25</v>
      </c>
      <c r="G192" s="35" t="s">
        <v>25</v>
      </c>
      <c r="H192" s="35" t="s">
        <v>25</v>
      </c>
      <c r="I192" s="54">
        <v>44501</v>
      </c>
      <c r="J192" s="55">
        <f ca="1">EFEITO!$J$192*EFEITO!$Y$143</f>
        <v>13246.169426898088</v>
      </c>
      <c r="K192" s="55">
        <f>EFEITO!$L$192*EFEITO!$Z$143</f>
        <v>0</v>
      </c>
      <c r="L192" s="55">
        <f>EFEITO!$N$192*EFEITO!$AA$143</f>
        <v>0</v>
      </c>
      <c r="M192" s="55">
        <f ca="1">$J$192-EFEITO!$K$192*EFEITO!$Y$192</f>
        <v>264.92338853796173</v>
      </c>
      <c r="N192" s="55">
        <f>$K$192-EFEITO!$M$192*EFEITO!$Z$192</f>
        <v>0</v>
      </c>
      <c r="O192" s="55">
        <f>$L$192-EFEITO!$O$192*EFEITO!$AA$192</f>
        <v>0</v>
      </c>
      <c r="P192" s="39"/>
      <c r="Q192" s="39"/>
      <c r="R192" s="39"/>
      <c r="S192" s="39"/>
      <c r="T192" s="39"/>
      <c r="U192" s="39"/>
      <c r="V192" s="39"/>
      <c r="W192" s="39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35" t="s">
        <v>21</v>
      </c>
      <c r="B193" s="35" t="s">
        <v>35</v>
      </c>
      <c r="C193" s="35" t="s">
        <v>36</v>
      </c>
      <c r="D193" s="35" t="s">
        <v>41</v>
      </c>
      <c r="E193" s="35" t="s">
        <v>49</v>
      </c>
      <c r="F193" s="35" t="s">
        <v>25</v>
      </c>
      <c r="G193" s="35" t="s">
        <v>25</v>
      </c>
      <c r="H193" s="35" t="s">
        <v>25</v>
      </c>
      <c r="I193" s="54">
        <v>44531</v>
      </c>
      <c r="J193" s="55">
        <f ca="1">EFEITO!$J$193*EFEITO!$Y$143</f>
        <v>225236.42177254724</v>
      </c>
      <c r="K193" s="55">
        <f>EFEITO!$L$193*EFEITO!$Z$143</f>
        <v>0</v>
      </c>
      <c r="L193" s="55">
        <f>EFEITO!$N$193*EFEITO!$AA$143</f>
        <v>0</v>
      </c>
      <c r="M193" s="55">
        <f ca="1">$J$193-EFEITO!$K$193*EFEITO!$Y$193</f>
        <v>4504.728435450932</v>
      </c>
      <c r="N193" s="55">
        <f>$K$193-EFEITO!$M$193*EFEITO!$Z$193</f>
        <v>0</v>
      </c>
      <c r="O193" s="55">
        <f>$L$193-EFEITO!$O$193*EFEITO!$AA$193</f>
        <v>0</v>
      </c>
      <c r="P193" s="39"/>
      <c r="Q193" s="39"/>
      <c r="R193" s="39"/>
      <c r="S193" s="39"/>
      <c r="T193" s="39"/>
      <c r="U193" s="39"/>
      <c r="V193" s="39"/>
      <c r="W193" s="39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35" t="s">
        <v>28</v>
      </c>
      <c r="B194" s="35" t="s">
        <v>35</v>
      </c>
      <c r="C194" s="35" t="s">
        <v>36</v>
      </c>
      <c r="D194" s="35" t="s">
        <v>41</v>
      </c>
      <c r="E194" s="35" t="s">
        <v>49</v>
      </c>
      <c r="F194" s="35" t="s">
        <v>25</v>
      </c>
      <c r="G194" s="35" t="s">
        <v>25</v>
      </c>
      <c r="H194" s="35" t="s">
        <v>25</v>
      </c>
      <c r="I194" s="54">
        <v>44531</v>
      </c>
      <c r="J194" s="55">
        <f ca="1">EFEITO!$J$194*EFEITO!$Y$143</f>
        <v>6700.3969863686825</v>
      </c>
      <c r="K194" s="55">
        <f>EFEITO!$L$194*EFEITO!$Z$143</f>
        <v>0</v>
      </c>
      <c r="L194" s="55">
        <f>EFEITO!$N$194*EFEITO!$AA$143</f>
        <v>0</v>
      </c>
      <c r="M194" s="55">
        <f ca="1">$J$194-EFEITO!$K$194*EFEITO!$Y$194</f>
        <v>134.00793972737392</v>
      </c>
      <c r="N194" s="55">
        <f>$K$194-EFEITO!$M$194*EFEITO!$Z$194</f>
        <v>0</v>
      </c>
      <c r="O194" s="55">
        <f>$L$194-EFEITO!$O$194*EFEITO!$AA$194</f>
        <v>0</v>
      </c>
      <c r="P194" s="39"/>
      <c r="Q194" s="39"/>
      <c r="R194" s="39"/>
      <c r="S194" s="39"/>
      <c r="T194" s="39"/>
      <c r="U194" s="39"/>
      <c r="V194" s="39"/>
      <c r="W194" s="39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35" t="s">
        <v>21</v>
      </c>
      <c r="B195" s="35" t="s">
        <v>35</v>
      </c>
      <c r="C195" s="35" t="s">
        <v>36</v>
      </c>
      <c r="D195" s="35" t="s">
        <v>41</v>
      </c>
      <c r="E195" s="35" t="s">
        <v>49</v>
      </c>
      <c r="F195" s="35" t="s">
        <v>25</v>
      </c>
      <c r="G195" s="35" t="s">
        <v>25</v>
      </c>
      <c r="H195" s="35" t="s">
        <v>25</v>
      </c>
      <c r="I195" s="54">
        <v>44562</v>
      </c>
      <c r="J195" s="55">
        <f ca="1">EFEITO!$J$195*EFEITO!$Y$143</f>
        <v>242296.66333014751</v>
      </c>
      <c r="K195" s="55">
        <f>EFEITO!$L$195*EFEITO!$Z$143</f>
        <v>0</v>
      </c>
      <c r="L195" s="55">
        <f>EFEITO!$N$195*EFEITO!$AA$143</f>
        <v>0</v>
      </c>
      <c r="M195" s="55">
        <f ca="1">$J$195-EFEITO!$K$195*EFEITO!$Y$195</f>
        <v>4845.9332666029513</v>
      </c>
      <c r="N195" s="55">
        <f>$K$195-EFEITO!$M$195*EFEITO!$Z$195</f>
        <v>0</v>
      </c>
      <c r="O195" s="55">
        <f>$L$195-EFEITO!$O$195*EFEITO!$AA$195</f>
        <v>0</v>
      </c>
      <c r="P195" s="39"/>
      <c r="Q195" s="39"/>
      <c r="R195" s="39"/>
      <c r="S195" s="39"/>
      <c r="T195" s="39"/>
      <c r="U195" s="39"/>
      <c r="V195" s="39"/>
      <c r="W195" s="39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35" t="s">
        <v>28</v>
      </c>
      <c r="B196" s="35" t="s">
        <v>35</v>
      </c>
      <c r="C196" s="35" t="s">
        <v>36</v>
      </c>
      <c r="D196" s="35" t="s">
        <v>41</v>
      </c>
      <c r="E196" s="35" t="s">
        <v>49</v>
      </c>
      <c r="F196" s="35" t="s">
        <v>25</v>
      </c>
      <c r="G196" s="35" t="s">
        <v>25</v>
      </c>
      <c r="H196" s="35" t="s">
        <v>25</v>
      </c>
      <c r="I196" s="54">
        <v>44562</v>
      </c>
      <c r="J196" s="55">
        <f ca="1">EFEITO!$J$196*EFEITO!$Y$143</f>
        <v>6700.3969863686825</v>
      </c>
      <c r="K196" s="55">
        <f>EFEITO!$L$196*EFEITO!$Z$143</f>
        <v>0</v>
      </c>
      <c r="L196" s="55">
        <f>EFEITO!$N$196*EFEITO!$AA$143</f>
        <v>0</v>
      </c>
      <c r="M196" s="55">
        <f ca="1">$J$196-EFEITO!$K$196*EFEITO!$Y$196</f>
        <v>134.00793972737392</v>
      </c>
      <c r="N196" s="55">
        <f>$K$196-EFEITO!$M$196*EFEITO!$Z$196</f>
        <v>0</v>
      </c>
      <c r="O196" s="55">
        <f>$L$196-EFEITO!$O$196*EFEITO!$AA$196</f>
        <v>0</v>
      </c>
      <c r="P196" s="39"/>
      <c r="Q196" s="39"/>
      <c r="R196" s="39"/>
      <c r="S196" s="39"/>
      <c r="T196" s="39"/>
      <c r="U196" s="39"/>
      <c r="V196" s="39"/>
      <c r="W196" s="39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35" t="s">
        <v>21</v>
      </c>
      <c r="B197" s="35" t="s">
        <v>35</v>
      </c>
      <c r="C197" s="35" t="s">
        <v>36</v>
      </c>
      <c r="D197" s="35" t="s">
        <v>41</v>
      </c>
      <c r="E197" s="35" t="s">
        <v>49</v>
      </c>
      <c r="F197" s="35" t="s">
        <v>25</v>
      </c>
      <c r="G197" s="35" t="s">
        <v>25</v>
      </c>
      <c r="H197" s="35" t="s">
        <v>25</v>
      </c>
      <c r="I197" s="54">
        <v>44593</v>
      </c>
      <c r="J197" s="55">
        <f ca="1">EFEITO!$J$197*EFEITO!$Y$143</f>
        <v>276777.93705230637</v>
      </c>
      <c r="K197" s="55">
        <f>EFEITO!$L$197*EFEITO!$Z$143</f>
        <v>0</v>
      </c>
      <c r="L197" s="55">
        <f>EFEITO!$N$197*EFEITO!$AA$143</f>
        <v>0</v>
      </c>
      <c r="M197" s="55">
        <f ca="1">$J$197-EFEITO!$K$197*EFEITO!$Y$197</f>
        <v>5535.558741046174</v>
      </c>
      <c r="N197" s="55">
        <f>$K$197-EFEITO!$M$197*EFEITO!$Z$197</f>
        <v>0</v>
      </c>
      <c r="O197" s="55">
        <f>$L$197-EFEITO!$O$197*EFEITO!$AA$197</f>
        <v>0</v>
      </c>
      <c r="P197" s="39"/>
      <c r="Q197" s="39"/>
      <c r="R197" s="39"/>
      <c r="S197" s="39"/>
      <c r="T197" s="39"/>
      <c r="U197" s="39"/>
      <c r="V197" s="39"/>
      <c r="W197" s="39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35" t="s">
        <v>28</v>
      </c>
      <c r="B198" s="35" t="s">
        <v>35</v>
      </c>
      <c r="C198" s="35" t="s">
        <v>36</v>
      </c>
      <c r="D198" s="35" t="s">
        <v>41</v>
      </c>
      <c r="E198" s="35" t="s">
        <v>49</v>
      </c>
      <c r="F198" s="35" t="s">
        <v>25</v>
      </c>
      <c r="G198" s="35" t="s">
        <v>25</v>
      </c>
      <c r="H198" s="35" t="s">
        <v>25</v>
      </c>
      <c r="I198" s="54">
        <v>44593</v>
      </c>
      <c r="J198" s="55">
        <f ca="1">EFEITO!$J$198*EFEITO!$Y$143</f>
        <v>10411.386086511338</v>
      </c>
      <c r="K198" s="55">
        <f>EFEITO!$L$198*EFEITO!$Z$143</f>
        <v>0</v>
      </c>
      <c r="L198" s="55">
        <f>EFEITO!$N$198*EFEITO!$AA$143</f>
        <v>0</v>
      </c>
      <c r="M198" s="55">
        <f ca="1">$J$198-EFEITO!$K$198*EFEITO!$Y$198</f>
        <v>208.22772173022713</v>
      </c>
      <c r="N198" s="55">
        <f>$K$198-EFEITO!$M$198*EFEITO!$Z$198</f>
        <v>0</v>
      </c>
      <c r="O198" s="55">
        <f>$L$198-EFEITO!$O$198*EFEITO!$AA$198</f>
        <v>0</v>
      </c>
      <c r="P198" s="39"/>
      <c r="Q198" s="39"/>
      <c r="R198" s="39"/>
      <c r="S198" s="39"/>
      <c r="T198" s="39"/>
      <c r="U198" s="39"/>
      <c r="V198" s="39"/>
      <c r="W198" s="39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35" t="s">
        <v>21</v>
      </c>
      <c r="B199" s="35" t="s">
        <v>35</v>
      </c>
      <c r="C199" s="35" t="s">
        <v>36</v>
      </c>
      <c r="D199" s="35" t="s">
        <v>41</v>
      </c>
      <c r="E199" s="35" t="s">
        <v>49</v>
      </c>
      <c r="F199" s="35" t="s">
        <v>25</v>
      </c>
      <c r="G199" s="35" t="s">
        <v>25</v>
      </c>
      <c r="H199" s="35" t="s">
        <v>25</v>
      </c>
      <c r="I199" s="54">
        <v>44621</v>
      </c>
      <c r="J199" s="55">
        <f ca="1">EFEITO!$J$199*EFEITO!$Y$143</f>
        <v>205444.47990511975</v>
      </c>
      <c r="K199" s="55">
        <f>EFEITO!$L$199*EFEITO!$Z$143</f>
        <v>0</v>
      </c>
      <c r="L199" s="55">
        <f>EFEITO!$N$199*EFEITO!$AA$143</f>
        <v>0</v>
      </c>
      <c r="M199" s="55">
        <f ca="1">$J$199-EFEITO!$K$199*EFEITO!$Y$199</f>
        <v>4108.8895981023961</v>
      </c>
      <c r="N199" s="55">
        <f>$K$199-EFEITO!$M$199*EFEITO!$Z$199</f>
        <v>0</v>
      </c>
      <c r="O199" s="55">
        <f>$L$199-EFEITO!$O$199*EFEITO!$AA$199</f>
        <v>0</v>
      </c>
      <c r="P199" s="39"/>
      <c r="Q199" s="39"/>
      <c r="R199" s="39"/>
      <c r="S199" s="39"/>
      <c r="T199" s="39"/>
      <c r="U199" s="39"/>
      <c r="V199" s="39"/>
      <c r="W199" s="39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35" t="s">
        <v>27</v>
      </c>
      <c r="B200" s="35" t="s">
        <v>35</v>
      </c>
      <c r="C200" s="35" t="s">
        <v>36</v>
      </c>
      <c r="D200" s="35" t="s">
        <v>41</v>
      </c>
      <c r="E200" s="35" t="s">
        <v>49</v>
      </c>
      <c r="F200" s="35" t="s">
        <v>25</v>
      </c>
      <c r="G200" s="35" t="s">
        <v>25</v>
      </c>
      <c r="H200" s="35" t="s">
        <v>25</v>
      </c>
      <c r="I200" s="54">
        <v>44621</v>
      </c>
      <c r="J200" s="55">
        <f ca="1">EFEITO!$J$200*EFEITO!$Y$143</f>
        <v>-17936.447317356164</v>
      </c>
      <c r="K200" s="55">
        <f>EFEITO!$L$200*EFEITO!$Z$143</f>
        <v>0</v>
      </c>
      <c r="L200" s="55">
        <f>EFEITO!$N$200*EFEITO!$AA$143</f>
        <v>0</v>
      </c>
      <c r="M200" s="55">
        <f ca="1">$J$200-EFEITO!$K$200*EFEITO!$Y$200</f>
        <v>-358.72894634712065</v>
      </c>
      <c r="N200" s="55">
        <f>$K$200-EFEITO!$M$200*EFEITO!$Z$200</f>
        <v>0</v>
      </c>
      <c r="O200" s="55">
        <f>$L$200-EFEITO!$O$200*EFEITO!$AA$200</f>
        <v>0</v>
      </c>
      <c r="P200" s="39"/>
      <c r="Q200" s="39"/>
      <c r="R200" s="39"/>
      <c r="S200" s="39"/>
      <c r="T200" s="39"/>
      <c r="U200" s="39"/>
      <c r="V200" s="39"/>
      <c r="W200" s="39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35" t="s">
        <v>28</v>
      </c>
      <c r="B201" s="35" t="s">
        <v>35</v>
      </c>
      <c r="C201" s="35" t="s">
        <v>36</v>
      </c>
      <c r="D201" s="35" t="s">
        <v>41</v>
      </c>
      <c r="E201" s="35" t="s">
        <v>49</v>
      </c>
      <c r="F201" s="35" t="s">
        <v>25</v>
      </c>
      <c r="G201" s="35" t="s">
        <v>25</v>
      </c>
      <c r="H201" s="35" t="s">
        <v>25</v>
      </c>
      <c r="I201" s="54">
        <v>44621</v>
      </c>
      <c r="J201" s="55">
        <f ca="1">EFEITO!$J$201*EFEITO!$Y$143</f>
        <v>7628.1442614043463</v>
      </c>
      <c r="K201" s="55">
        <f>EFEITO!$L$201*EFEITO!$Z$143</f>
        <v>0</v>
      </c>
      <c r="L201" s="55">
        <f>EFEITO!$N$201*EFEITO!$AA$143</f>
        <v>0</v>
      </c>
      <c r="M201" s="55">
        <f ca="1">$J$201-EFEITO!$K$201*EFEITO!$Y$201</f>
        <v>152.562885228087</v>
      </c>
      <c r="N201" s="55">
        <f>$K$201-EFEITO!$M$201*EFEITO!$Z$201</f>
        <v>0</v>
      </c>
      <c r="O201" s="55">
        <f>$L$201-EFEITO!$O$201*EFEITO!$AA$201</f>
        <v>0</v>
      </c>
      <c r="P201" s="39"/>
      <c r="Q201" s="39"/>
      <c r="R201" s="39"/>
      <c r="S201" s="39"/>
      <c r="T201" s="39"/>
      <c r="U201" s="39"/>
      <c r="V201" s="39"/>
      <c r="W201" s="39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35" t="s">
        <v>21</v>
      </c>
      <c r="B202" s="35" t="s">
        <v>35</v>
      </c>
      <c r="C202" s="35" t="s">
        <v>36</v>
      </c>
      <c r="D202" s="35" t="s">
        <v>41</v>
      </c>
      <c r="E202" s="35" t="s">
        <v>49</v>
      </c>
      <c r="F202" s="35" t="s">
        <v>25</v>
      </c>
      <c r="G202" s="35" t="s">
        <v>25</v>
      </c>
      <c r="H202" s="35" t="s">
        <v>25</v>
      </c>
      <c r="I202" s="54">
        <v>44652</v>
      </c>
      <c r="J202" s="55">
        <f ca="1">EFEITO!$J$202*EFEITO!$Y$143</f>
        <v>258377.61609743236</v>
      </c>
      <c r="K202" s="55">
        <f>EFEITO!$L$202*EFEITO!$Z$143</f>
        <v>0</v>
      </c>
      <c r="L202" s="55">
        <f>EFEITO!$N$202*EFEITO!$AA$143</f>
        <v>0</v>
      </c>
      <c r="M202" s="55">
        <f ca="1">$J$202-EFEITO!$K$202*EFEITO!$Y$202</f>
        <v>5167.552321948664</v>
      </c>
      <c r="N202" s="55">
        <f>$K$202-EFEITO!$M$202*EFEITO!$Z$202</f>
        <v>0</v>
      </c>
      <c r="O202" s="55">
        <f>$L$202-EFEITO!$O$202*EFEITO!$AA$202</f>
        <v>0</v>
      </c>
      <c r="P202" s="39"/>
      <c r="Q202" s="39"/>
      <c r="R202" s="39"/>
      <c r="S202" s="39"/>
      <c r="T202" s="39"/>
      <c r="U202" s="39"/>
      <c r="V202" s="39"/>
      <c r="W202" s="39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35" t="s">
        <v>28</v>
      </c>
      <c r="B203" s="35" t="s">
        <v>35</v>
      </c>
      <c r="C203" s="35" t="s">
        <v>36</v>
      </c>
      <c r="D203" s="35" t="s">
        <v>41</v>
      </c>
      <c r="E203" s="35" t="s">
        <v>49</v>
      </c>
      <c r="F203" s="35" t="s">
        <v>25</v>
      </c>
      <c r="G203" s="35" t="s">
        <v>25</v>
      </c>
      <c r="H203" s="35" t="s">
        <v>25</v>
      </c>
      <c r="I203" s="54">
        <v>44652</v>
      </c>
      <c r="J203" s="55">
        <f ca="1">EFEITO!$J$203*EFEITO!$Y$143</f>
        <v>927.74727503566373</v>
      </c>
      <c r="K203" s="55">
        <f>EFEITO!$L$203*EFEITO!$Z$143</f>
        <v>0</v>
      </c>
      <c r="L203" s="55">
        <f>EFEITO!$N$203*EFEITO!$AA$143</f>
        <v>0</v>
      </c>
      <c r="M203" s="55">
        <f ca="1">$J$203-EFEITO!$K$203*EFEITO!$Y$203</f>
        <v>18.554945500713302</v>
      </c>
      <c r="N203" s="55">
        <f>$K$203-EFEITO!$M$203*EFEITO!$Z$203</f>
        <v>0</v>
      </c>
      <c r="O203" s="55">
        <f>$L$203-EFEITO!$O$203*EFEITO!$AA$203</f>
        <v>0</v>
      </c>
      <c r="P203" s="39"/>
      <c r="Q203" s="39"/>
      <c r="R203" s="39"/>
      <c r="S203" s="39"/>
      <c r="T203" s="39"/>
      <c r="U203" s="39"/>
      <c r="V203" s="39"/>
      <c r="W203" s="39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35" t="s">
        <v>21</v>
      </c>
      <c r="B204" s="35" t="s">
        <v>35</v>
      </c>
      <c r="C204" s="35" t="s">
        <v>36</v>
      </c>
      <c r="D204" s="35" t="s">
        <v>41</v>
      </c>
      <c r="E204" s="35" t="s">
        <v>49</v>
      </c>
      <c r="F204" s="35" t="s">
        <v>25</v>
      </c>
      <c r="G204" s="35" t="s">
        <v>25</v>
      </c>
      <c r="H204" s="35" t="s">
        <v>25</v>
      </c>
      <c r="I204" s="54">
        <v>44682</v>
      </c>
      <c r="J204" s="55">
        <f ca="1">EFEITO!$J$204*EFEITO!$Y$143</f>
        <v>32831.945233206541</v>
      </c>
      <c r="K204" s="55">
        <f>EFEITO!$L$204*EFEITO!$Z$143</f>
        <v>0</v>
      </c>
      <c r="L204" s="55">
        <f>EFEITO!$N$204*EFEITO!$AA$143</f>
        <v>0</v>
      </c>
      <c r="M204" s="55">
        <f ca="1">$J$204-EFEITO!$K$204*EFEITO!$Y$204</f>
        <v>656.63890466412704</v>
      </c>
      <c r="N204" s="55">
        <f>$K$204-EFEITO!$M$204*EFEITO!$Z$204</f>
        <v>0</v>
      </c>
      <c r="O204" s="55">
        <f>$L$204-EFEITO!$O$204*EFEITO!$AA$204</f>
        <v>0</v>
      </c>
      <c r="P204" s="39"/>
      <c r="Q204" s="39"/>
      <c r="R204" s="39"/>
      <c r="S204" s="39"/>
      <c r="T204" s="39"/>
      <c r="U204" s="39"/>
      <c r="V204" s="39"/>
      <c r="W204" s="39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35" t="s">
        <v>27</v>
      </c>
      <c r="B205" s="35" t="s">
        <v>35</v>
      </c>
      <c r="C205" s="35" t="s">
        <v>36</v>
      </c>
      <c r="D205" s="35" t="s">
        <v>41</v>
      </c>
      <c r="E205" s="35" t="s">
        <v>49</v>
      </c>
      <c r="F205" s="35" t="s">
        <v>25</v>
      </c>
      <c r="G205" s="35" t="s">
        <v>25</v>
      </c>
      <c r="H205" s="35" t="s">
        <v>25</v>
      </c>
      <c r="I205" s="54">
        <v>44682</v>
      </c>
      <c r="J205" s="55">
        <f ca="1">EFEITO!$J$205*EFEITO!$Y$143</f>
        <v>-194878.46927276914</v>
      </c>
      <c r="K205" s="55">
        <f>EFEITO!$L$205*EFEITO!$Z$143</f>
        <v>0</v>
      </c>
      <c r="L205" s="55">
        <f>EFEITO!$N$205*EFEITO!$AA$143</f>
        <v>0</v>
      </c>
      <c r="M205" s="55">
        <f ca="1">$J$205-EFEITO!$K$205*EFEITO!$Y$205</f>
        <v>-3897.5693854553683</v>
      </c>
      <c r="N205" s="55">
        <f>$K$205-EFEITO!$M$205*EFEITO!$Z$205</f>
        <v>0</v>
      </c>
      <c r="O205" s="55">
        <f>$L$205-EFEITO!$O$205*EFEITO!$AA$205</f>
        <v>0</v>
      </c>
      <c r="P205" s="39"/>
      <c r="Q205" s="39"/>
      <c r="R205" s="39"/>
      <c r="S205" s="39"/>
      <c r="T205" s="39"/>
      <c r="U205" s="39"/>
      <c r="V205" s="39"/>
      <c r="W205" s="39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35" t="s">
        <v>28</v>
      </c>
      <c r="B206" s="35" t="s">
        <v>35</v>
      </c>
      <c r="C206" s="35" t="s">
        <v>36</v>
      </c>
      <c r="D206" s="35" t="s">
        <v>41</v>
      </c>
      <c r="E206" s="35" t="s">
        <v>49</v>
      </c>
      <c r="F206" s="35" t="s">
        <v>25</v>
      </c>
      <c r="G206" s="35" t="s">
        <v>25</v>
      </c>
      <c r="H206" s="35" t="s">
        <v>25</v>
      </c>
      <c r="I206" s="54">
        <v>44682</v>
      </c>
      <c r="J206" s="55">
        <f ca="1">EFEITO!$J$206*EFEITO!$Y$143</f>
        <v>2267.8266723094002</v>
      </c>
      <c r="K206" s="55">
        <f>EFEITO!$L$206*EFEITO!$Z$143</f>
        <v>0</v>
      </c>
      <c r="L206" s="55">
        <f>EFEITO!$N$206*EFEITO!$AA$143</f>
        <v>0</v>
      </c>
      <c r="M206" s="55">
        <f ca="1">$J$206-EFEITO!$K$206*EFEITO!$Y$206</f>
        <v>45.356533446187768</v>
      </c>
      <c r="N206" s="55">
        <f>$K$206-EFEITO!$M$206*EFEITO!$Z$206</f>
        <v>0</v>
      </c>
      <c r="O206" s="55">
        <f>$L$206-EFEITO!$O$206*EFEITO!$AA$206</f>
        <v>0</v>
      </c>
      <c r="P206" s="39"/>
      <c r="Q206" s="39"/>
      <c r="R206" s="39"/>
      <c r="S206" s="39"/>
      <c r="T206" s="39"/>
      <c r="U206" s="39"/>
      <c r="V206" s="39"/>
      <c r="W206" s="39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35" t="s">
        <v>21</v>
      </c>
      <c r="B207" s="35" t="s">
        <v>35</v>
      </c>
      <c r="C207" s="35" t="s">
        <v>36</v>
      </c>
      <c r="D207" s="35" t="s">
        <v>41</v>
      </c>
      <c r="E207" s="35" t="s">
        <v>49</v>
      </c>
      <c r="F207" s="35" t="s">
        <v>25</v>
      </c>
      <c r="G207" s="35" t="s">
        <v>25</v>
      </c>
      <c r="H207" s="35" t="s">
        <v>25</v>
      </c>
      <c r="I207" s="54">
        <v>44713</v>
      </c>
      <c r="J207" s="55">
        <f ca="1">EFEITO!$J$207*EFEITO!$Y$143</f>
        <v>41387.836769646558</v>
      </c>
      <c r="K207" s="55">
        <f>EFEITO!$L$207*EFEITO!$Z$143</f>
        <v>0</v>
      </c>
      <c r="L207" s="55">
        <f>EFEITO!$N$207*EFEITO!$AA$143</f>
        <v>0</v>
      </c>
      <c r="M207" s="55">
        <f ca="1">$J$207-EFEITO!$K$207*EFEITO!$Y$207</f>
        <v>827.75673539293348</v>
      </c>
      <c r="N207" s="55">
        <f>$K$207-EFEITO!$M$207*EFEITO!$Z$207</f>
        <v>0</v>
      </c>
      <c r="O207" s="55">
        <f>$L$207-EFEITO!$O$207*EFEITO!$AA$207</f>
        <v>0</v>
      </c>
      <c r="P207" s="39"/>
      <c r="Q207" s="39"/>
      <c r="R207" s="39"/>
      <c r="S207" s="39"/>
      <c r="T207" s="39"/>
      <c r="U207" s="39"/>
      <c r="V207" s="39"/>
      <c r="W207" s="39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35" t="s">
        <v>28</v>
      </c>
      <c r="B208" s="35" t="s">
        <v>35</v>
      </c>
      <c r="C208" s="35" t="s">
        <v>36</v>
      </c>
      <c r="D208" s="35" t="s">
        <v>41</v>
      </c>
      <c r="E208" s="35" t="s">
        <v>49</v>
      </c>
      <c r="F208" s="35" t="s">
        <v>25</v>
      </c>
      <c r="G208" s="35" t="s">
        <v>25</v>
      </c>
      <c r="H208" s="35" t="s">
        <v>25</v>
      </c>
      <c r="I208" s="54">
        <v>44713</v>
      </c>
      <c r="J208" s="55">
        <f ca="1">EFEITO!$J$208*EFEITO!$Y$143</f>
        <v>927.74727503566373</v>
      </c>
      <c r="K208" s="55">
        <f>EFEITO!$L$208*EFEITO!$Z$143</f>
        <v>0</v>
      </c>
      <c r="L208" s="55">
        <f>EFEITO!$N$208*EFEITO!$AA$143</f>
        <v>0</v>
      </c>
      <c r="M208" s="55">
        <f ca="1">$J$208-EFEITO!$K$208*EFEITO!$Y$208</f>
        <v>18.554945500713302</v>
      </c>
      <c r="N208" s="55">
        <f>$K$208-EFEITO!$M$208*EFEITO!$Z$208</f>
        <v>0</v>
      </c>
      <c r="O208" s="55">
        <f>$L$208-EFEITO!$O$208*EFEITO!$AA$208</f>
        <v>0</v>
      </c>
      <c r="P208" s="39"/>
      <c r="Q208" s="39"/>
      <c r="R208" s="39"/>
      <c r="S208" s="39"/>
      <c r="T208" s="39"/>
      <c r="U208" s="39"/>
      <c r="V208" s="39"/>
      <c r="W208" s="39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35" t="s">
        <v>21</v>
      </c>
      <c r="B209" s="35" t="s">
        <v>35</v>
      </c>
      <c r="C209" s="35" t="s">
        <v>36</v>
      </c>
      <c r="D209" s="35" t="s">
        <v>41</v>
      </c>
      <c r="E209" s="35" t="s">
        <v>49</v>
      </c>
      <c r="F209" s="35" t="s">
        <v>25</v>
      </c>
      <c r="G209" s="35" t="s">
        <v>25</v>
      </c>
      <c r="H209" s="35" t="s">
        <v>37</v>
      </c>
      <c r="I209" s="54">
        <v>44378</v>
      </c>
      <c r="J209" s="55">
        <f>EFEITO!$J$209*EFEITO!$Y$157</f>
        <v>0</v>
      </c>
      <c r="K209" s="55">
        <f ca="1">EFEITO!$L$209*EFEITO!$Z$157</f>
        <v>6868.3130627413693</v>
      </c>
      <c r="L209" s="55">
        <f>EFEITO!$N$209*EFEITO!$AA$157</f>
        <v>1046.9982035759426</v>
      </c>
      <c r="M209" s="55">
        <f>$J$209-EFEITO!$K$209*EFEITO!$Y$209</f>
        <v>0</v>
      </c>
      <c r="N209" s="55">
        <f ca="1">$K$209-EFEITO!$M$209*EFEITO!$Z$209</f>
        <v>137.3662612548278</v>
      </c>
      <c r="O209" s="55">
        <f>$L$209-EFEITO!$O$209*EFEITO!$AA$209</f>
        <v>20.939964071518716</v>
      </c>
      <c r="P209" s="39"/>
      <c r="Q209" s="39"/>
      <c r="R209" s="39"/>
      <c r="S209" s="39"/>
      <c r="T209" s="39"/>
      <c r="U209" s="39"/>
      <c r="V209" s="39"/>
      <c r="W209" s="39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35" t="s">
        <v>21</v>
      </c>
      <c r="B210" s="35" t="s">
        <v>35</v>
      </c>
      <c r="C210" s="35" t="s">
        <v>36</v>
      </c>
      <c r="D210" s="35" t="s">
        <v>41</v>
      </c>
      <c r="E210" s="35" t="s">
        <v>49</v>
      </c>
      <c r="F210" s="35" t="s">
        <v>25</v>
      </c>
      <c r="G210" s="35" t="s">
        <v>25</v>
      </c>
      <c r="H210" s="35" t="s">
        <v>37</v>
      </c>
      <c r="I210" s="54">
        <v>44409</v>
      </c>
      <c r="J210" s="55">
        <f>EFEITO!$J$210*EFEITO!$Y$157</f>
        <v>0</v>
      </c>
      <c r="K210" s="55">
        <f ca="1">EFEITO!$L$210*EFEITO!$Z$157</f>
        <v>12297.189003815816</v>
      </c>
      <c r="L210" s="55">
        <f>EFEITO!$N$210*EFEITO!$AA$157</f>
        <v>1874.5701715131354</v>
      </c>
      <c r="M210" s="55">
        <f>$J$210-EFEITO!$K$210*EFEITO!$Y$210</f>
        <v>0</v>
      </c>
      <c r="N210" s="55">
        <f ca="1">$K$210-EFEITO!$M$210*EFEITO!$Z$210</f>
        <v>245.94378007631713</v>
      </c>
      <c r="O210" s="55">
        <f>$L$210-EFEITO!$O$210*EFEITO!$AA$210</f>
        <v>37.491403430262835</v>
      </c>
      <c r="P210" s="39"/>
      <c r="Q210" s="39"/>
      <c r="R210" s="39"/>
      <c r="S210" s="39"/>
      <c r="T210" s="39"/>
      <c r="U210" s="39"/>
      <c r="V210" s="39"/>
      <c r="W210" s="39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35" t="s">
        <v>21</v>
      </c>
      <c r="B211" s="35" t="s">
        <v>35</v>
      </c>
      <c r="C211" s="35" t="s">
        <v>36</v>
      </c>
      <c r="D211" s="35" t="s">
        <v>41</v>
      </c>
      <c r="E211" s="35" t="s">
        <v>49</v>
      </c>
      <c r="F211" s="35" t="s">
        <v>25</v>
      </c>
      <c r="G211" s="35" t="s">
        <v>25</v>
      </c>
      <c r="H211" s="35" t="s">
        <v>37</v>
      </c>
      <c r="I211" s="54">
        <v>44440</v>
      </c>
      <c r="J211" s="55">
        <f>EFEITO!$J$211*EFEITO!$Y$157</f>
        <v>0</v>
      </c>
      <c r="K211" s="55">
        <f ca="1">EFEITO!$L$211*EFEITO!$Z$157</f>
        <v>8628.3596007152773</v>
      </c>
      <c r="L211" s="55">
        <f>EFEITO!$N$211*EFEITO!$AA$157</f>
        <v>1315.2977913546674</v>
      </c>
      <c r="M211" s="55">
        <f>$J$211-EFEITO!$K$211*EFEITO!$Y$211</f>
        <v>0</v>
      </c>
      <c r="N211" s="55">
        <f ca="1">$K$211-EFEITO!$M$211*EFEITO!$Z$211</f>
        <v>172.56719201430678</v>
      </c>
      <c r="O211" s="55">
        <f>$L$211-EFEITO!$O$211*EFEITO!$AA$211</f>
        <v>26.305955827093385</v>
      </c>
      <c r="P211" s="39"/>
      <c r="Q211" s="39"/>
      <c r="R211" s="39"/>
      <c r="S211" s="39"/>
      <c r="T211" s="39"/>
      <c r="U211" s="39"/>
      <c r="V211" s="39"/>
      <c r="W211" s="39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35" t="s">
        <v>21</v>
      </c>
      <c r="B212" s="35" t="s">
        <v>35</v>
      </c>
      <c r="C212" s="35" t="s">
        <v>36</v>
      </c>
      <c r="D212" s="35" t="s">
        <v>41</v>
      </c>
      <c r="E212" s="35" t="s">
        <v>49</v>
      </c>
      <c r="F212" s="35" t="s">
        <v>25</v>
      </c>
      <c r="G212" s="35" t="s">
        <v>25</v>
      </c>
      <c r="H212" s="35" t="s">
        <v>37</v>
      </c>
      <c r="I212" s="54">
        <v>44470</v>
      </c>
      <c r="J212" s="55">
        <f>EFEITO!$J$212*EFEITO!$Y$157</f>
        <v>0</v>
      </c>
      <c r="K212" s="55">
        <f ca="1">EFEITO!$L$212*EFEITO!$Z$157</f>
        <v>8294.5291775502737</v>
      </c>
      <c r="L212" s="55">
        <f>EFEITO!$N$212*EFEITO!$AA$157</f>
        <v>1264.4090432501582</v>
      </c>
      <c r="M212" s="55">
        <f>$J$212-EFEITO!$K$212*EFEITO!$Y$212</f>
        <v>0</v>
      </c>
      <c r="N212" s="55">
        <f ca="1">$K$212-EFEITO!$M$212*EFEITO!$Z$212</f>
        <v>165.89058355100678</v>
      </c>
      <c r="O212" s="55">
        <f>$L$212-EFEITO!$O$212*EFEITO!$AA$212</f>
        <v>25.288180865003369</v>
      </c>
      <c r="P212" s="39"/>
      <c r="Q212" s="39"/>
      <c r="R212" s="39"/>
      <c r="S212" s="39"/>
      <c r="T212" s="39"/>
      <c r="U212" s="39"/>
      <c r="V212" s="39"/>
      <c r="W212" s="39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35" t="s">
        <v>21</v>
      </c>
      <c r="B213" s="35" t="s">
        <v>35</v>
      </c>
      <c r="C213" s="35" t="s">
        <v>36</v>
      </c>
      <c r="D213" s="35" t="s">
        <v>41</v>
      </c>
      <c r="E213" s="35" t="s">
        <v>49</v>
      </c>
      <c r="F213" s="35" t="s">
        <v>25</v>
      </c>
      <c r="G213" s="35" t="s">
        <v>25</v>
      </c>
      <c r="H213" s="35" t="s">
        <v>37</v>
      </c>
      <c r="I213" s="54">
        <v>44501</v>
      </c>
      <c r="J213" s="55">
        <f>EFEITO!$J$213*EFEITO!$Y$157</f>
        <v>0</v>
      </c>
      <c r="K213" s="55">
        <f ca="1">EFEITO!$L$213*EFEITO!$Z$157</f>
        <v>56475.183419889516</v>
      </c>
      <c r="L213" s="55">
        <f>EFEITO!$N$213*EFEITO!$AA$157</f>
        <v>8609.0157870069052</v>
      </c>
      <c r="M213" s="55">
        <f>$J$213-EFEITO!$K$213*EFEITO!$Y$213</f>
        <v>0</v>
      </c>
      <c r="N213" s="55">
        <f ca="1">$K$213-EFEITO!$M$213*EFEITO!$Z$213</f>
        <v>1129.5036683977887</v>
      </c>
      <c r="O213" s="55">
        <f>$L$213-EFEITO!$O$213*EFEITO!$AA$213</f>
        <v>172.18031574013912</v>
      </c>
      <c r="P213" s="39"/>
      <c r="Q213" s="39"/>
      <c r="R213" s="39"/>
      <c r="S213" s="39"/>
      <c r="T213" s="39"/>
      <c r="U213" s="39"/>
      <c r="V213" s="39"/>
      <c r="W213" s="39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35" t="s">
        <v>21</v>
      </c>
      <c r="B214" s="35" t="s">
        <v>35</v>
      </c>
      <c r="C214" s="35" t="s">
        <v>36</v>
      </c>
      <c r="D214" s="35" t="s">
        <v>41</v>
      </c>
      <c r="E214" s="35" t="s">
        <v>49</v>
      </c>
      <c r="F214" s="35" t="s">
        <v>25</v>
      </c>
      <c r="G214" s="35" t="s">
        <v>25</v>
      </c>
      <c r="H214" s="35" t="s">
        <v>37</v>
      </c>
      <c r="I214" s="54">
        <v>44531</v>
      </c>
      <c r="J214" s="55">
        <f>EFEITO!$J$214*EFEITO!$Y$157</f>
        <v>0</v>
      </c>
      <c r="K214" s="55">
        <f ca="1">EFEITO!$L$214*EFEITO!$Z$157</f>
        <v>96612.507614980859</v>
      </c>
      <c r="L214" s="55">
        <f>EFEITO!$N$214*EFEITO!$AA$157</f>
        <v>14727.506010839657</v>
      </c>
      <c r="M214" s="55">
        <f>$J$214-EFEITO!$K$214*EFEITO!$Y$214</f>
        <v>0</v>
      </c>
      <c r="N214" s="55">
        <f ca="1">$K$214-EFEITO!$M$214*EFEITO!$Z$214</f>
        <v>1932.2501522996172</v>
      </c>
      <c r="O214" s="55">
        <f>$L$214-EFEITO!$O$214*EFEITO!$AA$214</f>
        <v>294.55012021679431</v>
      </c>
      <c r="P214" s="39"/>
      <c r="Q214" s="39"/>
      <c r="R214" s="39"/>
      <c r="S214" s="39"/>
      <c r="T214" s="39"/>
      <c r="U214" s="39"/>
      <c r="V214" s="39"/>
      <c r="W214" s="39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35" t="s">
        <v>21</v>
      </c>
      <c r="B215" s="35" t="s">
        <v>35</v>
      </c>
      <c r="C215" s="35" t="s">
        <v>36</v>
      </c>
      <c r="D215" s="35" t="s">
        <v>41</v>
      </c>
      <c r="E215" s="35" t="s">
        <v>49</v>
      </c>
      <c r="F215" s="35" t="s">
        <v>25</v>
      </c>
      <c r="G215" s="35" t="s">
        <v>25</v>
      </c>
      <c r="H215" s="35" t="s">
        <v>37</v>
      </c>
      <c r="I215" s="54">
        <v>44562</v>
      </c>
      <c r="J215" s="55">
        <f>EFEITO!$J$215*EFEITO!$Y$157</f>
        <v>0</v>
      </c>
      <c r="K215" s="55">
        <f ca="1">EFEITO!$L$215*EFEITO!$Z$157</f>
        <v>129922.83439376215</v>
      </c>
      <c r="L215" s="55">
        <f>EFEITO!$N$215*EFEITO!$AA$157</f>
        <v>19805.296143485641</v>
      </c>
      <c r="M215" s="55">
        <f>$J$215-EFEITO!$K$215*EFEITO!$Y$215</f>
        <v>0</v>
      </c>
      <c r="N215" s="55">
        <f ca="1">$K$215-EFEITO!$M$215*EFEITO!$Z$215</f>
        <v>2598.4566878752521</v>
      </c>
      <c r="O215" s="55">
        <f>$L$215-EFEITO!$O$215*EFEITO!$AA$215</f>
        <v>396.10592286971587</v>
      </c>
      <c r="P215" s="39"/>
      <c r="Q215" s="39"/>
      <c r="R215" s="39"/>
      <c r="S215" s="39"/>
      <c r="T215" s="39"/>
      <c r="U215" s="39"/>
      <c r="V215" s="39"/>
      <c r="W215" s="39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35" t="s">
        <v>21</v>
      </c>
      <c r="B216" s="35" t="s">
        <v>35</v>
      </c>
      <c r="C216" s="35" t="s">
        <v>36</v>
      </c>
      <c r="D216" s="35" t="s">
        <v>41</v>
      </c>
      <c r="E216" s="35" t="s">
        <v>49</v>
      </c>
      <c r="F216" s="35" t="s">
        <v>25</v>
      </c>
      <c r="G216" s="35" t="s">
        <v>25</v>
      </c>
      <c r="H216" s="35" t="s">
        <v>37</v>
      </c>
      <c r="I216" s="54">
        <v>44593</v>
      </c>
      <c r="J216" s="55">
        <f>EFEITO!$J$216*EFEITO!$Y$157</f>
        <v>0</v>
      </c>
      <c r="K216" s="55">
        <f ca="1">EFEITO!$L$216*EFEITO!$Z$157</f>
        <v>85662.208684825833</v>
      </c>
      <c r="L216" s="55">
        <f>EFEITO!$N$216*EFEITO!$AA$157</f>
        <v>13058.254303213529</v>
      </c>
      <c r="M216" s="55">
        <f>$J$216-EFEITO!$K$216*EFEITO!$Y$216</f>
        <v>0</v>
      </c>
      <c r="N216" s="55">
        <f ca="1">$K$216-EFEITO!$M$216*EFEITO!$Z$216</f>
        <v>1713.244173696512</v>
      </c>
      <c r="O216" s="55">
        <f>$L$216-EFEITO!$O$216*EFEITO!$AA$216</f>
        <v>261.16508606427305</v>
      </c>
      <c r="P216" s="39"/>
      <c r="Q216" s="39"/>
      <c r="R216" s="39"/>
      <c r="S216" s="39"/>
      <c r="T216" s="39"/>
      <c r="U216" s="39"/>
      <c r="V216" s="39"/>
      <c r="W216" s="39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35" t="s">
        <v>28</v>
      </c>
      <c r="B217" s="35" t="s">
        <v>35</v>
      </c>
      <c r="C217" s="35" t="s">
        <v>36</v>
      </c>
      <c r="D217" s="35" t="s">
        <v>41</v>
      </c>
      <c r="E217" s="35" t="s">
        <v>49</v>
      </c>
      <c r="F217" s="35" t="s">
        <v>25</v>
      </c>
      <c r="G217" s="35" t="s">
        <v>25</v>
      </c>
      <c r="H217" s="35" t="s">
        <v>37</v>
      </c>
      <c r="I217" s="54">
        <v>44593</v>
      </c>
      <c r="J217" s="55">
        <f>EFEITO!$J$217*EFEITO!$Y$157</f>
        <v>0</v>
      </c>
      <c r="K217" s="55">
        <f ca="1">EFEITO!$L$217*EFEITO!$Z$157</f>
        <v>9517.4723119171194</v>
      </c>
      <c r="L217" s="55">
        <f>EFEITO!$N$217*EFEITO!$AA$157</f>
        <v>1450.8331699696475</v>
      </c>
      <c r="M217" s="55">
        <f>$J$217-EFEITO!$K$217*EFEITO!$Y$217</f>
        <v>0</v>
      </c>
      <c r="N217" s="55">
        <f ca="1">$K$217-EFEITO!$M$217*EFEITO!$Z$217</f>
        <v>190.34944623834235</v>
      </c>
      <c r="O217" s="55">
        <f>$L$217-EFEITO!$O$217*EFEITO!$AA$217</f>
        <v>29.01666339939311</v>
      </c>
      <c r="P217" s="39"/>
      <c r="Q217" s="39"/>
      <c r="R217" s="39"/>
      <c r="S217" s="39"/>
      <c r="T217" s="39"/>
      <c r="U217" s="39"/>
      <c r="V217" s="39"/>
      <c r="W217" s="39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35" t="s">
        <v>21</v>
      </c>
      <c r="B218" s="35" t="s">
        <v>35</v>
      </c>
      <c r="C218" s="35" t="s">
        <v>36</v>
      </c>
      <c r="D218" s="35" t="s">
        <v>41</v>
      </c>
      <c r="E218" s="35" t="s">
        <v>49</v>
      </c>
      <c r="F218" s="35" t="s">
        <v>25</v>
      </c>
      <c r="G218" s="35" t="s">
        <v>25</v>
      </c>
      <c r="H218" s="35" t="s">
        <v>37</v>
      </c>
      <c r="I218" s="54">
        <v>44621</v>
      </c>
      <c r="J218" s="55">
        <f>EFEITO!$J$218*EFEITO!$Y$157</f>
        <v>0</v>
      </c>
      <c r="K218" s="55">
        <f ca="1">EFEITO!$L$218*EFEITO!$Z$157</f>
        <v>37669.953790213374</v>
      </c>
      <c r="L218" s="55">
        <f>EFEITO!$N$218*EFEITO!$AA$157</f>
        <v>5742.3669519514051</v>
      </c>
      <c r="M218" s="55">
        <f>$J$218-EFEITO!$K$218*EFEITO!$Y$218</f>
        <v>0</v>
      </c>
      <c r="N218" s="55">
        <f ca="1">$K$218-EFEITO!$M$218*EFEITO!$Z$218</f>
        <v>753.39907580427098</v>
      </c>
      <c r="O218" s="55">
        <f>$L$218-EFEITO!$O$218*EFEITO!$AA$218</f>
        <v>114.84733903902816</v>
      </c>
      <c r="P218" s="39"/>
      <c r="Q218" s="39"/>
      <c r="R218" s="39"/>
      <c r="S218" s="39"/>
      <c r="T218" s="39"/>
      <c r="U218" s="39"/>
      <c r="V218" s="39"/>
      <c r="W218" s="39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35" t="s">
        <v>21</v>
      </c>
      <c r="B219" s="35" t="s">
        <v>35</v>
      </c>
      <c r="C219" s="35" t="s">
        <v>36</v>
      </c>
      <c r="D219" s="35" t="s">
        <v>41</v>
      </c>
      <c r="E219" s="35" t="s">
        <v>49</v>
      </c>
      <c r="F219" s="35" t="s">
        <v>25</v>
      </c>
      <c r="G219" s="35" t="s">
        <v>25</v>
      </c>
      <c r="H219" s="35" t="s">
        <v>37</v>
      </c>
      <c r="I219" s="54">
        <v>44652</v>
      </c>
      <c r="J219" s="55">
        <f>EFEITO!$J$219*EFEITO!$Y$157</f>
        <v>0</v>
      </c>
      <c r="K219" s="55">
        <f ca="1">EFEITO!$L$219*EFEITO!$Z$157</f>
        <v>9540.6090739186529</v>
      </c>
      <c r="L219" s="55">
        <f>EFEITO!$N$219*EFEITO!$AA$157</f>
        <v>1454.3601129075837</v>
      </c>
      <c r="M219" s="55">
        <f>$J$219-EFEITO!$K$219*EFEITO!$Y$219</f>
        <v>0</v>
      </c>
      <c r="N219" s="55">
        <f ca="1">$K$219-EFEITO!$M$219*EFEITO!$Z$219</f>
        <v>190.81218147837353</v>
      </c>
      <c r="O219" s="55">
        <f>$L$219-EFEITO!$O$219*EFEITO!$AA$219</f>
        <v>29.087202258151819</v>
      </c>
      <c r="P219" s="39"/>
      <c r="Q219" s="39"/>
      <c r="R219" s="39"/>
      <c r="S219" s="39"/>
      <c r="T219" s="39"/>
      <c r="U219" s="39"/>
      <c r="V219" s="39"/>
      <c r="W219" s="39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35" t="s">
        <v>21</v>
      </c>
      <c r="B220" s="35" t="s">
        <v>35</v>
      </c>
      <c r="C220" s="35" t="s">
        <v>36</v>
      </c>
      <c r="D220" s="35" t="s">
        <v>41</v>
      </c>
      <c r="E220" s="35" t="s">
        <v>49</v>
      </c>
      <c r="F220" s="35" t="s">
        <v>25</v>
      </c>
      <c r="G220" s="35" t="s">
        <v>25</v>
      </c>
      <c r="H220" s="35" t="s">
        <v>37</v>
      </c>
      <c r="I220" s="54">
        <v>44682</v>
      </c>
      <c r="J220" s="55">
        <f>EFEITO!$J$220*EFEITO!$Y$157</f>
        <v>0</v>
      </c>
      <c r="K220" s="55">
        <f ca="1">EFEITO!$L$220*EFEITO!$Z$157</f>
        <v>9013.421425455108</v>
      </c>
      <c r="L220" s="55">
        <f>EFEITO!$N$220*EFEITO!$AA$157</f>
        <v>1373.9961988217497</v>
      </c>
      <c r="M220" s="55">
        <f>$J$220-EFEITO!$K$220*EFEITO!$Y$220</f>
        <v>0</v>
      </c>
      <c r="N220" s="55">
        <f ca="1">$K$220-EFEITO!$M$220*EFEITO!$Z$220</f>
        <v>180.26842850910361</v>
      </c>
      <c r="O220" s="55">
        <f>$L$220-EFEITO!$O$220*EFEITO!$AA$220</f>
        <v>27.479923976434975</v>
      </c>
      <c r="P220" s="39"/>
      <c r="Q220" s="39"/>
      <c r="R220" s="39"/>
      <c r="S220" s="39"/>
      <c r="T220" s="39"/>
      <c r="U220" s="39"/>
      <c r="V220" s="39"/>
      <c r="W220" s="39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35" t="s">
        <v>21</v>
      </c>
      <c r="B221" s="35" t="s">
        <v>35</v>
      </c>
      <c r="C221" s="35" t="s">
        <v>36</v>
      </c>
      <c r="D221" s="35" t="s">
        <v>41</v>
      </c>
      <c r="E221" s="35" t="s">
        <v>49</v>
      </c>
      <c r="F221" s="35" t="s">
        <v>25</v>
      </c>
      <c r="G221" s="35" t="s">
        <v>25</v>
      </c>
      <c r="H221" s="35" t="s">
        <v>37</v>
      </c>
      <c r="I221" s="54">
        <v>44713</v>
      </c>
      <c r="J221" s="55">
        <f>EFEITO!$J$221*EFEITO!$Y$157</f>
        <v>0</v>
      </c>
      <c r="K221" s="55">
        <f ca="1">EFEITO!$L$221*EFEITO!$Z$157</f>
        <v>5189.2451917728349</v>
      </c>
      <c r="L221" s="55">
        <f>EFEITO!$N$221*EFEITO!$AA$157</f>
        <v>791.04291607999528</v>
      </c>
      <c r="M221" s="55">
        <f>$J$221-EFEITO!$K$221*EFEITO!$Y$221</f>
        <v>0</v>
      </c>
      <c r="N221" s="55">
        <f ca="1">$K$221-EFEITO!$M$221*EFEITO!$Z$221</f>
        <v>103.78490383545704</v>
      </c>
      <c r="O221" s="55">
        <f>$L$221-EFEITO!$O$221*EFEITO!$AA$221</f>
        <v>15.820858321599871</v>
      </c>
      <c r="P221" s="39"/>
      <c r="Q221" s="39"/>
      <c r="R221" s="39"/>
      <c r="S221" s="39"/>
      <c r="T221" s="39"/>
      <c r="U221" s="39"/>
      <c r="V221" s="39"/>
      <c r="W221" s="39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35" t="s">
        <v>21</v>
      </c>
      <c r="B222" s="35" t="s">
        <v>35</v>
      </c>
      <c r="C222" s="35" t="s">
        <v>36</v>
      </c>
      <c r="D222" s="35" t="s">
        <v>41</v>
      </c>
      <c r="E222" s="35" t="s">
        <v>25</v>
      </c>
      <c r="F222" s="35" t="s">
        <v>25</v>
      </c>
      <c r="G222" s="35" t="s">
        <v>25</v>
      </c>
      <c r="H222" s="35" t="s">
        <v>38</v>
      </c>
      <c r="I222" s="54">
        <v>44378</v>
      </c>
      <c r="J222" s="55">
        <f>EFEITO!$J$222*EFEITO!$Y$125</f>
        <v>0</v>
      </c>
      <c r="K222" s="55">
        <f ca="1">EFEITO!$L$222*EFEITO!$Z$125</f>
        <v>2697.6402735675169</v>
      </c>
      <c r="L222" s="55">
        <f>EFEITO!$N$222*EFEITO!$AA$125</f>
        <v>6616.2930270729039</v>
      </c>
      <c r="M222" s="55">
        <f>$J$222-EFEITO!$K$222*EFEITO!$Y$222</f>
        <v>0</v>
      </c>
      <c r="N222" s="55">
        <f ca="1">$K$222-EFEITO!$M$222*EFEITO!$Z$222</f>
        <v>53.95280547135053</v>
      </c>
      <c r="O222" s="55">
        <f>$L$222-EFEITO!$O$222*EFEITO!$AA$222</f>
        <v>132.3258605414585</v>
      </c>
      <c r="P222" s="39"/>
      <c r="Q222" s="39"/>
      <c r="R222" s="39"/>
      <c r="S222" s="39"/>
      <c r="T222" s="39"/>
      <c r="U222" s="39"/>
      <c r="V222" s="39"/>
      <c r="W222" s="39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35" t="s">
        <v>28</v>
      </c>
      <c r="B223" s="35" t="s">
        <v>35</v>
      </c>
      <c r="C223" s="35" t="s">
        <v>36</v>
      </c>
      <c r="D223" s="35" t="s">
        <v>41</v>
      </c>
      <c r="E223" s="35" t="s">
        <v>25</v>
      </c>
      <c r="F223" s="35" t="s">
        <v>25</v>
      </c>
      <c r="G223" s="35" t="s">
        <v>25</v>
      </c>
      <c r="H223" s="35" t="s">
        <v>38</v>
      </c>
      <c r="I223" s="54">
        <v>44378</v>
      </c>
      <c r="J223" s="55">
        <f>EFEITO!$J$223*EFEITO!$Y$125</f>
        <v>0</v>
      </c>
      <c r="K223" s="55">
        <f ca="1">EFEITO!$L$223*EFEITO!$Z$125</f>
        <v>-4969.4184379239414</v>
      </c>
      <c r="L223" s="55">
        <f>EFEITO!$N$223*EFEITO!$AA$125</f>
        <v>-12188.107095525533</v>
      </c>
      <c r="M223" s="55">
        <f>$J$223-EFEITO!$K$223*EFEITO!$Y$223</f>
        <v>0</v>
      </c>
      <c r="N223" s="55">
        <f ca="1">$K$223-EFEITO!$M$223*EFEITO!$Z$223</f>
        <v>-99.388368758479373</v>
      </c>
      <c r="O223" s="55">
        <f>$L$223-EFEITO!$O$223*EFEITO!$AA$223</f>
        <v>-243.76214191051076</v>
      </c>
      <c r="P223" s="39"/>
      <c r="Q223" s="39"/>
      <c r="R223" s="39"/>
      <c r="S223" s="39"/>
      <c r="T223" s="39"/>
      <c r="U223" s="39"/>
      <c r="V223" s="39"/>
      <c r="W223" s="39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35" t="s">
        <v>21</v>
      </c>
      <c r="B224" s="35" t="s">
        <v>35</v>
      </c>
      <c r="C224" s="35" t="s">
        <v>36</v>
      </c>
      <c r="D224" s="35" t="s">
        <v>41</v>
      </c>
      <c r="E224" s="35" t="s">
        <v>25</v>
      </c>
      <c r="F224" s="35" t="s">
        <v>25</v>
      </c>
      <c r="G224" s="35" t="s">
        <v>25</v>
      </c>
      <c r="H224" s="35" t="s">
        <v>38</v>
      </c>
      <c r="I224" s="54">
        <v>44409</v>
      </c>
      <c r="J224" s="55">
        <f>EFEITO!$J$224*EFEITO!$Y$125</f>
        <v>0</v>
      </c>
      <c r="K224" s="55">
        <f ca="1">EFEITO!$L$224*EFEITO!$Z$125</f>
        <v>2935.9422738978915</v>
      </c>
      <c r="L224" s="55">
        <f>EFEITO!$N$224*EFEITO!$AA$125</f>
        <v>7200.7578567880582</v>
      </c>
      <c r="M224" s="55">
        <f>$J$224-EFEITO!$K$224*EFEITO!$Y$224</f>
        <v>0</v>
      </c>
      <c r="N224" s="55">
        <f ca="1">$K$224-EFEITO!$M$224*EFEITO!$Z$224</f>
        <v>58.718845477957984</v>
      </c>
      <c r="O224" s="55">
        <f>$L$224-EFEITO!$O$224*EFEITO!$AA$224</f>
        <v>144.015157135761</v>
      </c>
      <c r="P224" s="39"/>
      <c r="Q224" s="39"/>
      <c r="R224" s="39"/>
      <c r="S224" s="39"/>
      <c r="T224" s="39"/>
      <c r="U224" s="39"/>
      <c r="V224" s="39"/>
      <c r="W224" s="39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35" t="s">
        <v>21</v>
      </c>
      <c r="B225" s="35" t="s">
        <v>35</v>
      </c>
      <c r="C225" s="35" t="s">
        <v>36</v>
      </c>
      <c r="D225" s="35" t="s">
        <v>41</v>
      </c>
      <c r="E225" s="35" t="s">
        <v>25</v>
      </c>
      <c r="F225" s="35" t="s">
        <v>25</v>
      </c>
      <c r="G225" s="35" t="s">
        <v>25</v>
      </c>
      <c r="H225" s="35" t="s">
        <v>38</v>
      </c>
      <c r="I225" s="54">
        <v>44440</v>
      </c>
      <c r="J225" s="55">
        <f>EFEITO!$J$225*EFEITO!$Y$125</f>
        <v>0</v>
      </c>
      <c r="K225" s="55">
        <f ca="1">EFEITO!$L$225*EFEITO!$Z$125</f>
        <v>2654.3966778179097</v>
      </c>
      <c r="L225" s="55">
        <f>EFEITO!$N$225*EFEITO!$AA$125</f>
        <v>6510.2328144392477</v>
      </c>
      <c r="M225" s="55">
        <f>$J$225-EFEITO!$K$225*EFEITO!$Y$225</f>
        <v>0</v>
      </c>
      <c r="N225" s="55">
        <f ca="1">$K$225-EFEITO!$M$225*EFEITO!$Z$225</f>
        <v>53.087933556358166</v>
      </c>
      <c r="O225" s="55">
        <f>$L$225-EFEITO!$O$225*EFEITO!$AA$225</f>
        <v>130.20465628878537</v>
      </c>
      <c r="P225" s="39"/>
      <c r="Q225" s="39"/>
      <c r="R225" s="39"/>
      <c r="S225" s="39"/>
      <c r="T225" s="39"/>
      <c r="U225" s="39"/>
      <c r="V225" s="39"/>
      <c r="W225" s="39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35" t="s">
        <v>21</v>
      </c>
      <c r="B226" s="35" t="s">
        <v>35</v>
      </c>
      <c r="C226" s="35" t="s">
        <v>36</v>
      </c>
      <c r="D226" s="35" t="s">
        <v>41</v>
      </c>
      <c r="E226" s="35" t="s">
        <v>25</v>
      </c>
      <c r="F226" s="35" t="s">
        <v>25</v>
      </c>
      <c r="G226" s="35" t="s">
        <v>25</v>
      </c>
      <c r="H226" s="35" t="s">
        <v>38</v>
      </c>
      <c r="I226" s="54">
        <v>44470</v>
      </c>
      <c r="J226" s="55">
        <f>EFEITO!$J$226*EFEITO!$Y$125</f>
        <v>0</v>
      </c>
      <c r="K226" s="55">
        <f ca="1">EFEITO!$L$226*EFEITO!$Z$125</f>
        <v>2904.6137781648035</v>
      </c>
      <c r="L226" s="55">
        <f>EFEITO!$N$226*EFEITO!$AA$125</f>
        <v>7123.920885640161</v>
      </c>
      <c r="M226" s="55">
        <f>$J$226-EFEITO!$K$226*EFEITO!$Y$226</f>
        <v>0</v>
      </c>
      <c r="N226" s="55">
        <f ca="1">$K$226-EFEITO!$M$226*EFEITO!$Z$226</f>
        <v>58.092275563296425</v>
      </c>
      <c r="O226" s="55">
        <f>$L$226-EFEITO!$O$226*EFEITO!$AA$226</f>
        <v>142.47841771280309</v>
      </c>
      <c r="P226" s="39"/>
      <c r="Q226" s="39"/>
      <c r="R226" s="39"/>
      <c r="S226" s="39"/>
      <c r="T226" s="39"/>
      <c r="U226" s="39"/>
      <c r="V226" s="39"/>
      <c r="W226" s="39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35" t="s">
        <v>21</v>
      </c>
      <c r="B227" s="35" t="s">
        <v>35</v>
      </c>
      <c r="C227" s="35" t="s">
        <v>36</v>
      </c>
      <c r="D227" s="35" t="s">
        <v>41</v>
      </c>
      <c r="E227" s="35" t="s">
        <v>25</v>
      </c>
      <c r="F227" s="35" t="s">
        <v>25</v>
      </c>
      <c r="G227" s="35" t="s">
        <v>25</v>
      </c>
      <c r="H227" s="35" t="s">
        <v>38</v>
      </c>
      <c r="I227" s="54">
        <v>44501</v>
      </c>
      <c r="J227" s="55">
        <f>EFEITO!$J$227*EFEITO!$Y$125</f>
        <v>0</v>
      </c>
      <c r="K227" s="55">
        <f ca="1">EFEITO!$L$227*EFEITO!$Z$125</f>
        <v>3481.160816033077</v>
      </c>
      <c r="L227" s="55">
        <f>EFEITO!$N$227*EFEITO!$AA$125</f>
        <v>8537.9730792570444</v>
      </c>
      <c r="M227" s="55">
        <f>$J$227-EFEITO!$K$227*EFEITO!$Y$227</f>
        <v>0</v>
      </c>
      <c r="N227" s="55">
        <f ca="1">$K$227-EFEITO!$M$227*EFEITO!$Z$227</f>
        <v>69.623216320661868</v>
      </c>
      <c r="O227" s="55">
        <f>$L$227-EFEITO!$O$227*EFEITO!$AA$227</f>
        <v>170.75946158514125</v>
      </c>
      <c r="P227" s="39"/>
      <c r="Q227" s="39"/>
      <c r="R227" s="39"/>
      <c r="S227" s="39"/>
      <c r="T227" s="39"/>
      <c r="U227" s="39"/>
      <c r="V227" s="39"/>
      <c r="W227" s="39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35" t="s">
        <v>21</v>
      </c>
      <c r="B228" s="35" t="s">
        <v>35</v>
      </c>
      <c r="C228" s="35" t="s">
        <v>36</v>
      </c>
      <c r="D228" s="35" t="s">
        <v>41</v>
      </c>
      <c r="E228" s="35" t="s">
        <v>25</v>
      </c>
      <c r="F228" s="35" t="s">
        <v>25</v>
      </c>
      <c r="G228" s="35" t="s">
        <v>25</v>
      </c>
      <c r="H228" s="35" t="s">
        <v>38</v>
      </c>
      <c r="I228" s="54">
        <v>44531</v>
      </c>
      <c r="J228" s="55">
        <f>EFEITO!$J$228*EFEITO!$Y$125</f>
        <v>0</v>
      </c>
      <c r="K228" s="55">
        <f ca="1">EFEITO!$L$228*EFEITO!$Z$125</f>
        <v>3280.6584433413136</v>
      </c>
      <c r="L228" s="55">
        <f>EFEITO!$N$228*EFEITO!$AA$125</f>
        <v>8046.2164639105004</v>
      </c>
      <c r="M228" s="55">
        <f>$J$228-EFEITO!$K$228*EFEITO!$Y$228</f>
        <v>0</v>
      </c>
      <c r="N228" s="55">
        <f ca="1">$K$228-EFEITO!$M$228*EFEITO!$Z$228</f>
        <v>65.613168866826527</v>
      </c>
      <c r="O228" s="55">
        <f>$L$228-EFEITO!$O$228*EFEITO!$AA$228</f>
        <v>160.92432927821119</v>
      </c>
      <c r="P228" s="39"/>
      <c r="Q228" s="39"/>
      <c r="R228" s="39"/>
      <c r="S228" s="39"/>
      <c r="T228" s="39"/>
      <c r="U228" s="39"/>
      <c r="V228" s="39"/>
      <c r="W228" s="39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35" t="s">
        <v>21</v>
      </c>
      <c r="B229" s="35" t="s">
        <v>35</v>
      </c>
      <c r="C229" s="35" t="s">
        <v>36</v>
      </c>
      <c r="D229" s="35" t="s">
        <v>41</v>
      </c>
      <c r="E229" s="35" t="s">
        <v>25</v>
      </c>
      <c r="F229" s="35" t="s">
        <v>25</v>
      </c>
      <c r="G229" s="35" t="s">
        <v>25</v>
      </c>
      <c r="H229" s="35" t="s">
        <v>38</v>
      </c>
      <c r="I229" s="54">
        <v>44562</v>
      </c>
      <c r="J229" s="55">
        <f>EFEITO!$J$229*EFEITO!$Y$125</f>
        <v>0</v>
      </c>
      <c r="K229" s="55">
        <f ca="1">EFEITO!$L$229*EFEITO!$Z$125</f>
        <v>3929.5178123443216</v>
      </c>
      <c r="L229" s="55">
        <f>EFEITO!$N$229*EFEITO!$AA$125</f>
        <v>9637.6235024064645</v>
      </c>
      <c r="M229" s="55">
        <f>$J$229-EFEITO!$K$229*EFEITO!$Y$229</f>
        <v>0</v>
      </c>
      <c r="N229" s="55">
        <f ca="1">$K$229-EFEITO!$M$229*EFEITO!$Z$229</f>
        <v>78.590356246886586</v>
      </c>
      <c r="O229" s="55">
        <f>$L$229-EFEITO!$O$229*EFEITO!$AA$229</f>
        <v>192.75247004812991</v>
      </c>
      <c r="P229" s="39"/>
      <c r="Q229" s="39"/>
      <c r="R229" s="39"/>
      <c r="S229" s="39"/>
      <c r="T229" s="39"/>
      <c r="U229" s="39"/>
      <c r="V229" s="39"/>
      <c r="W229" s="39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35" t="s">
        <v>21</v>
      </c>
      <c r="B230" s="35" t="s">
        <v>35</v>
      </c>
      <c r="C230" s="35" t="s">
        <v>36</v>
      </c>
      <c r="D230" s="35" t="s">
        <v>41</v>
      </c>
      <c r="E230" s="35" t="s">
        <v>25</v>
      </c>
      <c r="F230" s="35" t="s">
        <v>25</v>
      </c>
      <c r="G230" s="35" t="s">
        <v>25</v>
      </c>
      <c r="H230" s="35" t="s">
        <v>38</v>
      </c>
      <c r="I230" s="54">
        <v>44593</v>
      </c>
      <c r="J230" s="55">
        <f>EFEITO!$J$230*EFEITO!$Y$125</f>
        <v>0</v>
      </c>
      <c r="K230" s="55">
        <f ca="1">EFEITO!$L$230*EFEITO!$Z$125</f>
        <v>3315.6847287347005</v>
      </c>
      <c r="L230" s="55">
        <f>EFEITO!$N$230*EFEITO!$AA$125</f>
        <v>8132.1227168988053</v>
      </c>
      <c r="M230" s="55">
        <f>$J$230-EFEITO!$K$230*EFEITO!$Y$230</f>
        <v>0</v>
      </c>
      <c r="N230" s="55">
        <f ca="1">$K$230-EFEITO!$M$230*EFEITO!$Z$230</f>
        <v>66.313694574694182</v>
      </c>
      <c r="O230" s="55">
        <f>$L$230-EFEITO!$O$230*EFEITO!$AA$230</f>
        <v>162.64245433797623</v>
      </c>
      <c r="P230" s="39"/>
      <c r="Q230" s="39"/>
      <c r="R230" s="39"/>
      <c r="S230" s="39"/>
      <c r="T230" s="39"/>
      <c r="U230" s="39"/>
      <c r="V230" s="39"/>
      <c r="W230" s="39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35" t="s">
        <v>21</v>
      </c>
      <c r="B231" s="35" t="s">
        <v>35</v>
      </c>
      <c r="C231" s="35" t="s">
        <v>36</v>
      </c>
      <c r="D231" s="35" t="s">
        <v>41</v>
      </c>
      <c r="E231" s="35" t="s">
        <v>25</v>
      </c>
      <c r="F231" s="35" t="s">
        <v>25</v>
      </c>
      <c r="G231" s="35" t="s">
        <v>25</v>
      </c>
      <c r="H231" s="35" t="s">
        <v>38</v>
      </c>
      <c r="I231" s="54">
        <v>44621</v>
      </c>
      <c r="J231" s="55">
        <f>EFEITO!$J$231*EFEITO!$Y$125</f>
        <v>0</v>
      </c>
      <c r="K231" s="55">
        <f ca="1">EFEITO!$L$231*EFEITO!$Z$125</f>
        <v>8257.8833261036634</v>
      </c>
      <c r="L231" s="55">
        <f>EFEITO!$N$231*EFEITO!$AA$125</f>
        <v>20253.469821099116</v>
      </c>
      <c r="M231" s="55">
        <f>$J$231-EFEITO!$K$231*EFEITO!$Y$231</f>
        <v>0</v>
      </c>
      <c r="N231" s="55">
        <f ca="1">$K$231-EFEITO!$M$231*EFEITO!$Z$231</f>
        <v>165.15766652207458</v>
      </c>
      <c r="O231" s="55">
        <f>$L$231-EFEITO!$O$231*EFEITO!$AA$231</f>
        <v>405.06939642198631</v>
      </c>
      <c r="P231" s="39"/>
      <c r="Q231" s="39"/>
      <c r="R231" s="39"/>
      <c r="S231" s="39"/>
      <c r="T231" s="39"/>
      <c r="U231" s="39"/>
      <c r="V231" s="39"/>
      <c r="W231" s="39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35" t="s">
        <v>21</v>
      </c>
      <c r="B232" s="35" t="s">
        <v>35</v>
      </c>
      <c r="C232" s="35" t="s">
        <v>36</v>
      </c>
      <c r="D232" s="35" t="s">
        <v>41</v>
      </c>
      <c r="E232" s="35" t="s">
        <v>25</v>
      </c>
      <c r="F232" s="35" t="s">
        <v>25</v>
      </c>
      <c r="G232" s="35" t="s">
        <v>25</v>
      </c>
      <c r="H232" s="35" t="s">
        <v>38</v>
      </c>
      <c r="I232" s="54">
        <v>44652</v>
      </c>
      <c r="J232" s="55">
        <f>EFEITO!$J$232*EFEITO!$Y$125</f>
        <v>0</v>
      </c>
      <c r="K232" s="55">
        <f ca="1">EFEITO!$L$232*EFEITO!$Z$125</f>
        <v>7380.6854455771963</v>
      </c>
      <c r="L232" s="55">
        <f>EFEITO!$N$232*EFEITO!$AA$125</f>
        <v>18102.034628957983</v>
      </c>
      <c r="M232" s="55">
        <f>$J$232-EFEITO!$K$232*EFEITO!$Y$232</f>
        <v>0</v>
      </c>
      <c r="N232" s="55">
        <f ca="1">$K$232-EFEITO!$M$232*EFEITO!$Z$232</f>
        <v>147.61370891154365</v>
      </c>
      <c r="O232" s="55">
        <f>$L$232-EFEITO!$O$232*EFEITO!$AA$232</f>
        <v>362.04069257916126</v>
      </c>
      <c r="P232" s="39"/>
      <c r="Q232" s="39"/>
      <c r="R232" s="39"/>
      <c r="S232" s="39"/>
      <c r="T232" s="39"/>
      <c r="U232" s="39"/>
      <c r="V232" s="39"/>
      <c r="W232" s="39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35" t="s">
        <v>21</v>
      </c>
      <c r="B233" s="35" t="s">
        <v>35</v>
      </c>
      <c r="C233" s="35" t="s">
        <v>36</v>
      </c>
      <c r="D233" s="35" t="s">
        <v>41</v>
      </c>
      <c r="E233" s="35" t="s">
        <v>25</v>
      </c>
      <c r="F233" s="35" t="s">
        <v>25</v>
      </c>
      <c r="G233" s="35" t="s">
        <v>25</v>
      </c>
      <c r="H233" s="35" t="s">
        <v>38</v>
      </c>
      <c r="I233" s="54">
        <v>44682</v>
      </c>
      <c r="J233" s="55">
        <f>EFEITO!$J$233*EFEITO!$Y$125</f>
        <v>0</v>
      </c>
      <c r="K233" s="55">
        <f ca="1">EFEITO!$L$233*EFEITO!$Z$125</f>
        <v>5291.7424366466639</v>
      </c>
      <c r="L233" s="55">
        <f>EFEITO!$N$233*EFEITO!$AA$125</f>
        <v>12978.646162614394</v>
      </c>
      <c r="M233" s="55">
        <f>$J$233-EFEITO!$K$233*EFEITO!$Y$233</f>
        <v>0</v>
      </c>
      <c r="N233" s="55">
        <f ca="1">$K$233-EFEITO!$M$233*EFEITO!$Z$233</f>
        <v>105.83484873293401</v>
      </c>
      <c r="O233" s="55">
        <f>$L$233-EFEITO!$O$233*EFEITO!$AA$233</f>
        <v>259.57292325228809</v>
      </c>
      <c r="P233" s="39"/>
      <c r="Q233" s="39"/>
      <c r="R233" s="39"/>
      <c r="S233" s="39"/>
      <c r="T233" s="39"/>
      <c r="U233" s="39"/>
      <c r="V233" s="39"/>
      <c r="W233" s="39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35" t="s">
        <v>28</v>
      </c>
      <c r="B234" s="35" t="s">
        <v>35</v>
      </c>
      <c r="C234" s="35" t="s">
        <v>36</v>
      </c>
      <c r="D234" s="35" t="s">
        <v>41</v>
      </c>
      <c r="E234" s="35" t="s">
        <v>25</v>
      </c>
      <c r="F234" s="35" t="s">
        <v>25</v>
      </c>
      <c r="G234" s="35" t="s">
        <v>25</v>
      </c>
      <c r="H234" s="35" t="s">
        <v>38</v>
      </c>
      <c r="I234" s="54">
        <v>44682</v>
      </c>
      <c r="J234" s="55">
        <f>EFEITO!$J$234*EFEITO!$Y$125</f>
        <v>0</v>
      </c>
      <c r="K234" s="55">
        <f ca="1">EFEITO!$L$234*EFEITO!$Z$125</f>
        <v>1196.7485370039651</v>
      </c>
      <c r="L234" s="55">
        <f>EFEITO!$N$234*EFEITO!$AA$125</f>
        <v>2935.1722978496896</v>
      </c>
      <c r="M234" s="55">
        <f>$J$234-EFEITO!$K$234*EFEITO!$Y$234</f>
        <v>0</v>
      </c>
      <c r="N234" s="55">
        <f ca="1">$K$234-EFEITO!$M$234*EFEITO!$Z$234</f>
        <v>23.934970740079279</v>
      </c>
      <c r="O234" s="55">
        <f>$L$234-EFEITO!$O$234*EFEITO!$AA$234</f>
        <v>58.703445956994074</v>
      </c>
      <c r="P234" s="39"/>
      <c r="Q234" s="39"/>
      <c r="R234" s="39"/>
      <c r="S234" s="39"/>
      <c r="T234" s="39"/>
      <c r="U234" s="39"/>
      <c r="V234" s="39"/>
      <c r="W234" s="39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35" t="s">
        <v>21</v>
      </c>
      <c r="B235" s="35" t="s">
        <v>35</v>
      </c>
      <c r="C235" s="35" t="s">
        <v>36</v>
      </c>
      <c r="D235" s="35" t="s">
        <v>41</v>
      </c>
      <c r="E235" s="35" t="s">
        <v>25</v>
      </c>
      <c r="F235" s="35" t="s">
        <v>25</v>
      </c>
      <c r="G235" s="35" t="s">
        <v>25</v>
      </c>
      <c r="H235" s="35" t="s">
        <v>38</v>
      </c>
      <c r="I235" s="54">
        <v>44713</v>
      </c>
      <c r="J235" s="55">
        <f>EFEITO!$J$235*EFEITO!$Y$125</f>
        <v>0</v>
      </c>
      <c r="K235" s="55">
        <f ca="1">EFEITO!$L$235*EFEITO!$Z$125</f>
        <v>4301.7619714810799</v>
      </c>
      <c r="L235" s="55">
        <f>EFEITO!$N$235*EFEITO!$AA$125</f>
        <v>10550.59787434083</v>
      </c>
      <c r="M235" s="55">
        <f>$J$235-EFEITO!$K$235*EFEITO!$Y$235</f>
        <v>0</v>
      </c>
      <c r="N235" s="55">
        <f ca="1">$K$235-EFEITO!$M$235*EFEITO!$Z$235</f>
        <v>86.03523942962147</v>
      </c>
      <c r="O235" s="55">
        <f>$L$235-EFEITO!$O$235*EFEITO!$AA$235</f>
        <v>211.01195748681857</v>
      </c>
      <c r="P235" s="39"/>
      <c r="Q235" s="39"/>
      <c r="R235" s="39"/>
      <c r="S235" s="39"/>
      <c r="T235" s="39"/>
      <c r="U235" s="39"/>
      <c r="V235" s="39"/>
      <c r="W235" s="39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35" t="s">
        <v>28</v>
      </c>
      <c r="B236" s="35" t="s">
        <v>35</v>
      </c>
      <c r="C236" s="35" t="s">
        <v>36</v>
      </c>
      <c r="D236" s="35" t="s">
        <v>41</v>
      </c>
      <c r="E236" s="35" t="s">
        <v>25</v>
      </c>
      <c r="F236" s="35" t="s">
        <v>25</v>
      </c>
      <c r="G236" s="35" t="s">
        <v>25</v>
      </c>
      <c r="H236" s="35" t="s">
        <v>38</v>
      </c>
      <c r="I236" s="54">
        <v>44713</v>
      </c>
      <c r="J236" s="55">
        <f>EFEITO!$J$236*EFEITO!$Y$125</f>
        <v>0</v>
      </c>
      <c r="K236" s="55">
        <f ca="1">EFEITO!$L$236*EFEITO!$Z$125</f>
        <v>4546.3296709580727</v>
      </c>
      <c r="L236" s="55">
        <f>EFEITO!$N$236*EFEITO!$AA$125</f>
        <v>11150.430098285566</v>
      </c>
      <c r="M236" s="55">
        <f>$J$236-EFEITO!$K$236*EFEITO!$Y$236</f>
        <v>0</v>
      </c>
      <c r="N236" s="55">
        <f ca="1">$K$236-EFEITO!$M$236*EFEITO!$Z$236</f>
        <v>90.926593419161691</v>
      </c>
      <c r="O236" s="55">
        <f>$L$236-EFEITO!$O$236*EFEITO!$AA$236</f>
        <v>223.00860196571193</v>
      </c>
      <c r="P236" s="39"/>
      <c r="Q236" s="39"/>
      <c r="R236" s="39"/>
      <c r="S236" s="39"/>
      <c r="T236" s="39"/>
      <c r="U236" s="39"/>
      <c r="V236" s="39"/>
      <c r="W236" s="39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35" t="s">
        <v>21</v>
      </c>
      <c r="B237" s="35" t="s">
        <v>35</v>
      </c>
      <c r="C237" s="35" t="s">
        <v>36</v>
      </c>
      <c r="D237" s="35" t="s">
        <v>41</v>
      </c>
      <c r="E237" s="35" t="s">
        <v>25</v>
      </c>
      <c r="F237" s="35" t="s">
        <v>25</v>
      </c>
      <c r="G237" s="35" t="s">
        <v>25</v>
      </c>
      <c r="H237" s="35" t="s">
        <v>25</v>
      </c>
      <c r="I237" s="54">
        <v>44378</v>
      </c>
      <c r="J237" s="55">
        <f ca="1">EFEITO!$J$237*EFEITO!$Y$143</f>
        <v>10205.2200253923</v>
      </c>
      <c r="K237" s="55">
        <f>EFEITO!$L$237*EFEITO!$Z$143</f>
        <v>0</v>
      </c>
      <c r="L237" s="55">
        <f>EFEITO!$N$237*EFEITO!$AA$143</f>
        <v>0</v>
      </c>
      <c r="M237" s="55">
        <f ca="1">$J$237-EFEITO!$K$237*EFEITO!$Y$237</f>
        <v>204.10440050784564</v>
      </c>
      <c r="N237" s="55">
        <f>$K$237-EFEITO!$M$237*EFEITO!$Z$237</f>
        <v>0</v>
      </c>
      <c r="O237" s="55">
        <f>$L$237-EFEITO!$O$237*EFEITO!$AA$237</f>
        <v>0</v>
      </c>
      <c r="P237" s="39"/>
      <c r="Q237" s="39"/>
      <c r="R237" s="39"/>
      <c r="S237" s="39"/>
      <c r="T237" s="39"/>
      <c r="U237" s="39"/>
      <c r="V237" s="39"/>
      <c r="W237" s="39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35" t="s">
        <v>28</v>
      </c>
      <c r="B238" s="35" t="s">
        <v>35</v>
      </c>
      <c r="C238" s="35" t="s">
        <v>36</v>
      </c>
      <c r="D238" s="35" t="s">
        <v>41</v>
      </c>
      <c r="E238" s="35" t="s">
        <v>25</v>
      </c>
      <c r="F238" s="35" t="s">
        <v>25</v>
      </c>
      <c r="G238" s="35" t="s">
        <v>25</v>
      </c>
      <c r="H238" s="35" t="s">
        <v>25</v>
      </c>
      <c r="I238" s="54">
        <v>44378</v>
      </c>
      <c r="J238" s="55">
        <f ca="1">EFEITO!$J$238*EFEITO!$Y$143</f>
        <v>16235.577313124115</v>
      </c>
      <c r="K238" s="55">
        <f>EFEITO!$L$238*EFEITO!$Z$143</f>
        <v>0</v>
      </c>
      <c r="L238" s="55">
        <f>EFEITO!$N$238*EFEITO!$AA$143</f>
        <v>0</v>
      </c>
      <c r="M238" s="55">
        <f ca="1">$J$238-EFEITO!$K$238*EFEITO!$Y$238</f>
        <v>324.71154626248244</v>
      </c>
      <c r="N238" s="55">
        <f>$K$238-EFEITO!$M$238*EFEITO!$Z$238</f>
        <v>0</v>
      </c>
      <c r="O238" s="55">
        <f>$L$238-EFEITO!$O$238*EFEITO!$AA$238</f>
        <v>0</v>
      </c>
      <c r="P238" s="39"/>
      <c r="Q238" s="39"/>
      <c r="R238" s="39"/>
      <c r="S238" s="39"/>
      <c r="T238" s="39"/>
      <c r="U238" s="39"/>
      <c r="V238" s="39"/>
      <c r="W238" s="39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35" t="s">
        <v>21</v>
      </c>
      <c r="B239" s="35" t="s">
        <v>35</v>
      </c>
      <c r="C239" s="35" t="s">
        <v>36</v>
      </c>
      <c r="D239" s="35" t="s">
        <v>41</v>
      </c>
      <c r="E239" s="35" t="s">
        <v>25</v>
      </c>
      <c r="F239" s="35" t="s">
        <v>25</v>
      </c>
      <c r="G239" s="35" t="s">
        <v>25</v>
      </c>
      <c r="H239" s="35" t="s">
        <v>25</v>
      </c>
      <c r="I239" s="54">
        <v>44409</v>
      </c>
      <c r="J239" s="55">
        <f ca="1">EFEITO!$J$239*EFEITO!$Y$143</f>
        <v>12421.505182421943</v>
      </c>
      <c r="K239" s="55">
        <f>EFEITO!$L$239*EFEITO!$Z$143</f>
        <v>0</v>
      </c>
      <c r="L239" s="55">
        <f>EFEITO!$N$239*EFEITO!$AA$143</f>
        <v>0</v>
      </c>
      <c r="M239" s="55">
        <f ca="1">$J$239-EFEITO!$K$239*EFEITO!$Y$239</f>
        <v>248.4301036484394</v>
      </c>
      <c r="N239" s="55">
        <f>$K$239-EFEITO!$M$239*EFEITO!$Z$239</f>
        <v>0</v>
      </c>
      <c r="O239" s="55">
        <f>$L$239-EFEITO!$O$239*EFEITO!$AA$239</f>
        <v>0</v>
      </c>
      <c r="P239" s="39"/>
      <c r="Q239" s="39"/>
      <c r="R239" s="39"/>
      <c r="S239" s="39"/>
      <c r="T239" s="39"/>
      <c r="U239" s="39"/>
      <c r="V239" s="39"/>
      <c r="W239" s="39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35" t="s">
        <v>28</v>
      </c>
      <c r="B240" s="35" t="s">
        <v>35</v>
      </c>
      <c r="C240" s="35" t="s">
        <v>36</v>
      </c>
      <c r="D240" s="35" t="s">
        <v>41</v>
      </c>
      <c r="E240" s="35" t="s">
        <v>25</v>
      </c>
      <c r="F240" s="35" t="s">
        <v>25</v>
      </c>
      <c r="G240" s="35" t="s">
        <v>25</v>
      </c>
      <c r="H240" s="35" t="s">
        <v>25</v>
      </c>
      <c r="I240" s="54">
        <v>44409</v>
      </c>
      <c r="J240" s="55">
        <f ca="1">EFEITO!$J$240*EFEITO!$Y$143</f>
        <v>16338.660343683634</v>
      </c>
      <c r="K240" s="55">
        <f>EFEITO!$L$240*EFEITO!$Z$143</f>
        <v>0</v>
      </c>
      <c r="L240" s="55">
        <f>EFEITO!$N$240*EFEITO!$AA$143</f>
        <v>0</v>
      </c>
      <c r="M240" s="55">
        <f ca="1">$J$240-EFEITO!$K$240*EFEITO!$Y$240</f>
        <v>326.77320687367319</v>
      </c>
      <c r="N240" s="55">
        <f>$K$240-EFEITO!$M$240*EFEITO!$Z$240</f>
        <v>0</v>
      </c>
      <c r="O240" s="55">
        <f>$L$240-EFEITO!$O$240*EFEITO!$AA$240</f>
        <v>0</v>
      </c>
      <c r="P240" s="39"/>
      <c r="Q240" s="39"/>
      <c r="R240" s="39"/>
      <c r="S240" s="39"/>
      <c r="T240" s="39"/>
      <c r="U240" s="39"/>
      <c r="V240" s="39"/>
      <c r="W240" s="39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35" t="s">
        <v>21</v>
      </c>
      <c r="B241" s="35" t="s">
        <v>35</v>
      </c>
      <c r="C241" s="35" t="s">
        <v>36</v>
      </c>
      <c r="D241" s="35" t="s">
        <v>41</v>
      </c>
      <c r="E241" s="35" t="s">
        <v>25</v>
      </c>
      <c r="F241" s="35" t="s">
        <v>25</v>
      </c>
      <c r="G241" s="35" t="s">
        <v>25</v>
      </c>
      <c r="H241" s="35" t="s">
        <v>25</v>
      </c>
      <c r="I241" s="54">
        <v>44440</v>
      </c>
      <c r="J241" s="55">
        <f ca="1">EFEITO!$J$241*EFEITO!$Y$143</f>
        <v>7164.2706238865139</v>
      </c>
      <c r="K241" s="55">
        <f>EFEITO!$L$241*EFEITO!$Z$143</f>
        <v>0</v>
      </c>
      <c r="L241" s="55">
        <f>EFEITO!$N$241*EFEITO!$AA$143</f>
        <v>0</v>
      </c>
      <c r="M241" s="55">
        <f ca="1">$J$241-EFEITO!$K$241*EFEITO!$Y$241</f>
        <v>143.28541247772955</v>
      </c>
      <c r="N241" s="55">
        <f>$K$241-EFEITO!$M$241*EFEITO!$Z$241</f>
        <v>0</v>
      </c>
      <c r="O241" s="55">
        <f>$L$241-EFEITO!$O$241*EFEITO!$AA$241</f>
        <v>0</v>
      </c>
      <c r="P241" s="39"/>
      <c r="Q241" s="39"/>
      <c r="R241" s="39"/>
      <c r="S241" s="39"/>
      <c r="T241" s="39"/>
      <c r="U241" s="39"/>
      <c r="V241" s="39"/>
      <c r="W241" s="39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35" t="s">
        <v>28</v>
      </c>
      <c r="B242" s="35" t="s">
        <v>35</v>
      </c>
      <c r="C242" s="35" t="s">
        <v>36</v>
      </c>
      <c r="D242" s="35" t="s">
        <v>41</v>
      </c>
      <c r="E242" s="35" t="s">
        <v>25</v>
      </c>
      <c r="F242" s="35" t="s">
        <v>25</v>
      </c>
      <c r="G242" s="35" t="s">
        <v>25</v>
      </c>
      <c r="H242" s="35" t="s">
        <v>25</v>
      </c>
      <c r="I242" s="54">
        <v>44440</v>
      </c>
      <c r="J242" s="55">
        <f ca="1">EFEITO!$J$242*EFEITO!$Y$143</f>
        <v>21389.728841100026</v>
      </c>
      <c r="K242" s="55">
        <f>EFEITO!$L$242*EFEITO!$Z$143</f>
        <v>0</v>
      </c>
      <c r="L242" s="55">
        <f>EFEITO!$N$242*EFEITO!$AA$143</f>
        <v>0</v>
      </c>
      <c r="M242" s="55">
        <f ca="1">$J$242-EFEITO!$K$242*EFEITO!$Y$242</f>
        <v>427.79457682200155</v>
      </c>
      <c r="N242" s="55">
        <f>$K$242-EFEITO!$M$242*EFEITO!$Z$242</f>
        <v>0</v>
      </c>
      <c r="O242" s="55">
        <f>$L$242-EFEITO!$O$242*EFEITO!$AA$242</f>
        <v>0</v>
      </c>
      <c r="P242" s="39"/>
      <c r="Q242" s="39"/>
      <c r="R242" s="39"/>
      <c r="S242" s="39"/>
      <c r="T242" s="39"/>
      <c r="U242" s="39"/>
      <c r="V242" s="39"/>
      <c r="W242" s="39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35" t="s">
        <v>21</v>
      </c>
      <c r="B243" s="35" t="s">
        <v>35</v>
      </c>
      <c r="C243" s="35" t="s">
        <v>36</v>
      </c>
      <c r="D243" s="35" t="s">
        <v>41</v>
      </c>
      <c r="E243" s="35" t="s">
        <v>25</v>
      </c>
      <c r="F243" s="35" t="s">
        <v>25</v>
      </c>
      <c r="G243" s="35" t="s">
        <v>25</v>
      </c>
      <c r="H243" s="35" t="s">
        <v>25</v>
      </c>
      <c r="I243" s="54">
        <v>44470</v>
      </c>
      <c r="J243" s="55">
        <f ca="1">EFEITO!$J$243*EFEITO!$Y$143</f>
        <v>9071.3066892376009</v>
      </c>
      <c r="K243" s="55">
        <f>EFEITO!$L$243*EFEITO!$Z$143</f>
        <v>0</v>
      </c>
      <c r="L243" s="55">
        <f>EFEITO!$N$243*EFEITO!$AA$143</f>
        <v>0</v>
      </c>
      <c r="M243" s="55">
        <f ca="1">$J$243-EFEITO!$K$243*EFEITO!$Y$243</f>
        <v>181.42613378475107</v>
      </c>
      <c r="N243" s="55">
        <f>$K$243-EFEITO!$M$243*EFEITO!$Z$243</f>
        <v>0</v>
      </c>
      <c r="O243" s="55">
        <f>$L$243-EFEITO!$O$243*EFEITO!$AA$243</f>
        <v>0</v>
      </c>
      <c r="P243" s="39"/>
      <c r="Q243" s="39"/>
      <c r="R243" s="39"/>
      <c r="S243" s="39"/>
      <c r="T243" s="39"/>
      <c r="U243" s="39"/>
      <c r="V243" s="39"/>
      <c r="W243" s="39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35" t="s">
        <v>28</v>
      </c>
      <c r="B244" s="35" t="s">
        <v>35</v>
      </c>
      <c r="C244" s="35" t="s">
        <v>36</v>
      </c>
      <c r="D244" s="35" t="s">
        <v>41</v>
      </c>
      <c r="E244" s="35" t="s">
        <v>25</v>
      </c>
      <c r="F244" s="35" t="s">
        <v>25</v>
      </c>
      <c r="G244" s="35" t="s">
        <v>25</v>
      </c>
      <c r="H244" s="35" t="s">
        <v>25</v>
      </c>
      <c r="I244" s="54">
        <v>44470</v>
      </c>
      <c r="J244" s="55">
        <f ca="1">EFEITO!$J$244*EFEITO!$Y$143</f>
        <v>25306.884002361716</v>
      </c>
      <c r="K244" s="55">
        <f>EFEITO!$L$244*EFEITO!$Z$143</f>
        <v>0</v>
      </c>
      <c r="L244" s="55">
        <f>EFEITO!$N$244*EFEITO!$AA$143</f>
        <v>0</v>
      </c>
      <c r="M244" s="55">
        <f ca="1">$J$244-EFEITO!$K$244*EFEITO!$Y$244</f>
        <v>506.1376800472317</v>
      </c>
      <c r="N244" s="55">
        <f>$K$244-EFEITO!$M$244*EFEITO!$Z$244</f>
        <v>0</v>
      </c>
      <c r="O244" s="55">
        <f>$L$244-EFEITO!$O$244*EFEITO!$AA$244</f>
        <v>0</v>
      </c>
      <c r="P244" s="39"/>
      <c r="Q244" s="39"/>
      <c r="R244" s="39"/>
      <c r="S244" s="39"/>
      <c r="T244" s="39"/>
      <c r="U244" s="39"/>
      <c r="V244" s="39"/>
      <c r="W244" s="39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35" t="s">
        <v>21</v>
      </c>
      <c r="B245" s="35" t="s">
        <v>35</v>
      </c>
      <c r="C245" s="35" t="s">
        <v>36</v>
      </c>
      <c r="D245" s="35" t="s">
        <v>41</v>
      </c>
      <c r="E245" s="35" t="s">
        <v>25</v>
      </c>
      <c r="F245" s="35" t="s">
        <v>25</v>
      </c>
      <c r="G245" s="35" t="s">
        <v>25</v>
      </c>
      <c r="H245" s="35" t="s">
        <v>25</v>
      </c>
      <c r="I245" s="54">
        <v>44501</v>
      </c>
      <c r="J245" s="55">
        <f ca="1">EFEITO!$J$245*EFEITO!$Y$143</f>
        <v>10359.844571231579</v>
      </c>
      <c r="K245" s="55">
        <f>EFEITO!$L$245*EFEITO!$Z$143</f>
        <v>0</v>
      </c>
      <c r="L245" s="55">
        <f>EFEITO!$N$245*EFEITO!$AA$143</f>
        <v>0</v>
      </c>
      <c r="M245" s="55">
        <f ca="1">$J$245-EFEITO!$K$245*EFEITO!$Y$245</f>
        <v>207.19689142463176</v>
      </c>
      <c r="N245" s="55">
        <f>$K$245-EFEITO!$M$245*EFEITO!$Z$245</f>
        <v>0</v>
      </c>
      <c r="O245" s="55">
        <f>$L$245-EFEITO!$O$245*EFEITO!$AA$245</f>
        <v>0</v>
      </c>
      <c r="P245" s="39"/>
      <c r="Q245" s="39"/>
      <c r="R245" s="39"/>
      <c r="S245" s="39"/>
      <c r="T245" s="39"/>
      <c r="U245" s="39"/>
      <c r="V245" s="39"/>
      <c r="W245" s="39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35" t="s">
        <v>28</v>
      </c>
      <c r="B246" s="35" t="s">
        <v>35</v>
      </c>
      <c r="C246" s="35" t="s">
        <v>36</v>
      </c>
      <c r="D246" s="35" t="s">
        <v>41</v>
      </c>
      <c r="E246" s="35" t="s">
        <v>25</v>
      </c>
      <c r="F246" s="35" t="s">
        <v>25</v>
      </c>
      <c r="G246" s="35" t="s">
        <v>25</v>
      </c>
      <c r="H246" s="35" t="s">
        <v>25</v>
      </c>
      <c r="I246" s="54">
        <v>44501</v>
      </c>
      <c r="J246" s="55">
        <f ca="1">EFEITO!$J$246*EFEITO!$Y$143</f>
        <v>27162.378552433045</v>
      </c>
      <c r="K246" s="55">
        <f>EFEITO!$L$246*EFEITO!$Z$143</f>
        <v>0</v>
      </c>
      <c r="L246" s="55">
        <f>EFEITO!$N$246*EFEITO!$AA$143</f>
        <v>0</v>
      </c>
      <c r="M246" s="55">
        <f ca="1">$J$246-EFEITO!$K$246*EFEITO!$Y$246</f>
        <v>543.24757104866148</v>
      </c>
      <c r="N246" s="55">
        <f>$K$246-EFEITO!$M$246*EFEITO!$Z$246</f>
        <v>0</v>
      </c>
      <c r="O246" s="55">
        <f>$L$246-EFEITO!$O$246*EFEITO!$AA$246</f>
        <v>0</v>
      </c>
      <c r="P246" s="39"/>
      <c r="Q246" s="39"/>
      <c r="R246" s="39"/>
      <c r="S246" s="39"/>
      <c r="T246" s="39"/>
      <c r="U246" s="39"/>
      <c r="V246" s="39"/>
      <c r="W246" s="39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35" t="s">
        <v>21</v>
      </c>
      <c r="B247" s="35" t="s">
        <v>35</v>
      </c>
      <c r="C247" s="35" t="s">
        <v>36</v>
      </c>
      <c r="D247" s="35" t="s">
        <v>41</v>
      </c>
      <c r="E247" s="35" t="s">
        <v>25</v>
      </c>
      <c r="F247" s="35" t="s">
        <v>25</v>
      </c>
      <c r="G247" s="35" t="s">
        <v>25</v>
      </c>
      <c r="H247" s="35" t="s">
        <v>25</v>
      </c>
      <c r="I247" s="54">
        <v>44531</v>
      </c>
      <c r="J247" s="55">
        <f ca="1">EFEITO!$J$247*EFEITO!$Y$143</f>
        <v>7112.7291086067553</v>
      </c>
      <c r="K247" s="55">
        <f>EFEITO!$L$247*EFEITO!$Z$143</f>
        <v>0</v>
      </c>
      <c r="L247" s="55">
        <f>EFEITO!$N$247*EFEITO!$AA$143</f>
        <v>0</v>
      </c>
      <c r="M247" s="55">
        <f ca="1">$J$247-EFEITO!$K$247*EFEITO!$Y$247</f>
        <v>142.25458217213509</v>
      </c>
      <c r="N247" s="55">
        <f>$K$247-EFEITO!$M$247*EFEITO!$Z$247</f>
        <v>0</v>
      </c>
      <c r="O247" s="55">
        <f>$L$247-EFEITO!$O$247*EFEITO!$AA$247</f>
        <v>0</v>
      </c>
      <c r="P247" s="39"/>
      <c r="Q247" s="39"/>
      <c r="R247" s="39"/>
      <c r="S247" s="39"/>
      <c r="T247" s="39"/>
      <c r="U247" s="39"/>
      <c r="V247" s="39"/>
      <c r="W247" s="39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35" t="s">
        <v>28</v>
      </c>
      <c r="B248" s="35" t="s">
        <v>35</v>
      </c>
      <c r="C248" s="35" t="s">
        <v>36</v>
      </c>
      <c r="D248" s="35" t="s">
        <v>41</v>
      </c>
      <c r="E248" s="35" t="s">
        <v>25</v>
      </c>
      <c r="F248" s="35" t="s">
        <v>25</v>
      </c>
      <c r="G248" s="35" t="s">
        <v>25</v>
      </c>
      <c r="H248" s="35" t="s">
        <v>25</v>
      </c>
      <c r="I248" s="54">
        <v>44531</v>
      </c>
      <c r="J248" s="55">
        <f ca="1">EFEITO!$J$248*EFEITO!$Y$143</f>
        <v>17060.24155760026</v>
      </c>
      <c r="K248" s="55">
        <f>EFEITO!$L$248*EFEITO!$Z$143</f>
        <v>0</v>
      </c>
      <c r="L248" s="55">
        <f>EFEITO!$N$248*EFEITO!$AA$143</f>
        <v>0</v>
      </c>
      <c r="M248" s="55">
        <f ca="1">$J$248-EFEITO!$K$248*EFEITO!$Y$248</f>
        <v>341.20483115200477</v>
      </c>
      <c r="N248" s="55">
        <f>$K$248-EFEITO!$M$248*EFEITO!$Z$248</f>
        <v>0</v>
      </c>
      <c r="O248" s="55">
        <f>$L$248-EFEITO!$O$248*EFEITO!$AA$248</f>
        <v>0</v>
      </c>
      <c r="P248" s="39"/>
      <c r="Q248" s="39"/>
      <c r="R248" s="39"/>
      <c r="S248" s="39"/>
      <c r="T248" s="39"/>
      <c r="U248" s="39"/>
      <c r="V248" s="39"/>
      <c r="W248" s="39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35" t="s">
        <v>21</v>
      </c>
      <c r="B249" s="35" t="s">
        <v>35</v>
      </c>
      <c r="C249" s="35" t="s">
        <v>36</v>
      </c>
      <c r="D249" s="35" t="s">
        <v>41</v>
      </c>
      <c r="E249" s="35" t="s">
        <v>25</v>
      </c>
      <c r="F249" s="35" t="s">
        <v>25</v>
      </c>
      <c r="G249" s="35" t="s">
        <v>25</v>
      </c>
      <c r="H249" s="35" t="s">
        <v>25</v>
      </c>
      <c r="I249" s="54">
        <v>44562</v>
      </c>
      <c r="J249" s="55">
        <f ca="1">EFEITO!$J$249*EFEITO!$Y$143</f>
        <v>7215.8121391662735</v>
      </c>
      <c r="K249" s="55">
        <f>EFEITO!$L$249*EFEITO!$Z$143</f>
        <v>0</v>
      </c>
      <c r="L249" s="55">
        <f>EFEITO!$N$249*EFEITO!$AA$143</f>
        <v>0</v>
      </c>
      <c r="M249" s="55">
        <f ca="1">$J$249-EFEITO!$K$249*EFEITO!$Y$249</f>
        <v>144.31624278332492</v>
      </c>
      <c r="N249" s="55">
        <f>$K$249-EFEITO!$M$249*EFEITO!$Z$249</f>
        <v>0</v>
      </c>
      <c r="O249" s="55">
        <f>$L$249-EFEITO!$O$249*EFEITO!$AA$249</f>
        <v>0</v>
      </c>
      <c r="P249" s="39"/>
      <c r="Q249" s="39"/>
      <c r="R249" s="39"/>
      <c r="S249" s="39"/>
      <c r="T249" s="39"/>
      <c r="U249" s="39"/>
      <c r="V249" s="39"/>
      <c r="W249" s="39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35" t="s">
        <v>28</v>
      </c>
      <c r="B250" s="35" t="s">
        <v>35</v>
      </c>
      <c r="C250" s="35" t="s">
        <v>36</v>
      </c>
      <c r="D250" s="35" t="s">
        <v>41</v>
      </c>
      <c r="E250" s="35" t="s">
        <v>25</v>
      </c>
      <c r="F250" s="35" t="s">
        <v>25</v>
      </c>
      <c r="G250" s="35" t="s">
        <v>25</v>
      </c>
      <c r="H250" s="35" t="s">
        <v>25</v>
      </c>
      <c r="I250" s="54">
        <v>44562</v>
      </c>
      <c r="J250" s="55">
        <f ca="1">EFEITO!$J$250*EFEITO!$Y$143</f>
        <v>20565.064596623881</v>
      </c>
      <c r="K250" s="55">
        <f>EFEITO!$L$250*EFEITO!$Z$143</f>
        <v>0</v>
      </c>
      <c r="L250" s="55">
        <f>EFEITO!$N$250*EFEITO!$AA$143</f>
        <v>0</v>
      </c>
      <c r="M250" s="55">
        <f ca="1">$J$250-EFEITO!$K$250*EFEITO!$Y$250</f>
        <v>411.30129193247922</v>
      </c>
      <c r="N250" s="55">
        <f>$K$250-EFEITO!$M$250*EFEITO!$Z$250</f>
        <v>0</v>
      </c>
      <c r="O250" s="55">
        <f>$L$250-EFEITO!$O$250*EFEITO!$AA$250</f>
        <v>0</v>
      </c>
      <c r="P250" s="39"/>
      <c r="Q250" s="39"/>
      <c r="R250" s="39"/>
      <c r="S250" s="39"/>
      <c r="T250" s="39"/>
      <c r="U250" s="39"/>
      <c r="V250" s="39"/>
      <c r="W250" s="39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35" t="s">
        <v>21</v>
      </c>
      <c r="B251" s="35" t="s">
        <v>35</v>
      </c>
      <c r="C251" s="35" t="s">
        <v>36</v>
      </c>
      <c r="D251" s="35" t="s">
        <v>41</v>
      </c>
      <c r="E251" s="35" t="s">
        <v>25</v>
      </c>
      <c r="F251" s="35" t="s">
        <v>25</v>
      </c>
      <c r="G251" s="35" t="s">
        <v>25</v>
      </c>
      <c r="H251" s="35" t="s">
        <v>25</v>
      </c>
      <c r="I251" s="54">
        <v>44593</v>
      </c>
      <c r="J251" s="55">
        <f ca="1">EFEITO!$J$251*EFEITO!$Y$143</f>
        <v>5463.4006196544642</v>
      </c>
      <c r="K251" s="55">
        <f>EFEITO!$L$251*EFEITO!$Z$143</f>
        <v>0</v>
      </c>
      <c r="L251" s="55">
        <f>EFEITO!$N$251*EFEITO!$AA$143</f>
        <v>0</v>
      </c>
      <c r="M251" s="55">
        <f ca="1">$J$251-EFEITO!$K$251*EFEITO!$Y$251</f>
        <v>109.26801239308952</v>
      </c>
      <c r="N251" s="55">
        <f>$K$251-EFEITO!$M$251*EFEITO!$Z$251</f>
        <v>0</v>
      </c>
      <c r="O251" s="55">
        <f>$L$251-EFEITO!$O$251*EFEITO!$AA$251</f>
        <v>0</v>
      </c>
      <c r="P251" s="39"/>
      <c r="Q251" s="39"/>
      <c r="R251" s="39"/>
      <c r="S251" s="39"/>
      <c r="T251" s="39"/>
      <c r="U251" s="39"/>
      <c r="V251" s="39"/>
      <c r="W251" s="39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35" t="s">
        <v>28</v>
      </c>
      <c r="B252" s="35" t="s">
        <v>35</v>
      </c>
      <c r="C252" s="35" t="s">
        <v>36</v>
      </c>
      <c r="D252" s="35" t="s">
        <v>41</v>
      </c>
      <c r="E252" s="35" t="s">
        <v>25</v>
      </c>
      <c r="F252" s="35" t="s">
        <v>25</v>
      </c>
      <c r="G252" s="35" t="s">
        <v>25</v>
      </c>
      <c r="H252" s="35" t="s">
        <v>25</v>
      </c>
      <c r="I252" s="54">
        <v>44593</v>
      </c>
      <c r="J252" s="55">
        <f ca="1">EFEITO!$J$252*EFEITO!$Y$143</f>
        <v>17163.32458815978</v>
      </c>
      <c r="K252" s="55">
        <f>EFEITO!$L$252*EFEITO!$Z$143</f>
        <v>0</v>
      </c>
      <c r="L252" s="55">
        <f>EFEITO!$N$252*EFEITO!$AA$143</f>
        <v>0</v>
      </c>
      <c r="M252" s="55">
        <f ca="1">$J$252-EFEITO!$K$252*EFEITO!$Y$252</f>
        <v>343.26649176319552</v>
      </c>
      <c r="N252" s="55">
        <f>$K$252-EFEITO!$M$252*EFEITO!$Z$252</f>
        <v>0</v>
      </c>
      <c r="O252" s="55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35" t="s">
        <v>21</v>
      </c>
      <c r="B253" s="35" t="s">
        <v>35</v>
      </c>
      <c r="C253" s="35" t="s">
        <v>36</v>
      </c>
      <c r="D253" s="35" t="s">
        <v>41</v>
      </c>
      <c r="E253" s="35" t="s">
        <v>25</v>
      </c>
      <c r="F253" s="35" t="s">
        <v>25</v>
      </c>
      <c r="G253" s="35" t="s">
        <v>25</v>
      </c>
      <c r="H253" s="35" t="s">
        <v>25</v>
      </c>
      <c r="I253" s="54">
        <v>44621</v>
      </c>
      <c r="J253" s="55">
        <f ca="1">EFEITO!$J$253*EFEITO!$Y$143</f>
        <v>14637.790339451583</v>
      </c>
      <c r="K253" s="55">
        <f>EFEITO!$L$253*EFEITO!$Z$143</f>
        <v>0</v>
      </c>
      <c r="L253" s="55">
        <f>EFEITO!$N$253*EFEITO!$AA$143</f>
        <v>0</v>
      </c>
      <c r="M253" s="55">
        <f ca="1">$J$253-EFEITO!$K$253*EFEITO!$Y$253</f>
        <v>292.75580678903134</v>
      </c>
      <c r="N253" s="55">
        <f>$K$253-EFEITO!$M$253*EFEITO!$Z$253</f>
        <v>0</v>
      </c>
      <c r="O253" s="55">
        <f>$L$253-EFEITO!$O$253*EFEITO!$AA$253</f>
        <v>0</v>
      </c>
      <c r="P253" s="39"/>
      <c r="Q253" s="39"/>
      <c r="R253" s="39"/>
      <c r="S253" s="39"/>
      <c r="T253" s="39"/>
      <c r="U253" s="39"/>
      <c r="V253" s="39"/>
      <c r="W253" s="39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35" t="s">
        <v>28</v>
      </c>
      <c r="B254" s="35" t="s">
        <v>35</v>
      </c>
      <c r="C254" s="35" t="s">
        <v>36</v>
      </c>
      <c r="D254" s="35" t="s">
        <v>41</v>
      </c>
      <c r="E254" s="35" t="s">
        <v>25</v>
      </c>
      <c r="F254" s="35" t="s">
        <v>25</v>
      </c>
      <c r="G254" s="35" t="s">
        <v>25</v>
      </c>
      <c r="H254" s="35" t="s">
        <v>25</v>
      </c>
      <c r="I254" s="54">
        <v>44621</v>
      </c>
      <c r="J254" s="55">
        <f ca="1">EFEITO!$J$254*EFEITO!$Y$143</f>
        <v>19482.692775748939</v>
      </c>
      <c r="K254" s="55">
        <f>EFEITO!$L$254*EFEITO!$Z$143</f>
        <v>0</v>
      </c>
      <c r="L254" s="55">
        <f>EFEITO!$N$254*EFEITO!$AA$143</f>
        <v>0</v>
      </c>
      <c r="M254" s="55">
        <f ca="1">$J$254-EFEITO!$K$254*EFEITO!$Y$254</f>
        <v>389.6538555149782</v>
      </c>
      <c r="N254" s="55">
        <f>$K$254-EFEITO!$M$254*EFEITO!$Z$254</f>
        <v>0</v>
      </c>
      <c r="O254" s="55">
        <f>$L$254-EFEITO!$O$254*EFEITO!$AA$254</f>
        <v>0</v>
      </c>
      <c r="P254" s="39"/>
      <c r="Q254" s="39"/>
      <c r="R254" s="39"/>
      <c r="S254" s="39"/>
      <c r="T254" s="39"/>
      <c r="U254" s="39"/>
      <c r="V254" s="39"/>
      <c r="W254" s="39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35" t="s">
        <v>28</v>
      </c>
      <c r="B255" s="35" t="s">
        <v>35</v>
      </c>
      <c r="C255" s="35" t="s">
        <v>36</v>
      </c>
      <c r="D255" s="35" t="s">
        <v>41</v>
      </c>
      <c r="E255" s="35" t="s">
        <v>25</v>
      </c>
      <c r="F255" s="35" t="s">
        <v>25</v>
      </c>
      <c r="G255" s="35" t="s">
        <v>25</v>
      </c>
      <c r="H255" s="35" t="s">
        <v>25</v>
      </c>
      <c r="I255" s="54">
        <v>44621</v>
      </c>
      <c r="J255" s="55">
        <f ca="1">EFEITO!$J$255*EFEITO!$Y$143</f>
        <v>-154.62454583927729</v>
      </c>
      <c r="K255" s="55">
        <f>EFEITO!$L$255*EFEITO!$Z$143</f>
        <v>0</v>
      </c>
      <c r="L255" s="55">
        <f>EFEITO!$N$255*EFEITO!$AA$143</f>
        <v>0</v>
      </c>
      <c r="M255" s="55">
        <f ca="1">$J$255-EFEITO!$K$255*EFEITO!$Y$255</f>
        <v>-3.0924909167855503</v>
      </c>
      <c r="N255" s="55">
        <f>$K$255-EFEITO!$M$255*EFEITO!$Z$255</f>
        <v>0</v>
      </c>
      <c r="O255" s="55">
        <f>$L$255-EFEITO!$O$255*EFEITO!$AA$255</f>
        <v>0</v>
      </c>
      <c r="P255" s="39"/>
      <c r="Q255" s="39"/>
      <c r="R255" s="39"/>
      <c r="S255" s="39"/>
      <c r="T255" s="39"/>
      <c r="U255" s="39"/>
      <c r="V255" s="39"/>
      <c r="W255" s="39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35" t="s">
        <v>21</v>
      </c>
      <c r="B256" s="35" t="s">
        <v>35</v>
      </c>
      <c r="C256" s="35" t="s">
        <v>36</v>
      </c>
      <c r="D256" s="35" t="s">
        <v>41</v>
      </c>
      <c r="E256" s="35" t="s">
        <v>25</v>
      </c>
      <c r="F256" s="35" t="s">
        <v>25</v>
      </c>
      <c r="G256" s="35" t="s">
        <v>25</v>
      </c>
      <c r="H256" s="35" t="s">
        <v>25</v>
      </c>
      <c r="I256" s="54">
        <v>44652</v>
      </c>
      <c r="J256" s="55">
        <f ca="1">EFEITO!$J$256*EFEITO!$Y$143</f>
        <v>16441.743374243153</v>
      </c>
      <c r="K256" s="55">
        <f>EFEITO!$L$256*EFEITO!$Z$143</f>
        <v>0</v>
      </c>
      <c r="L256" s="55">
        <f>EFEITO!$N$256*EFEITO!$AA$143</f>
        <v>0</v>
      </c>
      <c r="M256" s="55">
        <f ca="1">$J$256-EFEITO!$K$256*EFEITO!$Y$256</f>
        <v>328.83486748486393</v>
      </c>
      <c r="N256" s="55">
        <f>$K$256-EFEITO!$M$256*EFEITO!$Z$256</f>
        <v>0</v>
      </c>
      <c r="O256" s="55">
        <f>$L$256-EFEITO!$O$256*EFEITO!$AA$256</f>
        <v>0</v>
      </c>
      <c r="P256" s="39"/>
      <c r="Q256" s="39"/>
      <c r="R256" s="39"/>
      <c r="S256" s="39"/>
      <c r="T256" s="39"/>
      <c r="U256" s="39"/>
      <c r="V256" s="39"/>
      <c r="W256" s="39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35" t="s">
        <v>28</v>
      </c>
      <c r="B257" s="35" t="s">
        <v>35</v>
      </c>
      <c r="C257" s="35" t="s">
        <v>36</v>
      </c>
      <c r="D257" s="35" t="s">
        <v>41</v>
      </c>
      <c r="E257" s="35" t="s">
        <v>25</v>
      </c>
      <c r="F257" s="35" t="s">
        <v>25</v>
      </c>
      <c r="G257" s="35" t="s">
        <v>25</v>
      </c>
      <c r="H257" s="35" t="s">
        <v>25</v>
      </c>
      <c r="I257" s="54">
        <v>44652</v>
      </c>
      <c r="J257" s="55">
        <f ca="1">EFEITO!$J$257*EFEITO!$Y$143</f>
        <v>41851.710407164384</v>
      </c>
      <c r="K257" s="55">
        <f>EFEITO!$L$257*EFEITO!$Z$143</f>
        <v>0</v>
      </c>
      <c r="L257" s="55">
        <f>EFEITO!$N$257*EFEITO!$AA$143</f>
        <v>0</v>
      </c>
      <c r="M257" s="55">
        <f ca="1">$J$257-EFEITO!$K$257*EFEITO!$Y$257</f>
        <v>837.03420814328274</v>
      </c>
      <c r="N257" s="55">
        <f>$K$257-EFEITO!$M$257*EFEITO!$Z$257</f>
        <v>0</v>
      </c>
      <c r="O257" s="55">
        <f>$L$257-EFEITO!$O$257*EFEITO!$AA$257</f>
        <v>0</v>
      </c>
      <c r="P257" s="39"/>
      <c r="Q257" s="39"/>
      <c r="R257" s="39"/>
      <c r="S257" s="39"/>
      <c r="T257" s="39"/>
      <c r="U257" s="39"/>
      <c r="V257" s="39"/>
      <c r="W257" s="39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35" t="s">
        <v>21</v>
      </c>
      <c r="B258" s="35" t="s">
        <v>35</v>
      </c>
      <c r="C258" s="35" t="s">
        <v>36</v>
      </c>
      <c r="D258" s="35" t="s">
        <v>41</v>
      </c>
      <c r="E258" s="35" t="s">
        <v>25</v>
      </c>
      <c r="F258" s="35" t="s">
        <v>25</v>
      </c>
      <c r="G258" s="35" t="s">
        <v>25</v>
      </c>
      <c r="H258" s="35" t="s">
        <v>25</v>
      </c>
      <c r="I258" s="54">
        <v>44682</v>
      </c>
      <c r="J258" s="55">
        <f ca="1">EFEITO!$J$258*EFEITO!$Y$143</f>
        <v>19585.775806308455</v>
      </c>
      <c r="K258" s="55">
        <f>EFEITO!$L$258*EFEITO!$Z$143</f>
        <v>0</v>
      </c>
      <c r="L258" s="55">
        <f>EFEITO!$N$258*EFEITO!$AA$143</f>
        <v>0</v>
      </c>
      <c r="M258" s="55">
        <f ca="1">$J$258-EFEITO!$K$258*EFEITO!$Y$258</f>
        <v>391.71551612616531</v>
      </c>
      <c r="N258" s="55">
        <f>$K$258-EFEITO!$M$258*EFEITO!$Z$258</f>
        <v>0</v>
      </c>
      <c r="O258" s="55">
        <f>$L$258-EFEITO!$O$258*EFEITO!$AA$258</f>
        <v>0</v>
      </c>
      <c r="P258" s="39"/>
      <c r="Q258" s="39"/>
      <c r="R258" s="39"/>
      <c r="S258" s="39"/>
      <c r="T258" s="39"/>
      <c r="U258" s="39"/>
      <c r="V258" s="39"/>
      <c r="W258" s="39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35" t="s">
        <v>28</v>
      </c>
      <c r="B259" s="35" t="s">
        <v>35</v>
      </c>
      <c r="C259" s="35" t="s">
        <v>36</v>
      </c>
      <c r="D259" s="35" t="s">
        <v>41</v>
      </c>
      <c r="E259" s="35" t="s">
        <v>25</v>
      </c>
      <c r="F259" s="35" t="s">
        <v>25</v>
      </c>
      <c r="G259" s="35" t="s">
        <v>25</v>
      </c>
      <c r="H259" s="35" t="s">
        <v>25</v>
      </c>
      <c r="I259" s="54">
        <v>44682</v>
      </c>
      <c r="J259" s="55">
        <f ca="1">EFEITO!$J$259*EFEITO!$Y$143</f>
        <v>39583.883734854986</v>
      </c>
      <c r="K259" s="55">
        <f>EFEITO!$L$259*EFEITO!$Z$143</f>
        <v>0</v>
      </c>
      <c r="L259" s="55">
        <f>EFEITO!$N$259*EFEITO!$AA$143</f>
        <v>0</v>
      </c>
      <c r="M259" s="55">
        <f ca="1">$J$259-EFEITO!$K$259*EFEITO!$Y$259</f>
        <v>791.67767469710088</v>
      </c>
      <c r="N259" s="55">
        <f>$K$259-EFEITO!$M$259*EFEITO!$Z$259</f>
        <v>0</v>
      </c>
      <c r="O259" s="55">
        <f>$L$259-EFEITO!$O$259*EFEITO!$AA$259</f>
        <v>0</v>
      </c>
      <c r="P259" s="39"/>
      <c r="Q259" s="39"/>
      <c r="R259" s="39"/>
      <c r="S259" s="39"/>
      <c r="T259" s="39"/>
      <c r="U259" s="39"/>
      <c r="V259" s="39"/>
      <c r="W259" s="39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35" t="s">
        <v>21</v>
      </c>
      <c r="B260" s="35" t="s">
        <v>35</v>
      </c>
      <c r="C260" s="35" t="s">
        <v>36</v>
      </c>
      <c r="D260" s="35" t="s">
        <v>41</v>
      </c>
      <c r="E260" s="35" t="s">
        <v>25</v>
      </c>
      <c r="F260" s="35" t="s">
        <v>25</v>
      </c>
      <c r="G260" s="35" t="s">
        <v>25</v>
      </c>
      <c r="H260" s="35" t="s">
        <v>25</v>
      </c>
      <c r="I260" s="54">
        <v>44713</v>
      </c>
      <c r="J260" s="55">
        <f ca="1">EFEITO!$J$260*EFEITO!$Y$143</f>
        <v>22523.642177254726</v>
      </c>
      <c r="K260" s="55">
        <f>EFEITO!$L$260*EFEITO!$Z$143</f>
        <v>0</v>
      </c>
      <c r="L260" s="55">
        <f>EFEITO!$N$260*EFEITO!$AA$143</f>
        <v>0</v>
      </c>
      <c r="M260" s="55">
        <f ca="1">$J$260-EFEITO!$K$260*EFEITO!$Y$260</f>
        <v>450.47284354509611</v>
      </c>
      <c r="N260" s="55">
        <f>$K$260-EFEITO!$M$260*EFEITO!$Z$260</f>
        <v>0</v>
      </c>
      <c r="O260" s="55">
        <f>$L$260-EFEITO!$O$260*EFEITO!$AA$260</f>
        <v>0</v>
      </c>
      <c r="P260" s="39"/>
      <c r="Q260" s="39"/>
      <c r="R260" s="39"/>
      <c r="S260" s="39"/>
      <c r="T260" s="39"/>
      <c r="U260" s="39"/>
      <c r="V260" s="39"/>
      <c r="W260" s="39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35" t="s">
        <v>28</v>
      </c>
      <c r="B261" s="35" t="s">
        <v>35</v>
      </c>
      <c r="C261" s="35" t="s">
        <v>36</v>
      </c>
      <c r="D261" s="35" t="s">
        <v>41</v>
      </c>
      <c r="E261" s="35" t="s">
        <v>25</v>
      </c>
      <c r="F261" s="35" t="s">
        <v>25</v>
      </c>
      <c r="G261" s="35" t="s">
        <v>25</v>
      </c>
      <c r="H261" s="35" t="s">
        <v>25</v>
      </c>
      <c r="I261" s="54">
        <v>44713</v>
      </c>
      <c r="J261" s="55">
        <f ca="1">EFEITO!$J$261*EFEITO!$Y$143</f>
        <v>36079.060695831366</v>
      </c>
      <c r="K261" s="55">
        <f>EFEITO!$L$261*EFEITO!$Z$143</f>
        <v>0</v>
      </c>
      <c r="L261" s="55">
        <f>EFEITO!$N$261*EFEITO!$AA$143</f>
        <v>0</v>
      </c>
      <c r="M261" s="55">
        <f ca="1">$J$261-EFEITO!$K$261*EFEITO!$Y$261</f>
        <v>721.5812139166228</v>
      </c>
      <c r="N261" s="55">
        <f>$K$261-EFEITO!$M$261*EFEITO!$Z$261</f>
        <v>0</v>
      </c>
      <c r="O261" s="55">
        <f>$L$261-EFEITO!$O$261*EFEITO!$AA$261</f>
        <v>0</v>
      </c>
      <c r="P261" s="39"/>
      <c r="Q261" s="39"/>
      <c r="R261" s="39"/>
      <c r="S261" s="39"/>
      <c r="T261" s="39"/>
      <c r="U261" s="39"/>
      <c r="V261" s="39"/>
      <c r="W261" s="39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35" t="s">
        <v>21</v>
      </c>
      <c r="B262" s="35" t="s">
        <v>35</v>
      </c>
      <c r="C262" s="35" t="s">
        <v>36</v>
      </c>
      <c r="D262" s="35" t="s">
        <v>41</v>
      </c>
      <c r="E262" s="35" t="s">
        <v>25</v>
      </c>
      <c r="F262" s="35" t="s">
        <v>25</v>
      </c>
      <c r="G262" s="35" t="s">
        <v>25</v>
      </c>
      <c r="H262" s="35" t="s">
        <v>37</v>
      </c>
      <c r="I262" s="54">
        <v>44378</v>
      </c>
      <c r="J262" s="55">
        <f>EFEITO!$J$262*EFEITO!$Y$157</f>
        <v>0</v>
      </c>
      <c r="K262" s="55">
        <f ca="1">EFEITO!$L$262*EFEITO!$Z$157</f>
        <v>3842.3551181120515</v>
      </c>
      <c r="L262" s="55">
        <f>EFEITO!$N$262*EFEITO!$AA$157</f>
        <v>585.72445219299016</v>
      </c>
      <c r="M262" s="55">
        <f>$J$262-EFEITO!$K$262*EFEITO!$Y$262</f>
        <v>0</v>
      </c>
      <c r="N262" s="55">
        <f ca="1">$K$262-EFEITO!$M$262*EFEITO!$Z$262</f>
        <v>76.847102362241458</v>
      </c>
      <c r="O262" s="55">
        <f>$L$262-EFEITO!$O$262*EFEITO!$AA$262</f>
        <v>11.714489043859771</v>
      </c>
      <c r="P262" s="39"/>
      <c r="Q262" s="39"/>
      <c r="R262" s="39"/>
      <c r="S262" s="39"/>
      <c r="T262" s="39"/>
      <c r="U262" s="39"/>
      <c r="V262" s="39"/>
      <c r="W262" s="39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35" t="s">
        <v>28</v>
      </c>
      <c r="B263" s="35" t="s">
        <v>35</v>
      </c>
      <c r="C263" s="35" t="s">
        <v>36</v>
      </c>
      <c r="D263" s="35" t="s">
        <v>41</v>
      </c>
      <c r="E263" s="35" t="s">
        <v>25</v>
      </c>
      <c r="F263" s="35" t="s">
        <v>25</v>
      </c>
      <c r="G263" s="35" t="s">
        <v>25</v>
      </c>
      <c r="H263" s="35" t="s">
        <v>37</v>
      </c>
      <c r="I263" s="54">
        <v>44378</v>
      </c>
      <c r="J263" s="55">
        <f>EFEITO!$J$263*EFEITO!$Y$157</f>
        <v>0</v>
      </c>
      <c r="K263" s="55">
        <f ca="1">EFEITO!$L$263*EFEITO!$Z$157</f>
        <v>-18185.494933206453</v>
      </c>
      <c r="L263" s="55">
        <f>EFEITO!$N$263*EFEITO!$AA$157</f>
        <v>-2772.1771492179196</v>
      </c>
      <c r="M263" s="55">
        <f>$J$263-EFEITO!$K$263*EFEITO!$Y$263</f>
        <v>0</v>
      </c>
      <c r="N263" s="55">
        <f ca="1">$K$263-EFEITO!$M$263*EFEITO!$Z$263</f>
        <v>-363.70989866412856</v>
      </c>
      <c r="O263" s="55">
        <f>$L$263-EFEITO!$O$263*EFEITO!$AA$263</f>
        <v>-55.443542984358373</v>
      </c>
      <c r="P263" s="39"/>
      <c r="Q263" s="39"/>
      <c r="R263" s="39"/>
      <c r="S263" s="39"/>
      <c r="T263" s="39"/>
      <c r="U263" s="39"/>
      <c r="V263" s="39"/>
      <c r="W263" s="39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35" t="s">
        <v>21</v>
      </c>
      <c r="B264" s="35" t="s">
        <v>35</v>
      </c>
      <c r="C264" s="35" t="s">
        <v>36</v>
      </c>
      <c r="D264" s="35" t="s">
        <v>41</v>
      </c>
      <c r="E264" s="35" t="s">
        <v>25</v>
      </c>
      <c r="F264" s="35" t="s">
        <v>25</v>
      </c>
      <c r="G264" s="35" t="s">
        <v>25</v>
      </c>
      <c r="H264" s="35" t="s">
        <v>37</v>
      </c>
      <c r="I264" s="54">
        <v>44409</v>
      </c>
      <c r="J264" s="55">
        <f>EFEITO!$J$264*EFEITO!$Y$157</f>
        <v>0</v>
      </c>
      <c r="K264" s="55">
        <f ca="1">EFEITO!$L$264*EFEITO!$Z$157</f>
        <v>5579.2648940844228</v>
      </c>
      <c r="L264" s="55">
        <f>EFEITO!$N$264*EFEITO!$AA$157</f>
        <v>850.49709703377835</v>
      </c>
      <c r="M264" s="55">
        <f>$J$264-EFEITO!$K$264*EFEITO!$Y$264</f>
        <v>0</v>
      </c>
      <c r="N264" s="55">
        <f ca="1">$K$264-EFEITO!$M$264*EFEITO!$Z$264</f>
        <v>111.58529788168835</v>
      </c>
      <c r="O264" s="55">
        <f>$L$264-EFEITO!$O$264*EFEITO!$AA$264</f>
        <v>17.009941940675617</v>
      </c>
      <c r="P264" s="39"/>
      <c r="Q264" s="39"/>
      <c r="R264" s="39"/>
      <c r="S264" s="39"/>
      <c r="T264" s="39"/>
      <c r="U264" s="39"/>
      <c r="V264" s="39"/>
      <c r="W264" s="39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35" t="s">
        <v>21</v>
      </c>
      <c r="B265" s="35" t="s">
        <v>35</v>
      </c>
      <c r="C265" s="35" t="s">
        <v>36</v>
      </c>
      <c r="D265" s="35" t="s">
        <v>41</v>
      </c>
      <c r="E265" s="35" t="s">
        <v>25</v>
      </c>
      <c r="F265" s="35" t="s">
        <v>25</v>
      </c>
      <c r="G265" s="35" t="s">
        <v>25</v>
      </c>
      <c r="H265" s="35" t="s">
        <v>37</v>
      </c>
      <c r="I265" s="54">
        <v>44440</v>
      </c>
      <c r="J265" s="55">
        <f>EFEITO!$J$265*EFEITO!$Y$157</f>
        <v>0</v>
      </c>
      <c r="K265" s="55">
        <f ca="1">EFEITO!$L$265*EFEITO!$Z$157</f>
        <v>4678.5838018818131</v>
      </c>
      <c r="L265" s="55">
        <f>EFEITO!$N$265*EFEITO!$AA$157</f>
        <v>713.19824694983015</v>
      </c>
      <c r="M265" s="55">
        <f>$J$265-EFEITO!$K$265*EFEITO!$Y$265</f>
        <v>0</v>
      </c>
      <c r="N265" s="55">
        <f ca="1">$K$265-EFEITO!$M$265*EFEITO!$Z$265</f>
        <v>93.57167603763628</v>
      </c>
      <c r="O265" s="55">
        <f>$L$265-EFEITO!$O$265*EFEITO!$AA$265</f>
        <v>14.263964938996651</v>
      </c>
      <c r="P265" s="39"/>
      <c r="Q265" s="39"/>
      <c r="R265" s="39"/>
      <c r="S265" s="39"/>
      <c r="T265" s="39"/>
      <c r="U265" s="39"/>
      <c r="V265" s="39"/>
      <c r="W265" s="39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35" t="s">
        <v>21</v>
      </c>
      <c r="B266" s="35" t="s">
        <v>35</v>
      </c>
      <c r="C266" s="35" t="s">
        <v>36</v>
      </c>
      <c r="D266" s="35" t="s">
        <v>41</v>
      </c>
      <c r="E266" s="35" t="s">
        <v>25</v>
      </c>
      <c r="F266" s="35" t="s">
        <v>25</v>
      </c>
      <c r="G266" s="35" t="s">
        <v>25</v>
      </c>
      <c r="H266" s="35" t="s">
        <v>37</v>
      </c>
      <c r="I266" s="54">
        <v>44470</v>
      </c>
      <c r="J266" s="55">
        <f>EFEITO!$J$266*EFEITO!$Y$157</f>
        <v>0</v>
      </c>
      <c r="K266" s="55">
        <f ca="1">EFEITO!$L$266*EFEITO!$Z$157</f>
        <v>4923.1724287551833</v>
      </c>
      <c r="L266" s="55">
        <f>EFEITO!$N$266*EFEITO!$AA$157</f>
        <v>750.48307229372801</v>
      </c>
      <c r="M266" s="55">
        <f>$J$266-EFEITO!$K$266*EFEITO!$Y$266</f>
        <v>0</v>
      </c>
      <c r="N266" s="55">
        <f ca="1">$K$266-EFEITO!$M$266*EFEITO!$Z$266</f>
        <v>98.463448575103939</v>
      </c>
      <c r="O266" s="55">
        <f>$L$266-EFEITO!$O$266*EFEITO!$AA$266</f>
        <v>15.009661445874599</v>
      </c>
      <c r="P266" s="39"/>
      <c r="Q266" s="39"/>
      <c r="R266" s="39"/>
      <c r="S266" s="39"/>
      <c r="T266" s="39"/>
      <c r="U266" s="39"/>
      <c r="V266" s="39"/>
      <c r="W266" s="39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35" t="s">
        <v>21</v>
      </c>
      <c r="B267" s="35" t="s">
        <v>35</v>
      </c>
      <c r="C267" s="35" t="s">
        <v>36</v>
      </c>
      <c r="D267" s="35" t="s">
        <v>41</v>
      </c>
      <c r="E267" s="35" t="s">
        <v>25</v>
      </c>
      <c r="F267" s="35" t="s">
        <v>25</v>
      </c>
      <c r="G267" s="35" t="s">
        <v>25</v>
      </c>
      <c r="H267" s="35" t="s">
        <v>37</v>
      </c>
      <c r="I267" s="54">
        <v>44501</v>
      </c>
      <c r="J267" s="55">
        <f>EFEITO!$J$267*EFEITO!$Y$157</f>
        <v>0</v>
      </c>
      <c r="K267" s="55">
        <f ca="1">EFEITO!$L$267*EFEITO!$Z$157</f>
        <v>5904.8321879631649</v>
      </c>
      <c r="L267" s="55">
        <f>EFEITO!$N$267*EFEITO!$AA$157</f>
        <v>900.12622266045321</v>
      </c>
      <c r="M267" s="55">
        <f>$J$267-EFEITO!$K$267*EFEITO!$Y$267</f>
        <v>0</v>
      </c>
      <c r="N267" s="55">
        <f ca="1">$K$267-EFEITO!$M$267*EFEITO!$Z$267</f>
        <v>118.09664375926332</v>
      </c>
      <c r="O267" s="55">
        <f>$L$267-EFEITO!$O$267*EFEITO!$AA$267</f>
        <v>18.002524453209048</v>
      </c>
      <c r="P267" s="39"/>
      <c r="Q267" s="39"/>
      <c r="R267" s="39"/>
      <c r="S267" s="39"/>
      <c r="T267" s="39"/>
      <c r="U267" s="39"/>
      <c r="V267" s="39"/>
      <c r="W267" s="39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35" t="s">
        <v>21</v>
      </c>
      <c r="B268" s="35" t="s">
        <v>35</v>
      </c>
      <c r="C268" s="35" t="s">
        <v>36</v>
      </c>
      <c r="D268" s="35" t="s">
        <v>41</v>
      </c>
      <c r="E268" s="35" t="s">
        <v>25</v>
      </c>
      <c r="F268" s="35" t="s">
        <v>25</v>
      </c>
      <c r="G268" s="35" t="s">
        <v>25</v>
      </c>
      <c r="H268" s="35" t="s">
        <v>37</v>
      </c>
      <c r="I268" s="54">
        <v>44531</v>
      </c>
      <c r="J268" s="55">
        <f>EFEITO!$J$268*EFEITO!$Y$157</f>
        <v>0</v>
      </c>
      <c r="K268" s="55">
        <f ca="1">EFEITO!$L$268*EFEITO!$Z$157</f>
        <v>5774.2747452402182</v>
      </c>
      <c r="L268" s="55">
        <f>EFEITO!$N$268*EFEITO!$AA$157</f>
        <v>880.22418751066994</v>
      </c>
      <c r="M268" s="55">
        <f>$J$268-EFEITO!$K$268*EFEITO!$Y$268</f>
        <v>0</v>
      </c>
      <c r="N268" s="55">
        <f ca="1">$K$268-EFEITO!$M$268*EFEITO!$Z$268</f>
        <v>115.48549490480491</v>
      </c>
      <c r="O268" s="55">
        <f>$L$268-EFEITO!$O$268*EFEITO!$AA$268</f>
        <v>17.604483750213376</v>
      </c>
      <c r="P268" s="39"/>
      <c r="Q268" s="39"/>
      <c r="R268" s="39"/>
      <c r="S268" s="39"/>
      <c r="T268" s="39"/>
      <c r="U268" s="39"/>
      <c r="V268" s="39"/>
      <c r="W268" s="39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35" t="s">
        <v>21</v>
      </c>
      <c r="B269" s="35" t="s">
        <v>35</v>
      </c>
      <c r="C269" s="35" t="s">
        <v>36</v>
      </c>
      <c r="D269" s="35" t="s">
        <v>41</v>
      </c>
      <c r="E269" s="35" t="s">
        <v>25</v>
      </c>
      <c r="F269" s="35" t="s">
        <v>25</v>
      </c>
      <c r="G269" s="35" t="s">
        <v>25</v>
      </c>
      <c r="H269" s="35" t="s">
        <v>37</v>
      </c>
      <c r="I269" s="54">
        <v>44562</v>
      </c>
      <c r="J269" s="55">
        <f>EFEITO!$J$269*EFEITO!$Y$157</f>
        <v>0</v>
      </c>
      <c r="K269" s="55">
        <f ca="1">EFEITO!$L$269*EFEITO!$Z$157</f>
        <v>6909.6287091726817</v>
      </c>
      <c r="L269" s="55">
        <f>EFEITO!$N$269*EFEITO!$AA$157</f>
        <v>1053.2963159651147</v>
      </c>
      <c r="M269" s="55">
        <f>$J$269-EFEITO!$K$269*EFEITO!$Y$269</f>
        <v>0</v>
      </c>
      <c r="N269" s="55">
        <f ca="1">$K$269-EFEITO!$M$269*EFEITO!$Z$269</f>
        <v>138.19257418345387</v>
      </c>
      <c r="O269" s="55">
        <f>$L$269-EFEITO!$O$269*EFEITO!$AA$269</f>
        <v>21.065926319302207</v>
      </c>
      <c r="P269" s="39"/>
      <c r="Q269" s="39"/>
      <c r="R269" s="39"/>
      <c r="S269" s="39"/>
      <c r="T269" s="39"/>
      <c r="U269" s="39"/>
      <c r="V269" s="39"/>
      <c r="W269" s="39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35" t="s">
        <v>21</v>
      </c>
      <c r="B270" s="35" t="s">
        <v>35</v>
      </c>
      <c r="C270" s="35" t="s">
        <v>36</v>
      </c>
      <c r="D270" s="35" t="s">
        <v>41</v>
      </c>
      <c r="E270" s="35" t="s">
        <v>25</v>
      </c>
      <c r="F270" s="35" t="s">
        <v>25</v>
      </c>
      <c r="G270" s="35" t="s">
        <v>25</v>
      </c>
      <c r="H270" s="35" t="s">
        <v>37</v>
      </c>
      <c r="I270" s="54">
        <v>44593</v>
      </c>
      <c r="J270" s="55">
        <f>EFEITO!$J$270*EFEITO!$Y$157</f>
        <v>0</v>
      </c>
      <c r="K270" s="55">
        <f ca="1">EFEITO!$L$270*EFEITO!$Z$157</f>
        <v>5405.7391790729116</v>
      </c>
      <c r="L270" s="55">
        <f>EFEITO!$N$270*EFEITO!$AA$157</f>
        <v>824.04502499925627</v>
      </c>
      <c r="M270" s="55">
        <f>$J$270-EFEITO!$K$270*EFEITO!$Y$270</f>
        <v>0</v>
      </c>
      <c r="N270" s="55">
        <f ca="1">$K$270-EFEITO!$M$270*EFEITO!$Z$270</f>
        <v>108.11478358145905</v>
      </c>
      <c r="O270" s="55">
        <f>$L$270-EFEITO!$O$270*EFEITO!$AA$270</f>
        <v>16.480900499985182</v>
      </c>
      <c r="P270" s="39"/>
      <c r="Q270" s="39"/>
      <c r="R270" s="39"/>
      <c r="S270" s="39"/>
      <c r="T270" s="39"/>
      <c r="U270" s="39"/>
      <c r="V270" s="39"/>
      <c r="W270" s="39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35" t="s">
        <v>21</v>
      </c>
      <c r="B271" s="35" t="s">
        <v>35</v>
      </c>
      <c r="C271" s="35" t="s">
        <v>36</v>
      </c>
      <c r="D271" s="35" t="s">
        <v>41</v>
      </c>
      <c r="E271" s="35" t="s">
        <v>25</v>
      </c>
      <c r="F271" s="35" t="s">
        <v>25</v>
      </c>
      <c r="G271" s="35" t="s">
        <v>25</v>
      </c>
      <c r="H271" s="35" t="s">
        <v>37</v>
      </c>
      <c r="I271" s="54">
        <v>44621</v>
      </c>
      <c r="J271" s="55">
        <f>EFEITO!$J$271*EFEITO!$Y$157</f>
        <v>0</v>
      </c>
      <c r="K271" s="55">
        <f ca="1">EFEITO!$L$271*EFEITO!$Z$157</f>
        <v>14248.940141231013</v>
      </c>
      <c r="L271" s="55">
        <f>EFEITO!$N$271*EFEITO!$AA$157</f>
        <v>2172.0930007776178</v>
      </c>
      <c r="M271" s="55">
        <f>$J$271-EFEITO!$K$271*EFEITO!$Y$271</f>
        <v>0</v>
      </c>
      <c r="N271" s="55">
        <f ca="1">$K$271-EFEITO!$M$271*EFEITO!$Z$271</f>
        <v>284.97880282462029</v>
      </c>
      <c r="O271" s="55">
        <f>$L$271-EFEITO!$O$271*EFEITO!$AA$271</f>
        <v>43.44186001555272</v>
      </c>
      <c r="P271" s="39"/>
      <c r="Q271" s="39"/>
      <c r="R271" s="39"/>
      <c r="S271" s="39"/>
      <c r="T271" s="39"/>
      <c r="U271" s="39"/>
      <c r="V271" s="39"/>
      <c r="W271" s="39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35" t="s">
        <v>21</v>
      </c>
      <c r="B272" s="35" t="s">
        <v>35</v>
      </c>
      <c r="C272" s="35" t="s">
        <v>36</v>
      </c>
      <c r="D272" s="35" t="s">
        <v>41</v>
      </c>
      <c r="E272" s="35" t="s">
        <v>25</v>
      </c>
      <c r="F272" s="35" t="s">
        <v>25</v>
      </c>
      <c r="G272" s="35" t="s">
        <v>25</v>
      </c>
      <c r="H272" s="35" t="s">
        <v>37</v>
      </c>
      <c r="I272" s="54">
        <v>44652</v>
      </c>
      <c r="J272" s="55">
        <f>EFEITO!$J$272*EFEITO!$Y$157</f>
        <v>0</v>
      </c>
      <c r="K272" s="55">
        <f ca="1">EFEITO!$L$272*EFEITO!$Z$157</f>
        <v>13710.184111766697</v>
      </c>
      <c r="L272" s="55">
        <f>EFEITO!$N$272*EFEITO!$AA$157</f>
        <v>2089.9656152228154</v>
      </c>
      <c r="M272" s="55">
        <f>$J$272-EFEITO!$K$272*EFEITO!$Y$272</f>
        <v>0</v>
      </c>
      <c r="N272" s="55">
        <f ca="1">$K$272-EFEITO!$M$272*EFEITO!$Z$272</f>
        <v>274.20368223533296</v>
      </c>
      <c r="O272" s="55">
        <f>$L$272-EFEITO!$O$272*EFEITO!$AA$272</f>
        <v>41.79931230445618</v>
      </c>
      <c r="P272" s="39"/>
      <c r="Q272" s="39"/>
      <c r="R272" s="39"/>
      <c r="S272" s="39"/>
      <c r="T272" s="39"/>
      <c r="U272" s="39"/>
      <c r="V272" s="39"/>
      <c r="W272" s="39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35" t="s">
        <v>21</v>
      </c>
      <c r="B273" s="35" t="s">
        <v>35</v>
      </c>
      <c r="C273" s="35" t="s">
        <v>36</v>
      </c>
      <c r="D273" s="35" t="s">
        <v>41</v>
      </c>
      <c r="E273" s="35" t="s">
        <v>25</v>
      </c>
      <c r="F273" s="35" t="s">
        <v>25</v>
      </c>
      <c r="G273" s="35" t="s">
        <v>25</v>
      </c>
      <c r="H273" s="35" t="s">
        <v>37</v>
      </c>
      <c r="I273" s="54">
        <v>44682</v>
      </c>
      <c r="J273" s="55">
        <f>EFEITO!$J$273*EFEITO!$Y$157</f>
        <v>0</v>
      </c>
      <c r="K273" s="55">
        <f ca="1">EFEITO!$L$273*EFEITO!$Z$157</f>
        <v>8312.7080619800508</v>
      </c>
      <c r="L273" s="55">
        <f>EFEITO!$N$273*EFEITO!$AA$157</f>
        <v>1267.1802127013939</v>
      </c>
      <c r="M273" s="55">
        <f>$J$273-EFEITO!$K$273*EFEITO!$Y$273</f>
        <v>0</v>
      </c>
      <c r="N273" s="55">
        <f ca="1">$K$273-EFEITO!$M$273*EFEITO!$Z$273</f>
        <v>166.25416123960167</v>
      </c>
      <c r="O273" s="55">
        <f>$L$273-EFEITO!$O$273*EFEITO!$AA$273</f>
        <v>25.343604254027923</v>
      </c>
      <c r="P273" s="39"/>
      <c r="Q273" s="39"/>
      <c r="R273" s="39"/>
      <c r="S273" s="39"/>
      <c r="T273" s="39"/>
      <c r="U273" s="39"/>
      <c r="V273" s="39"/>
      <c r="W273" s="39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35" t="s">
        <v>28</v>
      </c>
      <c r="B274" s="35" t="s">
        <v>35</v>
      </c>
      <c r="C274" s="35" t="s">
        <v>36</v>
      </c>
      <c r="D274" s="35" t="s">
        <v>41</v>
      </c>
      <c r="E274" s="35" t="s">
        <v>25</v>
      </c>
      <c r="F274" s="35" t="s">
        <v>25</v>
      </c>
      <c r="G274" s="35" t="s">
        <v>25</v>
      </c>
      <c r="H274" s="35" t="s">
        <v>37</v>
      </c>
      <c r="I274" s="54">
        <v>44682</v>
      </c>
      <c r="J274" s="55">
        <f>EFEITO!$J$274*EFEITO!$Y$157</f>
        <v>0</v>
      </c>
      <c r="K274" s="55">
        <f ca="1">EFEITO!$L$274*EFEITO!$Z$157</f>
        <v>3564.7139740936318</v>
      </c>
      <c r="L274" s="55">
        <f>EFEITO!$N$274*EFEITO!$AA$157</f>
        <v>543.4011369377547</v>
      </c>
      <c r="M274" s="55">
        <f>$J$274-EFEITO!$K$274*EFEITO!$Y$274</f>
        <v>0</v>
      </c>
      <c r="N274" s="55">
        <f ca="1">$K$274-EFEITO!$M$274*EFEITO!$Z$274</f>
        <v>71.294279481872763</v>
      </c>
      <c r="O274" s="55">
        <f>$L$274-EFEITO!$O$274*EFEITO!$AA$274</f>
        <v>10.868022738755144</v>
      </c>
      <c r="P274" s="39"/>
      <c r="Q274" s="39"/>
      <c r="R274" s="39"/>
      <c r="S274" s="39"/>
      <c r="T274" s="39"/>
      <c r="U274" s="39"/>
      <c r="V274" s="39"/>
      <c r="W274" s="39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35" t="s">
        <v>21</v>
      </c>
      <c r="B275" s="35" t="s">
        <v>35</v>
      </c>
      <c r="C275" s="35" t="s">
        <v>36</v>
      </c>
      <c r="D275" s="35" t="s">
        <v>41</v>
      </c>
      <c r="E275" s="35" t="s">
        <v>25</v>
      </c>
      <c r="F275" s="35" t="s">
        <v>25</v>
      </c>
      <c r="G275" s="35" t="s">
        <v>25</v>
      </c>
      <c r="H275" s="35" t="s">
        <v>37</v>
      </c>
      <c r="I275" s="54">
        <v>44713</v>
      </c>
      <c r="J275" s="55">
        <f>EFEITO!$J$275*EFEITO!$Y$157</f>
        <v>0</v>
      </c>
      <c r="K275" s="55">
        <f ca="1">EFEITO!$L$275*EFEITO!$Z$157</f>
        <v>5033.8983611910999</v>
      </c>
      <c r="L275" s="55">
        <f>EFEITO!$N$275*EFEITO!$AA$157</f>
        <v>767.36201349670876</v>
      </c>
      <c r="M275" s="55">
        <f>$J$275-EFEITO!$K$275*EFEITO!$Y$275</f>
        <v>0</v>
      </c>
      <c r="N275" s="55">
        <f ca="1">$K$275-EFEITO!$M$275*EFEITO!$Z$275</f>
        <v>100.67796722382263</v>
      </c>
      <c r="O275" s="55">
        <f>$L$275-EFEITO!$O$275*EFEITO!$AA$275</f>
        <v>15.347240269934218</v>
      </c>
      <c r="P275" s="39"/>
      <c r="Q275" s="39"/>
      <c r="R275" s="39"/>
      <c r="S275" s="39"/>
      <c r="T275" s="39"/>
      <c r="U275" s="39"/>
      <c r="V275" s="39"/>
      <c r="W275" s="39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35" t="s">
        <v>28</v>
      </c>
      <c r="B276" s="35" t="s">
        <v>35</v>
      </c>
      <c r="C276" s="35" t="s">
        <v>36</v>
      </c>
      <c r="D276" s="35" t="s">
        <v>41</v>
      </c>
      <c r="E276" s="35" t="s">
        <v>25</v>
      </c>
      <c r="F276" s="35" t="s">
        <v>25</v>
      </c>
      <c r="G276" s="35" t="s">
        <v>25</v>
      </c>
      <c r="H276" s="35" t="s">
        <v>37</v>
      </c>
      <c r="I276" s="54">
        <v>44713</v>
      </c>
      <c r="J276" s="55">
        <f>EFEITO!$J$276*EFEITO!$Y$157</f>
        <v>0</v>
      </c>
      <c r="K276" s="55">
        <f ca="1">EFEITO!$L$276*EFEITO!$Z$157</f>
        <v>3346.5673609363025</v>
      </c>
      <c r="L276" s="55">
        <f>EFEITO!$N$276*EFEITO!$AA$157</f>
        <v>510.1471035229269</v>
      </c>
      <c r="M276" s="55">
        <f>$J$276-EFEITO!$K$276*EFEITO!$Y$276</f>
        <v>0</v>
      </c>
      <c r="N276" s="55">
        <f ca="1">$K$276-EFEITO!$M$276*EFEITO!$Z$276</f>
        <v>66.931347218726387</v>
      </c>
      <c r="O276" s="55">
        <f>$L$276-EFEITO!$O$276*EFEITO!$AA$276</f>
        <v>10.202942070458562</v>
      </c>
      <c r="P276" s="39"/>
      <c r="Q276" s="39"/>
      <c r="R276" s="39"/>
      <c r="S276" s="39"/>
      <c r="T276" s="39"/>
      <c r="U276" s="39"/>
      <c r="V276" s="39"/>
      <c r="W276" s="39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35" t="s">
        <v>21</v>
      </c>
      <c r="B277" s="35" t="s">
        <v>22</v>
      </c>
      <c r="C277" s="35" t="s">
        <v>23</v>
      </c>
      <c r="D277" s="35" t="s">
        <v>24</v>
      </c>
      <c r="E277" s="35" t="s">
        <v>24</v>
      </c>
      <c r="F277" s="35" t="s">
        <v>25</v>
      </c>
      <c r="G277" s="35" t="s">
        <v>25</v>
      </c>
      <c r="H277" s="35" t="s">
        <v>25</v>
      </c>
      <c r="I277" s="54">
        <v>44378</v>
      </c>
      <c r="J277" s="55">
        <f>EFEITO!$J$277*EFEITO!$Y$277</f>
        <v>0</v>
      </c>
      <c r="K277" s="55">
        <f ca="1">EFEITO!$L$277*EFEITO!$Z$277</f>
        <v>484214.65007900581</v>
      </c>
      <c r="L277" s="55">
        <f>EFEITO!$N$277*EFEITO!$AA$277</f>
        <v>250043.62728297518</v>
      </c>
      <c r="M277" s="55">
        <f>$J$277-EFEITO!$K$277*EFEITO!$Y$277</f>
        <v>0</v>
      </c>
      <c r="N277" s="55">
        <f ca="1">$K$277-EFEITO!$M$277*EFEITO!$Z$277</f>
        <v>0</v>
      </c>
      <c r="O277" s="55">
        <f>$L$277-EFEITO!$O$277*EFEITO!$AA$277</f>
        <v>0</v>
      </c>
      <c r="P277" s="39"/>
      <c r="Q277" s="39"/>
      <c r="R277" s="39"/>
      <c r="S277" s="39"/>
      <c r="T277" s="39"/>
      <c r="U277" s="39"/>
      <c r="V277" s="39"/>
      <c r="W277" s="39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35" t="s">
        <v>27</v>
      </c>
      <c r="B278" s="35" t="s">
        <v>22</v>
      </c>
      <c r="C278" s="35" t="s">
        <v>23</v>
      </c>
      <c r="D278" s="35" t="s">
        <v>24</v>
      </c>
      <c r="E278" s="35" t="s">
        <v>24</v>
      </c>
      <c r="F278" s="35" t="s">
        <v>25</v>
      </c>
      <c r="G278" s="35" t="s">
        <v>25</v>
      </c>
      <c r="H278" s="35" t="s">
        <v>25</v>
      </c>
      <c r="I278" s="54">
        <v>44378</v>
      </c>
      <c r="J278" s="55">
        <f>EFEITO!$J$278*EFEITO!$Y$278</f>
        <v>0</v>
      </c>
      <c r="K278" s="55">
        <f ca="1">EFEITO!$L$278*EFEITO!$Z$278</f>
        <v>-183.92208536915129</v>
      </c>
      <c r="L278" s="55">
        <f>EFEITO!$N$278*EFEITO!$AA$278</f>
        <v>-94.97553482871281</v>
      </c>
      <c r="M278" s="55">
        <f>$J$278-EFEITO!$K$278*EFEITO!$Y$278</f>
        <v>0</v>
      </c>
      <c r="N278" s="55">
        <f ca="1">$K$278-EFEITO!$M$278*EFEITO!$Z$278</f>
        <v>0</v>
      </c>
      <c r="O278" s="55">
        <f>$L$278-EFEITO!$O$278*EFEITO!$AA$278</f>
        <v>0</v>
      </c>
      <c r="P278" s="39"/>
      <c r="Q278" s="39"/>
      <c r="R278" s="39"/>
      <c r="S278" s="39"/>
      <c r="T278" s="39"/>
      <c r="U278" s="39"/>
      <c r="V278" s="39"/>
      <c r="W278" s="39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35" t="s">
        <v>28</v>
      </c>
      <c r="B279" s="35" t="s">
        <v>22</v>
      </c>
      <c r="C279" s="35" t="s">
        <v>23</v>
      </c>
      <c r="D279" s="35" t="s">
        <v>24</v>
      </c>
      <c r="E279" s="35" t="s">
        <v>24</v>
      </c>
      <c r="F279" s="35" t="s">
        <v>25</v>
      </c>
      <c r="G279" s="35" t="s">
        <v>25</v>
      </c>
      <c r="H279" s="35" t="s">
        <v>25</v>
      </c>
      <c r="I279" s="54">
        <v>44378</v>
      </c>
      <c r="J279" s="55">
        <f>EFEITO!$J$279*EFEITO!$Y$279</f>
        <v>0</v>
      </c>
      <c r="K279" s="55">
        <f ca="1">EFEITO!$L$279*EFEITO!$Z$279</f>
        <v>21557.912547420226</v>
      </c>
      <c r="L279" s="55">
        <f>EFEITO!$N$279*EFEITO!$AA$279</f>
        <v>11132.291534604748</v>
      </c>
      <c r="M279" s="55">
        <f>$J$279-EFEITO!$K$279*EFEITO!$Y$279</f>
        <v>0</v>
      </c>
      <c r="N279" s="55">
        <f ca="1">$K$279-EFEITO!$M$279*EFEITO!$Z$279</f>
        <v>0</v>
      </c>
      <c r="O279" s="55">
        <f>$L$279-EFEITO!$O$279*EFEITO!$AA$279</f>
        <v>0</v>
      </c>
      <c r="P279" s="39"/>
      <c r="Q279" s="39"/>
      <c r="R279" s="39"/>
      <c r="S279" s="39"/>
      <c r="T279" s="39"/>
      <c r="U279" s="39"/>
      <c r="V279" s="39"/>
      <c r="W279" s="39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35" t="s">
        <v>21</v>
      </c>
      <c r="B280" s="35" t="s">
        <v>22</v>
      </c>
      <c r="C280" s="35" t="s">
        <v>23</v>
      </c>
      <c r="D280" s="35" t="s">
        <v>24</v>
      </c>
      <c r="E280" s="35" t="s">
        <v>24</v>
      </c>
      <c r="F280" s="35" t="s">
        <v>25</v>
      </c>
      <c r="G280" s="35" t="s">
        <v>25</v>
      </c>
      <c r="H280" s="35" t="s">
        <v>25</v>
      </c>
      <c r="I280" s="54">
        <v>44409</v>
      </c>
      <c r="J280" s="55">
        <f>EFEITO!$J$280*EFEITO!$Y$280</f>
        <v>0</v>
      </c>
      <c r="K280" s="55">
        <f ca="1">EFEITO!$L$280*EFEITO!$Z$280</f>
        <v>494126.44055233488</v>
      </c>
      <c r="L280" s="55">
        <f>EFEITO!$N$280*EFEITO!$AA$280</f>
        <v>255161.97725940743</v>
      </c>
      <c r="M280" s="55">
        <f>$J$280-EFEITO!$K$280*EFEITO!$Y$280</f>
        <v>0</v>
      </c>
      <c r="N280" s="55">
        <f ca="1">$K$280-EFEITO!$M$280*EFEITO!$Z$280</f>
        <v>0</v>
      </c>
      <c r="O280" s="55">
        <f>$L$280-EFEITO!$O$280*EFEITO!$AA$280</f>
        <v>0</v>
      </c>
      <c r="P280" s="39"/>
      <c r="Q280" s="39"/>
      <c r="R280" s="39"/>
      <c r="S280" s="39"/>
      <c r="T280" s="39"/>
      <c r="U280" s="39"/>
      <c r="V280" s="39"/>
      <c r="W280" s="39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35" t="s">
        <v>27</v>
      </c>
      <c r="B281" s="35" t="s">
        <v>22</v>
      </c>
      <c r="C281" s="35" t="s">
        <v>23</v>
      </c>
      <c r="D281" s="35" t="s">
        <v>24</v>
      </c>
      <c r="E281" s="35" t="s">
        <v>24</v>
      </c>
      <c r="F281" s="35" t="s">
        <v>25</v>
      </c>
      <c r="G281" s="35" t="s">
        <v>25</v>
      </c>
      <c r="H281" s="35" t="s">
        <v>25</v>
      </c>
      <c r="I281" s="54">
        <v>44409</v>
      </c>
      <c r="J281" s="55">
        <f>EFEITO!$J$281*EFEITO!$Y$281</f>
        <v>0</v>
      </c>
      <c r="K281" s="55">
        <f ca="1">EFEITO!$L$281*EFEITO!$Z$281</f>
        <v>-158.55352186995802</v>
      </c>
      <c r="L281" s="55">
        <f>EFEITO!$N$281*EFEITO!$AA$281</f>
        <v>-81.875461059235178</v>
      </c>
      <c r="M281" s="55">
        <f>$J$281-EFEITO!$K$281*EFEITO!$Y$281</f>
        <v>0</v>
      </c>
      <c r="N281" s="55">
        <f ca="1">$K$281-EFEITO!$M$281*EFEITO!$Z$281</f>
        <v>0</v>
      </c>
      <c r="O281" s="55">
        <f>$L$281-EFEITO!$O$281*EFEITO!$AA$281</f>
        <v>0</v>
      </c>
      <c r="P281" s="39"/>
      <c r="Q281" s="39"/>
      <c r="R281" s="39"/>
      <c r="S281" s="39"/>
      <c r="T281" s="39"/>
      <c r="U281" s="39"/>
      <c r="V281" s="39"/>
      <c r="W281" s="39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35" t="s">
        <v>28</v>
      </c>
      <c r="B282" s="35" t="s">
        <v>22</v>
      </c>
      <c r="C282" s="35" t="s">
        <v>23</v>
      </c>
      <c r="D282" s="35" t="s">
        <v>24</v>
      </c>
      <c r="E282" s="35" t="s">
        <v>24</v>
      </c>
      <c r="F282" s="35" t="s">
        <v>25</v>
      </c>
      <c r="G282" s="35" t="s">
        <v>25</v>
      </c>
      <c r="H282" s="35" t="s">
        <v>25</v>
      </c>
      <c r="I282" s="54">
        <v>44409</v>
      </c>
      <c r="J282" s="55">
        <f>EFEITO!$J$282*EFEITO!$Y$282</f>
        <v>0</v>
      </c>
      <c r="K282" s="55">
        <f ca="1">EFEITO!$L$282*EFEITO!$Z$282</f>
        <v>17314.532445189783</v>
      </c>
      <c r="L282" s="55">
        <f>EFEITO!$N$282*EFEITO!$AA$282</f>
        <v>8941.0522721640482</v>
      </c>
      <c r="M282" s="55">
        <f>$J$282-EFEITO!$K$282*EFEITO!$Y$282</f>
        <v>0</v>
      </c>
      <c r="N282" s="55">
        <f ca="1">$K$282-EFEITO!$M$282*EFEITO!$Z$282</f>
        <v>0</v>
      </c>
      <c r="O282" s="55">
        <f>$L$282-EFEITO!$O$282*EFEITO!$AA$282</f>
        <v>0</v>
      </c>
      <c r="P282" s="39"/>
      <c r="Q282" s="39"/>
      <c r="R282" s="39"/>
      <c r="S282" s="39"/>
      <c r="T282" s="39"/>
      <c r="U282" s="39"/>
      <c r="V282" s="39"/>
      <c r="W282" s="39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35" t="s">
        <v>21</v>
      </c>
      <c r="B283" s="35" t="s">
        <v>22</v>
      </c>
      <c r="C283" s="35" t="s">
        <v>23</v>
      </c>
      <c r="D283" s="35" t="s">
        <v>24</v>
      </c>
      <c r="E283" s="35" t="s">
        <v>24</v>
      </c>
      <c r="F283" s="35" t="s">
        <v>25</v>
      </c>
      <c r="G283" s="35" t="s">
        <v>25</v>
      </c>
      <c r="H283" s="35" t="s">
        <v>25</v>
      </c>
      <c r="I283" s="54">
        <v>44440</v>
      </c>
      <c r="J283" s="55">
        <f>EFEITO!$J$283*EFEITO!$Y$283</f>
        <v>0</v>
      </c>
      <c r="K283" s="55">
        <f ca="1">EFEITO!$L$283*EFEITO!$Z$283</f>
        <v>502287.31228722917</v>
      </c>
      <c r="L283" s="55">
        <f>EFEITO!$N$283*EFEITO!$AA$283</f>
        <v>259376.17022125013</v>
      </c>
      <c r="M283" s="55">
        <f>$J$283-EFEITO!$K$283*EFEITO!$Y$283</f>
        <v>0</v>
      </c>
      <c r="N283" s="55">
        <f ca="1">$K$283-EFEITO!$M$283*EFEITO!$Z$283</f>
        <v>0</v>
      </c>
      <c r="O283" s="55">
        <f>$L$283-EFEITO!$O$283*EFEITO!$AA$283</f>
        <v>0</v>
      </c>
      <c r="P283" s="39"/>
      <c r="Q283" s="39"/>
      <c r="R283" s="39"/>
      <c r="S283" s="39"/>
      <c r="T283" s="39"/>
      <c r="U283" s="39"/>
      <c r="V283" s="39"/>
      <c r="W283" s="39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35" t="s">
        <v>27</v>
      </c>
      <c r="B284" s="35" t="s">
        <v>22</v>
      </c>
      <c r="C284" s="35" t="s">
        <v>23</v>
      </c>
      <c r="D284" s="35" t="s">
        <v>24</v>
      </c>
      <c r="E284" s="35" t="s">
        <v>24</v>
      </c>
      <c r="F284" s="35" t="s">
        <v>25</v>
      </c>
      <c r="G284" s="35" t="s">
        <v>25</v>
      </c>
      <c r="H284" s="35" t="s">
        <v>25</v>
      </c>
      <c r="I284" s="54">
        <v>44440</v>
      </c>
      <c r="J284" s="55">
        <f>EFEITO!$J$284*EFEITO!$Y$284</f>
        <v>0</v>
      </c>
      <c r="K284" s="55">
        <f ca="1">EFEITO!$L$284*EFEITO!$Z$284</f>
        <v>71.714977584257923</v>
      </c>
      <c r="L284" s="55">
        <f>EFEITO!$N$284*EFEITO!$AA$284</f>
        <v>37.032900848330989</v>
      </c>
      <c r="M284" s="55">
        <f>$J$284-EFEITO!$K$284*EFEITO!$Y$284</f>
        <v>0</v>
      </c>
      <c r="N284" s="55">
        <f ca="1">$K$284-EFEITO!$M$284*EFEITO!$Z$284</f>
        <v>0</v>
      </c>
      <c r="O284" s="55">
        <f>$L$284-EFEITO!$O$284*EFEITO!$AA$284</f>
        <v>0</v>
      </c>
      <c r="P284" s="39"/>
      <c r="Q284" s="39"/>
      <c r="R284" s="39"/>
      <c r="S284" s="39"/>
      <c r="T284" s="39"/>
      <c r="U284" s="39"/>
      <c r="V284" s="39"/>
      <c r="W284" s="39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35" t="s">
        <v>28</v>
      </c>
      <c r="B285" s="35" t="s">
        <v>22</v>
      </c>
      <c r="C285" s="35" t="s">
        <v>23</v>
      </c>
      <c r="D285" s="35" t="s">
        <v>24</v>
      </c>
      <c r="E285" s="35" t="s">
        <v>24</v>
      </c>
      <c r="F285" s="35" t="s">
        <v>25</v>
      </c>
      <c r="G285" s="35" t="s">
        <v>25</v>
      </c>
      <c r="H285" s="35" t="s">
        <v>25</v>
      </c>
      <c r="I285" s="54">
        <v>44440</v>
      </c>
      <c r="J285" s="55">
        <f>EFEITO!$J$285*EFEITO!$Y$285</f>
        <v>0</v>
      </c>
      <c r="K285" s="55">
        <f ca="1">EFEITO!$L$285*EFEITO!$Z$285</f>
        <v>15637.767969291182</v>
      </c>
      <c r="L285" s="55">
        <f>EFEITO!$N$285*EFEITO!$AA$285</f>
        <v>8075.187780900691</v>
      </c>
      <c r="M285" s="55">
        <f>$J$285-EFEITO!$K$285*EFEITO!$Y$285</f>
        <v>0</v>
      </c>
      <c r="N285" s="55">
        <f ca="1">$K$285-EFEITO!$M$285*EFEITO!$Z$285</f>
        <v>0</v>
      </c>
      <c r="O285" s="55">
        <f>$L$285-EFEITO!$O$285*EFEITO!$AA$285</f>
        <v>0</v>
      </c>
      <c r="P285" s="39"/>
      <c r="Q285" s="39"/>
      <c r="R285" s="39"/>
      <c r="S285" s="39"/>
      <c r="T285" s="39"/>
      <c r="U285" s="39"/>
      <c r="V285" s="39"/>
      <c r="W285" s="39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35" t="s">
        <v>28</v>
      </c>
      <c r="B286" s="35" t="s">
        <v>22</v>
      </c>
      <c r="C286" s="35" t="s">
        <v>23</v>
      </c>
      <c r="D286" s="35" t="s">
        <v>24</v>
      </c>
      <c r="E286" s="35" t="s">
        <v>24</v>
      </c>
      <c r="F286" s="35" t="s">
        <v>25</v>
      </c>
      <c r="G286" s="35" t="s">
        <v>25</v>
      </c>
      <c r="H286" s="35" t="s">
        <v>25</v>
      </c>
      <c r="I286" s="54">
        <v>44440</v>
      </c>
      <c r="J286" s="55">
        <f>EFEITO!$J$286*EFEITO!$Y$286</f>
        <v>0</v>
      </c>
      <c r="K286" s="55">
        <f ca="1">EFEITO!$L$286*EFEITO!$Z$286</f>
        <v>155.62637992774339</v>
      </c>
      <c r="L286" s="55">
        <f>EFEITO!$N$286*EFEITO!$AA$286</f>
        <v>80.363914085833912</v>
      </c>
      <c r="M286" s="55">
        <f>$J$286-EFEITO!$K$286*EFEITO!$Y$286</f>
        <v>0</v>
      </c>
      <c r="N286" s="55">
        <f ca="1">$K$286-EFEITO!$M$286*EFEITO!$Z$286</f>
        <v>0</v>
      </c>
      <c r="O286" s="55">
        <f>$L$286-EFEITO!$O$286*EFEITO!$AA$286</f>
        <v>0</v>
      </c>
      <c r="P286" s="39"/>
      <c r="Q286" s="39"/>
      <c r="R286" s="39"/>
      <c r="S286" s="39"/>
      <c r="T286" s="39"/>
      <c r="U286" s="39"/>
      <c r="V286" s="39"/>
      <c r="W286" s="39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35" t="s">
        <v>21</v>
      </c>
      <c r="B287" s="35" t="s">
        <v>22</v>
      </c>
      <c r="C287" s="35" t="s">
        <v>23</v>
      </c>
      <c r="D287" s="35" t="s">
        <v>24</v>
      </c>
      <c r="E287" s="35" t="s">
        <v>24</v>
      </c>
      <c r="F287" s="35" t="s">
        <v>25</v>
      </c>
      <c r="G287" s="35" t="s">
        <v>25</v>
      </c>
      <c r="H287" s="35" t="s">
        <v>25</v>
      </c>
      <c r="I287" s="54">
        <v>44470</v>
      </c>
      <c r="J287" s="55">
        <f>EFEITO!$J$287*EFEITO!$Y$287</f>
        <v>0</v>
      </c>
      <c r="K287" s="55">
        <f ca="1">EFEITO!$L$287*EFEITO!$Z$287</f>
        <v>488986.86715879641</v>
      </c>
      <c r="L287" s="55">
        <f>EFEITO!$N$287*EFEITO!$AA$287</f>
        <v>252507.95269861037</v>
      </c>
      <c r="M287" s="55">
        <f>$J$287-EFEITO!$K$287*EFEITO!$Y$287</f>
        <v>0</v>
      </c>
      <c r="N287" s="55">
        <f ca="1">$K$287-EFEITO!$M$287*EFEITO!$Z$287</f>
        <v>0</v>
      </c>
      <c r="O287" s="55">
        <f>$L$287-EFEITO!$O$287*EFEITO!$AA$287</f>
        <v>0</v>
      </c>
      <c r="P287" s="39"/>
      <c r="Q287" s="39"/>
      <c r="R287" s="39"/>
      <c r="S287" s="39"/>
      <c r="T287" s="39"/>
      <c r="U287" s="39"/>
      <c r="V287" s="39"/>
      <c r="W287" s="39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35" t="s">
        <v>27</v>
      </c>
      <c r="B288" s="35" t="s">
        <v>22</v>
      </c>
      <c r="C288" s="35" t="s">
        <v>23</v>
      </c>
      <c r="D288" s="35" t="s">
        <v>24</v>
      </c>
      <c r="E288" s="35" t="s">
        <v>24</v>
      </c>
      <c r="F288" s="35" t="s">
        <v>25</v>
      </c>
      <c r="G288" s="35" t="s">
        <v>25</v>
      </c>
      <c r="H288" s="35" t="s">
        <v>25</v>
      </c>
      <c r="I288" s="54">
        <v>44470</v>
      </c>
      <c r="J288" s="55">
        <f>EFEITO!$J$288*EFEITO!$Y$288</f>
        <v>0</v>
      </c>
      <c r="K288" s="55">
        <f ca="1">EFEITO!$L$288*EFEITO!$Z$288</f>
        <v>-704.95335108335178</v>
      </c>
      <c r="L288" s="55">
        <f>EFEITO!$N$288*EFEITO!$AA$288</f>
        <v>-364.03089609413797</v>
      </c>
      <c r="M288" s="55">
        <f>$J$288-EFEITO!$K$288*EFEITO!$Y$288</f>
        <v>0</v>
      </c>
      <c r="N288" s="55">
        <f ca="1">$K$288-EFEITO!$M$288*EFEITO!$Z$288</f>
        <v>0</v>
      </c>
      <c r="O288" s="55">
        <f>$L$288-EFEITO!$O$288*EFEITO!$AA$288</f>
        <v>0</v>
      </c>
      <c r="P288" s="39"/>
      <c r="Q288" s="39"/>
      <c r="R288" s="39"/>
      <c r="S288" s="39"/>
      <c r="T288" s="39"/>
      <c r="U288" s="39"/>
      <c r="V288" s="39"/>
      <c r="W288" s="39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35" t="s">
        <v>28</v>
      </c>
      <c r="B289" s="35" t="s">
        <v>22</v>
      </c>
      <c r="C289" s="35" t="s">
        <v>23</v>
      </c>
      <c r="D289" s="35" t="s">
        <v>24</v>
      </c>
      <c r="E289" s="35" t="s">
        <v>24</v>
      </c>
      <c r="F289" s="35" t="s">
        <v>25</v>
      </c>
      <c r="G289" s="35" t="s">
        <v>25</v>
      </c>
      <c r="H289" s="35" t="s">
        <v>25</v>
      </c>
      <c r="I289" s="54">
        <v>44470</v>
      </c>
      <c r="J289" s="55">
        <f>EFEITO!$J$289*EFEITO!$Y$289</f>
        <v>0</v>
      </c>
      <c r="K289" s="55">
        <f ca="1">EFEITO!$L$289*EFEITO!$Z$289</f>
        <v>12800.391713304485</v>
      </c>
      <c r="L289" s="55">
        <f>EFEITO!$N$289*EFEITO!$AA$289</f>
        <v>6609.9949146837316</v>
      </c>
      <c r="M289" s="55">
        <f>$J$289-EFEITO!$K$289*EFEITO!$Y$289</f>
        <v>0</v>
      </c>
      <c r="N289" s="55">
        <f ca="1">$K$289-EFEITO!$M$289*EFEITO!$Z$289</f>
        <v>0</v>
      </c>
      <c r="O289" s="55">
        <f>$L$289-EFEITO!$O$289*EFEITO!$AA$289</f>
        <v>0</v>
      </c>
      <c r="P289" s="39"/>
      <c r="Q289" s="39"/>
      <c r="R289" s="39"/>
      <c r="S289" s="39"/>
      <c r="T289" s="39"/>
      <c r="U289" s="39"/>
      <c r="V289" s="39"/>
      <c r="W289" s="39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35" t="s">
        <v>21</v>
      </c>
      <c r="B290" s="35" t="s">
        <v>22</v>
      </c>
      <c r="C290" s="35" t="s">
        <v>23</v>
      </c>
      <c r="D290" s="35" t="s">
        <v>24</v>
      </c>
      <c r="E290" s="35" t="s">
        <v>24</v>
      </c>
      <c r="F290" s="35" t="s">
        <v>25</v>
      </c>
      <c r="G290" s="35" t="s">
        <v>25</v>
      </c>
      <c r="H290" s="35" t="s">
        <v>25</v>
      </c>
      <c r="I290" s="54">
        <v>44501</v>
      </c>
      <c r="J290" s="55">
        <f>EFEITO!$J$290*EFEITO!$Y$290</f>
        <v>0</v>
      </c>
      <c r="K290" s="55">
        <f ca="1">EFEITO!$L$290*EFEITO!$Z$290</f>
        <v>543748.814327728</v>
      </c>
      <c r="L290" s="55">
        <f>EFEITO!$N$290*EFEITO!$AA$290</f>
        <v>280786.47732599237</v>
      </c>
      <c r="M290" s="55">
        <f>$J$290-EFEITO!$K$290*EFEITO!$Y$290</f>
        <v>0</v>
      </c>
      <c r="N290" s="55">
        <f ca="1">$K$290-EFEITO!$M$290*EFEITO!$Z$290</f>
        <v>0</v>
      </c>
      <c r="O290" s="55">
        <f>$L$290-EFEITO!$O$290*EFEITO!$AA$290</f>
        <v>0</v>
      </c>
      <c r="P290" s="39"/>
      <c r="Q290" s="39"/>
      <c r="R290" s="39"/>
      <c r="S290" s="39"/>
      <c r="T290" s="39"/>
      <c r="U290" s="39"/>
      <c r="V290" s="39"/>
      <c r="W290" s="39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35" t="s">
        <v>27</v>
      </c>
      <c r="B291" s="35" t="s">
        <v>22</v>
      </c>
      <c r="C291" s="35" t="s">
        <v>23</v>
      </c>
      <c r="D291" s="35" t="s">
        <v>24</v>
      </c>
      <c r="E291" s="35" t="s">
        <v>24</v>
      </c>
      <c r="F291" s="35" t="s">
        <v>25</v>
      </c>
      <c r="G291" s="35" t="s">
        <v>25</v>
      </c>
      <c r="H291" s="35" t="s">
        <v>25</v>
      </c>
      <c r="I291" s="54">
        <v>44501</v>
      </c>
      <c r="J291" s="55">
        <f>EFEITO!$J$291*EFEITO!$Y$291</f>
        <v>0</v>
      </c>
      <c r="K291" s="55">
        <f ca="1">EFEITO!$L$291*EFEITO!$Z$291</f>
        <v>-251.24635004008729</v>
      </c>
      <c r="L291" s="55">
        <f>EFEITO!$N$291*EFEITO!$AA$291</f>
        <v>-129.74111521694189</v>
      </c>
      <c r="M291" s="55">
        <f>$J$291-EFEITO!$K$291*EFEITO!$Y$291</f>
        <v>0</v>
      </c>
      <c r="N291" s="55">
        <f ca="1">$K$291-EFEITO!$M$291*EFEITO!$Z$291</f>
        <v>0</v>
      </c>
      <c r="O291" s="55">
        <f>$L$291-EFEITO!$O$291*EFEITO!$AA$291</f>
        <v>0</v>
      </c>
      <c r="P291" s="39"/>
      <c r="Q291" s="39"/>
      <c r="R291" s="39"/>
      <c r="S291" s="39"/>
      <c r="T291" s="39"/>
      <c r="U291" s="39"/>
      <c r="V291" s="39"/>
      <c r="W291" s="39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35" t="s">
        <v>28</v>
      </c>
      <c r="B292" s="35" t="s">
        <v>22</v>
      </c>
      <c r="C292" s="35" t="s">
        <v>23</v>
      </c>
      <c r="D292" s="35" t="s">
        <v>24</v>
      </c>
      <c r="E292" s="35" t="s">
        <v>24</v>
      </c>
      <c r="F292" s="35" t="s">
        <v>25</v>
      </c>
      <c r="G292" s="35" t="s">
        <v>25</v>
      </c>
      <c r="H292" s="35" t="s">
        <v>25</v>
      </c>
      <c r="I292" s="54">
        <v>44501</v>
      </c>
      <c r="J292" s="55">
        <f>EFEITO!$J$292*EFEITO!$Y$292</f>
        <v>0</v>
      </c>
      <c r="K292" s="55">
        <f ca="1">EFEITO!$L$292*EFEITO!$Z$292</f>
        <v>12381.810415567797</v>
      </c>
      <c r="L292" s="55">
        <f>EFEITO!$N$292*EFEITO!$AA$292</f>
        <v>6393.8436974873503</v>
      </c>
      <c r="M292" s="55">
        <f>$J$292-EFEITO!$K$292*EFEITO!$Y$292</f>
        <v>0</v>
      </c>
      <c r="N292" s="55">
        <f ca="1">$K$292-EFEITO!$M$292*EFEITO!$Z$292</f>
        <v>0</v>
      </c>
      <c r="O292" s="55">
        <f>$L$292-EFEITO!$O$292*EFEITO!$AA$292</f>
        <v>0</v>
      </c>
      <c r="P292" s="39"/>
      <c r="Q292" s="39"/>
      <c r="R292" s="39"/>
      <c r="S292" s="39"/>
      <c r="T292" s="39"/>
      <c r="U292" s="39"/>
      <c r="V292" s="39"/>
      <c r="W292" s="39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35" t="s">
        <v>21</v>
      </c>
      <c r="B293" s="35" t="s">
        <v>22</v>
      </c>
      <c r="C293" s="35" t="s">
        <v>23</v>
      </c>
      <c r="D293" s="35" t="s">
        <v>24</v>
      </c>
      <c r="E293" s="35" t="s">
        <v>24</v>
      </c>
      <c r="F293" s="35" t="s">
        <v>25</v>
      </c>
      <c r="G293" s="35" t="s">
        <v>25</v>
      </c>
      <c r="H293" s="35" t="s">
        <v>25</v>
      </c>
      <c r="I293" s="54">
        <v>44531</v>
      </c>
      <c r="J293" s="55">
        <f>EFEITO!$J$293*EFEITO!$Y$293</f>
        <v>0</v>
      </c>
      <c r="K293" s="55">
        <f ca="1">EFEITO!$L$293*EFEITO!$Z$293</f>
        <v>543253.15162551298</v>
      </c>
      <c r="L293" s="55">
        <f>EFEITO!$N$293*EFEITO!$AA$293</f>
        <v>280530.52203849639</v>
      </c>
      <c r="M293" s="55">
        <f>$J$293-EFEITO!$K$293*EFEITO!$Y$293</f>
        <v>0</v>
      </c>
      <c r="N293" s="55">
        <f ca="1">$K$293-EFEITO!$M$293*EFEITO!$Z$293</f>
        <v>0</v>
      </c>
      <c r="O293" s="55">
        <f>$L$293-EFEITO!$O$293*EFEITO!$AA$293</f>
        <v>0</v>
      </c>
      <c r="P293" s="39"/>
      <c r="Q293" s="39"/>
      <c r="R293" s="39"/>
      <c r="S293" s="39"/>
      <c r="T293" s="39"/>
      <c r="U293" s="39"/>
      <c r="V293" s="39"/>
      <c r="W293" s="39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35" t="s">
        <v>27</v>
      </c>
      <c r="B294" s="35" t="s">
        <v>22</v>
      </c>
      <c r="C294" s="35" t="s">
        <v>23</v>
      </c>
      <c r="D294" s="35" t="s">
        <v>24</v>
      </c>
      <c r="E294" s="35" t="s">
        <v>24</v>
      </c>
      <c r="F294" s="35" t="s">
        <v>25</v>
      </c>
      <c r="G294" s="35" t="s">
        <v>25</v>
      </c>
      <c r="H294" s="35" t="s">
        <v>25</v>
      </c>
      <c r="I294" s="54">
        <v>44531</v>
      </c>
      <c r="J294" s="55">
        <f>EFEITO!$J$294*EFEITO!$Y$294</f>
        <v>0</v>
      </c>
      <c r="K294" s="55">
        <f ca="1">EFEITO!$L$294*EFEITO!$Z$294</f>
        <v>-20.002136605133163</v>
      </c>
      <c r="L294" s="55">
        <f>EFEITO!$N$294*EFEITO!$AA$294</f>
        <v>-10.328904318241976</v>
      </c>
      <c r="M294" s="55">
        <f>$J$294-EFEITO!$K$294*EFEITO!$Y$294</f>
        <v>0</v>
      </c>
      <c r="N294" s="55">
        <f ca="1">$K$294-EFEITO!$M$294*EFEITO!$Z$294</f>
        <v>0</v>
      </c>
      <c r="O294" s="55">
        <f>$L$294-EFEITO!$O$294*EFEITO!$AA$294</f>
        <v>0</v>
      </c>
      <c r="P294" s="39"/>
      <c r="Q294" s="39"/>
      <c r="R294" s="39"/>
      <c r="S294" s="39"/>
      <c r="T294" s="39"/>
      <c r="U294" s="39"/>
      <c r="V294" s="39"/>
      <c r="W294" s="39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35" t="s">
        <v>28</v>
      </c>
      <c r="B295" s="35" t="s">
        <v>22</v>
      </c>
      <c r="C295" s="35" t="s">
        <v>23</v>
      </c>
      <c r="D295" s="35" t="s">
        <v>24</v>
      </c>
      <c r="E295" s="35" t="s">
        <v>24</v>
      </c>
      <c r="F295" s="35" t="s">
        <v>25</v>
      </c>
      <c r="G295" s="35" t="s">
        <v>25</v>
      </c>
      <c r="H295" s="35" t="s">
        <v>25</v>
      </c>
      <c r="I295" s="54">
        <v>44531</v>
      </c>
      <c r="J295" s="55">
        <f>EFEITO!$J$295*EFEITO!$Y$295</f>
        <v>0</v>
      </c>
      <c r="K295" s="55">
        <f ca="1">EFEITO!$L$295*EFEITO!$Z$295</f>
        <v>13673.167869074809</v>
      </c>
      <c r="L295" s="55">
        <f>EFEITO!$N$295*EFEITO!$AA$295</f>
        <v>7060.6878372528754</v>
      </c>
      <c r="M295" s="55">
        <f>$J$295-EFEITO!$K$295*EFEITO!$Y$295</f>
        <v>0</v>
      </c>
      <c r="N295" s="55">
        <f ca="1">$K$295-EFEITO!$M$295*EFEITO!$Z$295</f>
        <v>0</v>
      </c>
      <c r="O295" s="55">
        <f>$L$295-EFEITO!$O$295*EFEITO!$AA$295</f>
        <v>0</v>
      </c>
      <c r="P295" s="39"/>
      <c r="Q295" s="39"/>
      <c r="R295" s="39"/>
      <c r="S295" s="39"/>
      <c r="T295" s="39"/>
      <c r="U295" s="39"/>
      <c r="V295" s="39"/>
      <c r="W295" s="39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35" t="s">
        <v>21</v>
      </c>
      <c r="B296" s="35" t="s">
        <v>22</v>
      </c>
      <c r="C296" s="35" t="s">
        <v>23</v>
      </c>
      <c r="D296" s="35" t="s">
        <v>24</v>
      </c>
      <c r="E296" s="35" t="s">
        <v>24</v>
      </c>
      <c r="F296" s="35" t="s">
        <v>25</v>
      </c>
      <c r="G296" s="35" t="s">
        <v>25</v>
      </c>
      <c r="H296" s="35" t="s">
        <v>25</v>
      </c>
      <c r="I296" s="54">
        <v>44562</v>
      </c>
      <c r="J296" s="55">
        <f>EFEITO!$J$296*EFEITO!$Y$296</f>
        <v>0</v>
      </c>
      <c r="K296" s="55">
        <f ca="1">EFEITO!$L$296*EFEITO!$Z$296</f>
        <v>682488.02453384502</v>
      </c>
      <c r="L296" s="55">
        <f>EFEITO!$N$296*EFEITO!$AA$296</f>
        <v>352430.02499777882</v>
      </c>
      <c r="M296" s="55">
        <f>$J$296-EFEITO!$K$296*EFEITO!$Y$296</f>
        <v>0</v>
      </c>
      <c r="N296" s="55">
        <f ca="1">$K$296-EFEITO!$M$296*EFEITO!$Z$296</f>
        <v>0</v>
      </c>
      <c r="O296" s="55">
        <f>$L$296-EFEITO!$O$296*EFEITO!$AA$296</f>
        <v>0</v>
      </c>
      <c r="P296" s="39"/>
      <c r="Q296" s="39"/>
      <c r="R296" s="39"/>
      <c r="S296" s="39"/>
      <c r="T296" s="39"/>
      <c r="U296" s="39"/>
      <c r="V296" s="39"/>
      <c r="W296" s="39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35" t="s">
        <v>27</v>
      </c>
      <c r="B297" s="35" t="s">
        <v>22</v>
      </c>
      <c r="C297" s="35" t="s">
        <v>23</v>
      </c>
      <c r="D297" s="35" t="s">
        <v>24</v>
      </c>
      <c r="E297" s="35" t="s">
        <v>24</v>
      </c>
      <c r="F297" s="35" t="s">
        <v>25</v>
      </c>
      <c r="G297" s="35" t="s">
        <v>25</v>
      </c>
      <c r="H297" s="35" t="s">
        <v>25</v>
      </c>
      <c r="I297" s="54">
        <v>44562</v>
      </c>
      <c r="J297" s="55">
        <f>EFEITO!$J$297*EFEITO!$Y$297</f>
        <v>0</v>
      </c>
      <c r="K297" s="55">
        <f ca="1">EFEITO!$L$297*EFEITO!$Z$297</f>
        <v>24.39284951845508</v>
      </c>
      <c r="L297" s="55">
        <f>EFEITO!$N$297*EFEITO!$AA$297</f>
        <v>12.596224778343874</v>
      </c>
      <c r="M297" s="55">
        <f>$J$297-EFEITO!$K$297*EFEITO!$Y$297</f>
        <v>0</v>
      </c>
      <c r="N297" s="55">
        <f ca="1">$K$297-EFEITO!$M$297*EFEITO!$Z$297</f>
        <v>0</v>
      </c>
      <c r="O297" s="55">
        <f>$L$297-EFEITO!$O$297*EFEITO!$AA$297</f>
        <v>0</v>
      </c>
      <c r="P297" s="39"/>
      <c r="Q297" s="39"/>
      <c r="R297" s="39"/>
      <c r="S297" s="39"/>
      <c r="T297" s="39"/>
      <c r="U297" s="39"/>
      <c r="V297" s="39"/>
      <c r="W297" s="39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35" t="s">
        <v>28</v>
      </c>
      <c r="B298" s="35" t="s">
        <v>22</v>
      </c>
      <c r="C298" s="35" t="s">
        <v>23</v>
      </c>
      <c r="D298" s="35" t="s">
        <v>24</v>
      </c>
      <c r="E298" s="35" t="s">
        <v>24</v>
      </c>
      <c r="F298" s="35" t="s">
        <v>25</v>
      </c>
      <c r="G298" s="35" t="s">
        <v>25</v>
      </c>
      <c r="H298" s="35" t="s">
        <v>25</v>
      </c>
      <c r="I298" s="54">
        <v>44562</v>
      </c>
      <c r="J298" s="55">
        <f>EFEITO!$J$298*EFEITO!$Y$298</f>
        <v>0</v>
      </c>
      <c r="K298" s="55">
        <f ca="1">EFEITO!$L$298*EFEITO!$Z$298</f>
        <v>19413.781074748025</v>
      </c>
      <c r="L298" s="55">
        <f>EFEITO!$N$298*EFEITO!$AA$298</f>
        <v>10025.083376588322</v>
      </c>
      <c r="M298" s="55">
        <f>$J$298-EFEITO!$K$298*EFEITO!$Y$298</f>
        <v>0</v>
      </c>
      <c r="N298" s="55">
        <f ca="1">$K$298-EFEITO!$M$298*EFEITO!$Z$298</f>
        <v>0</v>
      </c>
      <c r="O298" s="55">
        <f>$L$298-EFEITO!$O$298*EFEITO!$AA$298</f>
        <v>0</v>
      </c>
      <c r="P298" s="39"/>
      <c r="Q298" s="39"/>
      <c r="R298" s="39"/>
      <c r="S298" s="39"/>
      <c r="T298" s="39"/>
      <c r="U298" s="39"/>
      <c r="V298" s="39"/>
      <c r="W298" s="39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35" t="s">
        <v>21</v>
      </c>
      <c r="B299" s="35" t="s">
        <v>22</v>
      </c>
      <c r="C299" s="35" t="s">
        <v>23</v>
      </c>
      <c r="D299" s="35" t="s">
        <v>24</v>
      </c>
      <c r="E299" s="35" t="s">
        <v>24</v>
      </c>
      <c r="F299" s="35" t="s">
        <v>25</v>
      </c>
      <c r="G299" s="35" t="s">
        <v>25</v>
      </c>
      <c r="H299" s="35" t="s">
        <v>25</v>
      </c>
      <c r="I299" s="54">
        <v>44593</v>
      </c>
      <c r="J299" s="55">
        <f>EFEITO!$J$299*EFEITO!$Y$299</f>
        <v>0</v>
      </c>
      <c r="K299" s="55">
        <f ca="1">EFEITO!$L$299*EFEITO!$Z$299</f>
        <v>712737.10936469072</v>
      </c>
      <c r="L299" s="55">
        <f>EFEITO!$N$299*EFEITO!$AA$299</f>
        <v>368050.35142090748</v>
      </c>
      <c r="M299" s="55">
        <f>$J$299-EFEITO!$K$299*EFEITO!$Y$299</f>
        <v>0</v>
      </c>
      <c r="N299" s="55">
        <f ca="1">$K$299-EFEITO!$M$299*EFEITO!$Z$299</f>
        <v>0</v>
      </c>
      <c r="O299" s="55">
        <f>$L$299-EFEITO!$O$299*EFEITO!$AA$299</f>
        <v>0</v>
      </c>
      <c r="P299" s="39"/>
      <c r="Q299" s="39"/>
      <c r="R299" s="39"/>
      <c r="S299" s="39"/>
      <c r="T299" s="39"/>
      <c r="U299" s="39"/>
      <c r="V299" s="39"/>
      <c r="W299" s="39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35" t="s">
        <v>28</v>
      </c>
      <c r="B300" s="35" t="s">
        <v>22</v>
      </c>
      <c r="C300" s="35" t="s">
        <v>23</v>
      </c>
      <c r="D300" s="35" t="s">
        <v>24</v>
      </c>
      <c r="E300" s="35" t="s">
        <v>24</v>
      </c>
      <c r="F300" s="35" t="s">
        <v>25</v>
      </c>
      <c r="G300" s="35" t="s">
        <v>25</v>
      </c>
      <c r="H300" s="35" t="s">
        <v>25</v>
      </c>
      <c r="I300" s="54">
        <v>44593</v>
      </c>
      <c r="J300" s="55">
        <f>EFEITO!$J$300*EFEITO!$Y$300</f>
        <v>0</v>
      </c>
      <c r="K300" s="55">
        <f ca="1">EFEITO!$L$300*EFEITO!$Z$300</f>
        <v>22089.18880993218</v>
      </c>
      <c r="L300" s="55">
        <f>EFEITO!$N$300*EFEITO!$AA$300</f>
        <v>11406.637310277078</v>
      </c>
      <c r="M300" s="55">
        <f>$J$300-EFEITO!$K$300*EFEITO!$Y$300</f>
        <v>0</v>
      </c>
      <c r="N300" s="55">
        <f ca="1">$K$300-EFEITO!$M$300*EFEITO!$Z$300</f>
        <v>0</v>
      </c>
      <c r="O300" s="55">
        <f>$L$300-EFEITO!$O$300*EFEITO!$AA$300</f>
        <v>0</v>
      </c>
      <c r="P300" s="39"/>
      <c r="Q300" s="39"/>
      <c r="R300" s="39"/>
      <c r="S300" s="39"/>
      <c r="T300" s="39"/>
      <c r="U300" s="39"/>
      <c r="V300" s="39"/>
      <c r="W300" s="39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35" t="s">
        <v>21</v>
      </c>
      <c r="B301" s="35" t="s">
        <v>22</v>
      </c>
      <c r="C301" s="35" t="s">
        <v>23</v>
      </c>
      <c r="D301" s="35" t="s">
        <v>24</v>
      </c>
      <c r="E301" s="35" t="s">
        <v>24</v>
      </c>
      <c r="F301" s="35" t="s">
        <v>25</v>
      </c>
      <c r="G301" s="35" t="s">
        <v>25</v>
      </c>
      <c r="H301" s="35" t="s">
        <v>25</v>
      </c>
      <c r="I301" s="54">
        <v>44621</v>
      </c>
      <c r="J301" s="55">
        <f>EFEITO!$J$301*EFEITO!$Y$301</f>
        <v>0</v>
      </c>
      <c r="K301" s="55">
        <f ca="1">EFEITO!$L$301*EFEITO!$Z$301</f>
        <v>632108.00885240862</v>
      </c>
      <c r="L301" s="55">
        <f>EFEITO!$N$301*EFEITO!$AA$301</f>
        <v>326414.28618957853</v>
      </c>
      <c r="M301" s="55">
        <f>$J$301-EFEITO!$K$301*EFEITO!$Y$301</f>
        <v>0</v>
      </c>
      <c r="N301" s="55">
        <f ca="1">$K$301-EFEITO!$M$301*EFEITO!$Z$301</f>
        <v>0</v>
      </c>
      <c r="O301" s="55">
        <f>$L$301-EFEITO!$O$301*EFEITO!$AA$301</f>
        <v>0</v>
      </c>
      <c r="P301" s="39"/>
      <c r="Q301" s="39"/>
      <c r="R301" s="39"/>
      <c r="S301" s="39"/>
      <c r="T301" s="39"/>
      <c r="U301" s="39"/>
      <c r="V301" s="39"/>
      <c r="W301" s="39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35" t="s">
        <v>27</v>
      </c>
      <c r="B302" s="35" t="s">
        <v>22</v>
      </c>
      <c r="C302" s="35" t="s">
        <v>23</v>
      </c>
      <c r="D302" s="35" t="s">
        <v>24</v>
      </c>
      <c r="E302" s="35" t="s">
        <v>24</v>
      </c>
      <c r="F302" s="35" t="s">
        <v>25</v>
      </c>
      <c r="G302" s="35" t="s">
        <v>25</v>
      </c>
      <c r="H302" s="35" t="s">
        <v>25</v>
      </c>
      <c r="I302" s="54">
        <v>44621</v>
      </c>
      <c r="J302" s="55">
        <f>EFEITO!$J$302*EFEITO!$Y$302</f>
        <v>0</v>
      </c>
      <c r="K302" s="55">
        <f ca="1">EFEITO!$L$302*EFEITO!$Z$302</f>
        <v>-1101.5810842534313</v>
      </c>
      <c r="L302" s="55">
        <f>EFEITO!$N$302*EFEITO!$AA$302</f>
        <v>-568.8455109900093</v>
      </c>
      <c r="M302" s="55">
        <f>$J$302-EFEITO!$K$302*EFEITO!$Y$302</f>
        <v>0</v>
      </c>
      <c r="N302" s="55">
        <f ca="1">$K$302-EFEITO!$M$302*EFEITO!$Z$302</f>
        <v>0</v>
      </c>
      <c r="O302" s="55">
        <f>$L$302-EFEITO!$O$302*EFEITO!$AA$302</f>
        <v>0</v>
      </c>
      <c r="P302" s="39"/>
      <c r="Q302" s="39"/>
      <c r="R302" s="39"/>
      <c r="S302" s="39"/>
      <c r="T302" s="39"/>
      <c r="U302" s="39"/>
      <c r="V302" s="39"/>
      <c r="W302" s="39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35" t="s">
        <v>28</v>
      </c>
      <c r="B303" s="35" t="s">
        <v>22</v>
      </c>
      <c r="C303" s="35" t="s">
        <v>23</v>
      </c>
      <c r="D303" s="35" t="s">
        <v>24</v>
      </c>
      <c r="E303" s="35" t="s">
        <v>24</v>
      </c>
      <c r="F303" s="35" t="s">
        <v>25</v>
      </c>
      <c r="G303" s="35" t="s">
        <v>25</v>
      </c>
      <c r="H303" s="35" t="s">
        <v>25</v>
      </c>
      <c r="I303" s="54">
        <v>44621</v>
      </c>
      <c r="J303" s="55">
        <f>EFEITO!$J$303*EFEITO!$Y$303</f>
        <v>0</v>
      </c>
      <c r="K303" s="55">
        <f ca="1">EFEITO!$L$303*EFEITO!$Z$303</f>
        <v>20367.541490919622</v>
      </c>
      <c r="L303" s="55">
        <f>EFEITO!$N$303*EFEITO!$AA$303</f>
        <v>10517.595765421569</v>
      </c>
      <c r="M303" s="55">
        <f>$J$303-EFEITO!$K$303*EFEITO!$Y$303</f>
        <v>0</v>
      </c>
      <c r="N303" s="55">
        <f ca="1">$K$303-EFEITO!$M$303*EFEITO!$Z$303</f>
        <v>0</v>
      </c>
      <c r="O303" s="55">
        <f>$L$303-EFEITO!$O$303*EFEITO!$AA$303</f>
        <v>0</v>
      </c>
      <c r="P303" s="39"/>
      <c r="Q303" s="39"/>
      <c r="R303" s="39"/>
      <c r="S303" s="39"/>
      <c r="T303" s="39"/>
      <c r="U303" s="39"/>
      <c r="V303" s="39"/>
      <c r="W303" s="39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35" t="s">
        <v>21</v>
      </c>
      <c r="B304" s="35" t="s">
        <v>22</v>
      </c>
      <c r="C304" s="35" t="s">
        <v>23</v>
      </c>
      <c r="D304" s="35" t="s">
        <v>24</v>
      </c>
      <c r="E304" s="35" t="s">
        <v>24</v>
      </c>
      <c r="F304" s="35" t="s">
        <v>25</v>
      </c>
      <c r="G304" s="35" t="s">
        <v>25</v>
      </c>
      <c r="H304" s="35" t="s">
        <v>25</v>
      </c>
      <c r="I304" s="54">
        <v>44652</v>
      </c>
      <c r="J304" s="55">
        <f>EFEITO!$J$304*EFEITO!$Y$304</f>
        <v>0</v>
      </c>
      <c r="K304" s="55">
        <f ca="1">EFEITO!$L$304*EFEITO!$Z$304</f>
        <v>507157.10076509352</v>
      </c>
      <c r="L304" s="55">
        <f>EFEITO!$N$304*EFEITO!$AA$304</f>
        <v>261890.8805359987</v>
      </c>
      <c r="M304" s="55">
        <f>$J$304-EFEITO!$K$304*EFEITO!$Y$304</f>
        <v>0</v>
      </c>
      <c r="N304" s="55">
        <f ca="1">$K$304-EFEITO!$M$304*EFEITO!$Z$304</f>
        <v>0</v>
      </c>
      <c r="O304" s="55">
        <f>$L$304-EFEITO!$O$304*EFEITO!$AA$304</f>
        <v>0</v>
      </c>
      <c r="P304" s="39"/>
      <c r="Q304" s="39"/>
      <c r="R304" s="39"/>
      <c r="S304" s="39"/>
      <c r="T304" s="39"/>
      <c r="U304" s="39"/>
      <c r="V304" s="39"/>
      <c r="W304" s="39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35" t="s">
        <v>27</v>
      </c>
      <c r="B305" s="35" t="s">
        <v>22</v>
      </c>
      <c r="C305" s="35" t="s">
        <v>23</v>
      </c>
      <c r="D305" s="35" t="s">
        <v>24</v>
      </c>
      <c r="E305" s="35" t="s">
        <v>24</v>
      </c>
      <c r="F305" s="35" t="s">
        <v>25</v>
      </c>
      <c r="G305" s="35" t="s">
        <v>25</v>
      </c>
      <c r="H305" s="35" t="s">
        <v>25</v>
      </c>
      <c r="I305" s="54">
        <v>44652</v>
      </c>
      <c r="J305" s="55">
        <f>EFEITO!$J$305*EFEITO!$Y$305</f>
        <v>0</v>
      </c>
      <c r="K305" s="55">
        <f ca="1">EFEITO!$L$305*EFEITO!$Z$305</f>
        <v>-1573.8266509307216</v>
      </c>
      <c r="L305" s="55">
        <f>EFEITO!$N$305*EFEITO!$AA$305</f>
        <v>-812.70842269874674</v>
      </c>
      <c r="M305" s="55">
        <f>$J$305-EFEITO!$K$305*EFEITO!$Y$305</f>
        <v>0</v>
      </c>
      <c r="N305" s="55">
        <f ca="1">$K$305-EFEITO!$M$305*EFEITO!$Z$305</f>
        <v>0</v>
      </c>
      <c r="O305" s="55">
        <f>$L$305-EFEITO!$O$305*EFEITO!$AA$305</f>
        <v>0</v>
      </c>
      <c r="P305" s="39"/>
      <c r="Q305" s="39"/>
      <c r="R305" s="39"/>
      <c r="S305" s="39"/>
      <c r="T305" s="39"/>
      <c r="U305" s="39"/>
      <c r="V305" s="39"/>
      <c r="W305" s="39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35" t="s">
        <v>28</v>
      </c>
      <c r="B306" s="35" t="s">
        <v>22</v>
      </c>
      <c r="C306" s="35" t="s">
        <v>23</v>
      </c>
      <c r="D306" s="35" t="s">
        <v>24</v>
      </c>
      <c r="E306" s="35" t="s">
        <v>24</v>
      </c>
      <c r="F306" s="35" t="s">
        <v>25</v>
      </c>
      <c r="G306" s="35" t="s">
        <v>25</v>
      </c>
      <c r="H306" s="35" t="s">
        <v>25</v>
      </c>
      <c r="I306" s="54">
        <v>44652</v>
      </c>
      <c r="J306" s="55">
        <f>EFEITO!$J$306*EFEITO!$Y$306</f>
        <v>0</v>
      </c>
      <c r="K306" s="55">
        <f ca="1">EFEITO!$L$306*EFEITO!$Z$306</f>
        <v>15463.115166739042</v>
      </c>
      <c r="L306" s="55">
        <f>EFEITO!$N$306*EFEITO!$AA$306</f>
        <v>7984.9988114877488</v>
      </c>
      <c r="M306" s="55">
        <f>$J$306-EFEITO!$K$306*EFEITO!$Y$306</f>
        <v>0</v>
      </c>
      <c r="N306" s="55">
        <f ca="1">$K$306-EFEITO!$M$306*EFEITO!$Z$306</f>
        <v>0</v>
      </c>
      <c r="O306" s="55">
        <f>$L$306-EFEITO!$O$306*EFEITO!$AA$306</f>
        <v>0</v>
      </c>
      <c r="P306" s="39"/>
      <c r="Q306" s="39"/>
      <c r="R306" s="39"/>
      <c r="S306" s="39"/>
      <c r="T306" s="39"/>
      <c r="U306" s="39"/>
      <c r="V306" s="39"/>
      <c r="W306" s="39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35" t="s">
        <v>21</v>
      </c>
      <c r="B307" s="35" t="s">
        <v>22</v>
      </c>
      <c r="C307" s="35" t="s">
        <v>23</v>
      </c>
      <c r="D307" s="35" t="s">
        <v>24</v>
      </c>
      <c r="E307" s="35" t="s">
        <v>24</v>
      </c>
      <c r="F307" s="35" t="s">
        <v>25</v>
      </c>
      <c r="G307" s="35" t="s">
        <v>25</v>
      </c>
      <c r="H307" s="35" t="s">
        <v>25</v>
      </c>
      <c r="I307" s="54">
        <v>44682</v>
      </c>
      <c r="J307" s="55">
        <f>EFEITO!$J$307*EFEITO!$Y$307</f>
        <v>0</v>
      </c>
      <c r="K307" s="55">
        <f ca="1">EFEITO!$L$307*EFEITO!$Z$307</f>
        <v>477664.19426931988</v>
      </c>
      <c r="L307" s="55">
        <f>EFEITO!$N$307*EFEITO!$AA$307</f>
        <v>246661.03708099871</v>
      </c>
      <c r="M307" s="55">
        <f>$J$307-EFEITO!$K$307*EFEITO!$Y$307</f>
        <v>0</v>
      </c>
      <c r="N307" s="55">
        <f ca="1">$K$307-EFEITO!$M$307*EFEITO!$Z$307</f>
        <v>0</v>
      </c>
      <c r="O307" s="55">
        <f>$L$307-EFEITO!$O$307*EFEITO!$AA$307</f>
        <v>0</v>
      </c>
      <c r="P307" s="39"/>
      <c r="Q307" s="39"/>
      <c r="R307" s="39"/>
      <c r="S307" s="39"/>
      <c r="T307" s="39"/>
      <c r="U307" s="39"/>
      <c r="V307" s="39"/>
      <c r="W307" s="39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35" t="s">
        <v>27</v>
      </c>
      <c r="B308" s="35" t="s">
        <v>22</v>
      </c>
      <c r="C308" s="35" t="s">
        <v>23</v>
      </c>
      <c r="D308" s="35" t="s">
        <v>24</v>
      </c>
      <c r="E308" s="35" t="s">
        <v>24</v>
      </c>
      <c r="F308" s="35" t="s">
        <v>25</v>
      </c>
      <c r="G308" s="35" t="s">
        <v>25</v>
      </c>
      <c r="H308" s="35" t="s">
        <v>25</v>
      </c>
      <c r="I308" s="54">
        <v>44682</v>
      </c>
      <c r="J308" s="55">
        <f>EFEITO!$J$308*EFEITO!$Y$308</f>
        <v>0</v>
      </c>
      <c r="K308" s="55">
        <f ca="1">EFEITO!$L$308*EFEITO!$Z$308</f>
        <v>-97.571398073820319</v>
      </c>
      <c r="L308" s="55">
        <f>EFEITO!$N$308*EFEITO!$AA$308</f>
        <v>-50.384899113375496</v>
      </c>
      <c r="M308" s="55">
        <f>$J$308-EFEITO!$K$308*EFEITO!$Y$308</f>
        <v>0</v>
      </c>
      <c r="N308" s="55">
        <f ca="1">$K$308-EFEITO!$M$308*EFEITO!$Z$308</f>
        <v>0</v>
      </c>
      <c r="O308" s="55">
        <f>$L$308-EFEITO!$O$308*EFEITO!$AA$308</f>
        <v>0</v>
      </c>
      <c r="P308" s="39"/>
      <c r="Q308" s="39"/>
      <c r="R308" s="39"/>
      <c r="S308" s="39"/>
      <c r="T308" s="39"/>
      <c r="U308" s="39"/>
      <c r="V308" s="39"/>
      <c r="W308" s="39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35" t="s">
        <v>28</v>
      </c>
      <c r="B309" s="35" t="s">
        <v>22</v>
      </c>
      <c r="C309" s="35" t="s">
        <v>23</v>
      </c>
      <c r="D309" s="35" t="s">
        <v>24</v>
      </c>
      <c r="E309" s="35" t="s">
        <v>24</v>
      </c>
      <c r="F309" s="35" t="s">
        <v>25</v>
      </c>
      <c r="G309" s="35" t="s">
        <v>25</v>
      </c>
      <c r="H309" s="35" t="s">
        <v>25</v>
      </c>
      <c r="I309" s="54">
        <v>44682</v>
      </c>
      <c r="J309" s="55">
        <f>EFEITO!$J$309*EFEITO!$Y$309</f>
        <v>0</v>
      </c>
      <c r="K309" s="55">
        <f ca="1">EFEITO!$L$309*EFEITO!$Z$309</f>
        <v>18843.964109996916</v>
      </c>
      <c r="L309" s="55">
        <f>EFEITO!$N$309*EFEITO!$AA$309</f>
        <v>9730.8355657662087</v>
      </c>
      <c r="M309" s="55">
        <f>$J$309-EFEITO!$K$309*EFEITO!$Y$309</f>
        <v>0</v>
      </c>
      <c r="N309" s="55">
        <f ca="1">$K$309-EFEITO!$M$309*EFEITO!$Z$309</f>
        <v>0</v>
      </c>
      <c r="O309" s="55">
        <f>$L$309-EFEITO!$O$309*EFEITO!$AA$309</f>
        <v>0</v>
      </c>
      <c r="P309" s="39"/>
      <c r="Q309" s="39"/>
      <c r="R309" s="39"/>
      <c r="S309" s="39"/>
      <c r="T309" s="39"/>
      <c r="U309" s="39"/>
      <c r="V309" s="39"/>
      <c r="W309" s="39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35" t="s">
        <v>21</v>
      </c>
      <c r="B310" s="35" t="s">
        <v>22</v>
      </c>
      <c r="C310" s="35" t="s">
        <v>23</v>
      </c>
      <c r="D310" s="35" t="s">
        <v>24</v>
      </c>
      <c r="E310" s="35" t="s">
        <v>24</v>
      </c>
      <c r="F310" s="35" t="s">
        <v>25</v>
      </c>
      <c r="G310" s="35" t="s">
        <v>25</v>
      </c>
      <c r="H310" s="35" t="s">
        <v>25</v>
      </c>
      <c r="I310" s="54">
        <v>44713</v>
      </c>
      <c r="J310" s="55">
        <f>EFEITO!$J$310*EFEITO!$Y$310</f>
        <v>0</v>
      </c>
      <c r="K310" s="55">
        <f ca="1">EFEITO!$L$310*EFEITO!$Z$310</f>
        <v>460135.00474836776</v>
      </c>
      <c r="L310" s="55">
        <f>EFEITO!$N$310*EFEITO!$AA$310</f>
        <v>237609.13803078525</v>
      </c>
      <c r="M310" s="55">
        <f>$J$310-EFEITO!$K$310*EFEITO!$Y$310</f>
        <v>0</v>
      </c>
      <c r="N310" s="55">
        <f ca="1">$K$310-EFEITO!$M$310*EFEITO!$Z$310</f>
        <v>0</v>
      </c>
      <c r="O310" s="55">
        <f>$L$310-EFEITO!$O$310*EFEITO!$AA$310</f>
        <v>0</v>
      </c>
      <c r="P310" s="39"/>
      <c r="Q310" s="39"/>
      <c r="R310" s="39"/>
      <c r="S310" s="39"/>
      <c r="T310" s="39"/>
      <c r="U310" s="39"/>
      <c r="V310" s="39"/>
      <c r="W310" s="39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35" t="s">
        <v>28</v>
      </c>
      <c r="B311" s="35" t="s">
        <v>22</v>
      </c>
      <c r="C311" s="35" t="s">
        <v>23</v>
      </c>
      <c r="D311" s="35" t="s">
        <v>24</v>
      </c>
      <c r="E311" s="35" t="s">
        <v>24</v>
      </c>
      <c r="F311" s="35" t="s">
        <v>25</v>
      </c>
      <c r="G311" s="35" t="s">
        <v>25</v>
      </c>
      <c r="H311" s="35" t="s">
        <v>25</v>
      </c>
      <c r="I311" s="54">
        <v>44713</v>
      </c>
      <c r="J311" s="55">
        <f>EFEITO!$J$311*EFEITO!$Y$311</f>
        <v>0</v>
      </c>
      <c r="K311" s="55">
        <f ca="1">EFEITO!$L$311*EFEITO!$Z$311</f>
        <v>26474.047439369664</v>
      </c>
      <c r="L311" s="55">
        <f>EFEITO!$N$311*EFEITO!$AA$311</f>
        <v>13670.934676432173</v>
      </c>
      <c r="M311" s="55">
        <f>$J$311-EFEITO!$K$311*EFEITO!$Y$311</f>
        <v>0</v>
      </c>
      <c r="N311" s="55">
        <f ca="1">$K$311-EFEITO!$M$311*EFEITO!$Z$311</f>
        <v>0</v>
      </c>
      <c r="O311" s="55">
        <f>$L$311-EFEITO!$O$311*EFEITO!$AA$311</f>
        <v>0</v>
      </c>
      <c r="P311" s="39"/>
      <c r="Q311" s="39"/>
      <c r="R311" s="39"/>
      <c r="S311" s="39"/>
      <c r="T311" s="39"/>
      <c r="U311" s="39"/>
      <c r="V311" s="39"/>
      <c r="W311" s="39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35" t="s">
        <v>28</v>
      </c>
      <c r="B312" s="35" t="s">
        <v>22</v>
      </c>
      <c r="C312" s="35" t="s">
        <v>23</v>
      </c>
      <c r="D312" s="35" t="s">
        <v>24</v>
      </c>
      <c r="E312" s="35" t="s">
        <v>24</v>
      </c>
      <c r="F312" s="35" t="s">
        <v>25</v>
      </c>
      <c r="G312" s="35" t="s">
        <v>25</v>
      </c>
      <c r="H312" s="35" t="s">
        <v>25</v>
      </c>
      <c r="I312" s="54">
        <v>44713</v>
      </c>
      <c r="J312" s="55">
        <f>EFEITO!$J$312*EFEITO!$Y$312</f>
        <v>0</v>
      </c>
      <c r="K312" s="55">
        <f ca="1">EFEITO!$L$312*EFEITO!$Z$312</f>
        <v>-169.77423264844731</v>
      </c>
      <c r="L312" s="55">
        <f>EFEITO!$N$312*EFEITO!$AA$312</f>
        <v>-87.669724457273361</v>
      </c>
      <c r="M312" s="55">
        <f>$J$312-EFEITO!$K$312*EFEITO!$Y$312</f>
        <v>0</v>
      </c>
      <c r="N312" s="55">
        <f ca="1">$K$312-EFEITO!$M$312*EFEITO!$Z$312</f>
        <v>0</v>
      </c>
      <c r="O312" s="55">
        <f>$L$312-EFEITO!$O$312*EFEITO!$AA$312</f>
        <v>0</v>
      </c>
      <c r="P312" s="39"/>
      <c r="Q312" s="39"/>
      <c r="R312" s="39"/>
      <c r="S312" s="39"/>
      <c r="T312" s="39"/>
      <c r="U312" s="39"/>
      <c r="V312" s="39"/>
      <c r="W312" s="39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35" t="s">
        <v>21</v>
      </c>
      <c r="B313" s="35" t="s">
        <v>22</v>
      </c>
      <c r="C313" s="35" t="s">
        <v>23</v>
      </c>
      <c r="D313" s="35" t="s">
        <v>24</v>
      </c>
      <c r="E313" s="35" t="s">
        <v>29</v>
      </c>
      <c r="F313" s="35" t="s">
        <v>25</v>
      </c>
      <c r="G313" s="35" t="s">
        <v>25</v>
      </c>
      <c r="H313" s="35" t="s">
        <v>25</v>
      </c>
      <c r="I313" s="54">
        <v>44378</v>
      </c>
      <c r="J313" s="55">
        <f>EFEITO!$J$313*EFEITO!$Y$277</f>
        <v>0</v>
      </c>
      <c r="K313" s="55">
        <f ca="1">EFEITO!$L$313*EFEITO!$Z$379</f>
        <v>3107.2139522348416</v>
      </c>
      <c r="L313" s="55">
        <f>EFEITO!$N$313*EFEITO!$AA$379</f>
        <v>2025.4729443576948</v>
      </c>
      <c r="M313" s="55">
        <f>$J$313-EFEITO!$K$313*EFEITO!$Y$313</f>
        <v>0</v>
      </c>
      <c r="N313" s="55">
        <f ca="1">$K$313-EFEITO!$M$313*EFEITO!$Z$313</f>
        <v>2019.6890689526472</v>
      </c>
      <c r="O313" s="55">
        <f>$L$313-EFEITO!$O$313*EFEITO!$AA$313</f>
        <v>1316.5574138325019</v>
      </c>
      <c r="P313" s="39"/>
      <c r="Q313" s="39"/>
      <c r="R313" s="39"/>
      <c r="S313" s="39"/>
      <c r="T313" s="39"/>
      <c r="U313" s="39"/>
      <c r="V313" s="39"/>
      <c r="W313" s="39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35" t="s">
        <v>28</v>
      </c>
      <c r="B314" s="35" t="s">
        <v>22</v>
      </c>
      <c r="C314" s="35" t="s">
        <v>23</v>
      </c>
      <c r="D314" s="35" t="s">
        <v>24</v>
      </c>
      <c r="E314" s="35" t="s">
        <v>29</v>
      </c>
      <c r="F314" s="35" t="s">
        <v>25</v>
      </c>
      <c r="G314" s="35" t="s">
        <v>25</v>
      </c>
      <c r="H314" s="35" t="s">
        <v>25</v>
      </c>
      <c r="I314" s="54">
        <v>44378</v>
      </c>
      <c r="J314" s="55">
        <f>EFEITO!$J$314*EFEITO!$Y$277</f>
        <v>0</v>
      </c>
      <c r="K314" s="55">
        <f ca="1">EFEITO!$L$314*EFEITO!$Z$379</f>
        <v>34.782245733972111</v>
      </c>
      <c r="L314" s="55">
        <f>EFEITO!$N$314*EFEITO!$AA$379</f>
        <v>22.673204601018973</v>
      </c>
      <c r="M314" s="55">
        <f>$J$314-EFEITO!$K$314*EFEITO!$Y$314</f>
        <v>0</v>
      </c>
      <c r="N314" s="55">
        <f ca="1">$K$314-EFEITO!$M$314*EFEITO!$Z$314</f>
        <v>46.347342440517835</v>
      </c>
      <c r="O314" s="55">
        <f>$L$314-EFEITO!$O$314*EFEITO!$AA$314</f>
        <v>30.212045130857781</v>
      </c>
      <c r="P314" s="39"/>
      <c r="Q314" s="39"/>
      <c r="R314" s="39"/>
      <c r="S314" s="39"/>
      <c r="T314" s="39"/>
      <c r="U314" s="39"/>
      <c r="V314" s="39"/>
      <c r="W314" s="39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35" t="s">
        <v>21</v>
      </c>
      <c r="B315" s="35" t="s">
        <v>22</v>
      </c>
      <c r="C315" s="35" t="s">
        <v>23</v>
      </c>
      <c r="D315" s="35" t="s">
        <v>24</v>
      </c>
      <c r="E315" s="35" t="s">
        <v>29</v>
      </c>
      <c r="F315" s="35" t="s">
        <v>25</v>
      </c>
      <c r="G315" s="35" t="s">
        <v>25</v>
      </c>
      <c r="H315" s="35" t="s">
        <v>25</v>
      </c>
      <c r="I315" s="54">
        <v>44409</v>
      </c>
      <c r="J315" s="55">
        <f>EFEITO!$J$315*EFEITO!$Y$277</f>
        <v>0</v>
      </c>
      <c r="K315" s="55">
        <f ca="1">EFEITO!$L$315*EFEITO!$Z$379</f>
        <v>3292.719262816026</v>
      </c>
      <c r="L315" s="55">
        <f>EFEITO!$N$315*EFEITO!$AA$379</f>
        <v>2146.3967022297961</v>
      </c>
      <c r="M315" s="55">
        <f>$J$315-EFEITO!$K$315*EFEITO!$Y$315</f>
        <v>0</v>
      </c>
      <c r="N315" s="55">
        <f ca="1">$K$315-EFEITO!$M$315*EFEITO!$Z$315</f>
        <v>2140.2675208304167</v>
      </c>
      <c r="O315" s="55">
        <f>$L$315-EFEITO!$O$315*EFEITO!$AA$315</f>
        <v>1395.1578564493675</v>
      </c>
      <c r="P315" s="39"/>
      <c r="Q315" s="39"/>
      <c r="R315" s="39"/>
      <c r="S315" s="39"/>
      <c r="T315" s="39"/>
      <c r="U315" s="39"/>
      <c r="V315" s="39"/>
      <c r="W315" s="39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35" t="s">
        <v>28</v>
      </c>
      <c r="B316" s="35" t="s">
        <v>22</v>
      </c>
      <c r="C316" s="35" t="s">
        <v>23</v>
      </c>
      <c r="D316" s="35" t="s">
        <v>24</v>
      </c>
      <c r="E316" s="35" t="s">
        <v>29</v>
      </c>
      <c r="F316" s="35" t="s">
        <v>25</v>
      </c>
      <c r="G316" s="35" t="s">
        <v>25</v>
      </c>
      <c r="H316" s="35" t="s">
        <v>25</v>
      </c>
      <c r="I316" s="54">
        <v>44409</v>
      </c>
      <c r="J316" s="55">
        <f>EFEITO!$J$316*EFEITO!$Y$277</f>
        <v>0</v>
      </c>
      <c r="K316" s="55">
        <f ca="1">EFEITO!$L$316*EFEITO!$Z$379</f>
        <v>29.371674175354226</v>
      </c>
      <c r="L316" s="55">
        <f>EFEITO!$N$316*EFEITO!$AA$379</f>
        <v>19.146261663082687</v>
      </c>
      <c r="M316" s="55">
        <f>$J$316-EFEITO!$K$316*EFEITO!$Y$316</f>
        <v>0</v>
      </c>
      <c r="N316" s="55">
        <f ca="1">$K$316-EFEITO!$M$316*EFEITO!$Z$316</f>
        <v>39.137755838659508</v>
      </c>
      <c r="O316" s="55">
        <f>$L$316-EFEITO!$O$316*EFEITO!$AA$316</f>
        <v>25.51239366605768</v>
      </c>
      <c r="P316" s="39"/>
      <c r="Q316" s="39"/>
      <c r="R316" s="39"/>
      <c r="S316" s="39"/>
      <c r="T316" s="39"/>
      <c r="U316" s="39"/>
      <c r="V316" s="39"/>
      <c r="W316" s="39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35" t="s">
        <v>21</v>
      </c>
      <c r="B317" s="35" t="s">
        <v>22</v>
      </c>
      <c r="C317" s="35" t="s">
        <v>23</v>
      </c>
      <c r="D317" s="35" t="s">
        <v>24</v>
      </c>
      <c r="E317" s="35" t="s">
        <v>29</v>
      </c>
      <c r="F317" s="35" t="s">
        <v>25</v>
      </c>
      <c r="G317" s="35" t="s">
        <v>25</v>
      </c>
      <c r="H317" s="35" t="s">
        <v>25</v>
      </c>
      <c r="I317" s="54">
        <v>44440</v>
      </c>
      <c r="J317" s="55">
        <f>EFEITO!$J$317*EFEITO!$Y$277</f>
        <v>0</v>
      </c>
      <c r="K317" s="55">
        <f ca="1">EFEITO!$L$317*EFEITO!$Z$379</f>
        <v>3286.53575246332</v>
      </c>
      <c r="L317" s="55">
        <f>EFEITO!$N$317*EFEITO!$AA$379</f>
        <v>2142.3659103007258</v>
      </c>
      <c r="M317" s="55">
        <f>$J$317-EFEITO!$K$317*EFEITO!$Y$317</f>
        <v>0</v>
      </c>
      <c r="N317" s="55">
        <f ca="1">$K$317-EFEITO!$M$317*EFEITO!$Z$317</f>
        <v>2136.2482391011581</v>
      </c>
      <c r="O317" s="55">
        <f>$L$317-EFEITO!$O$317*EFEITO!$AA$317</f>
        <v>1392.5378416954718</v>
      </c>
      <c r="P317" s="39"/>
      <c r="Q317" s="39"/>
      <c r="R317" s="39"/>
      <c r="S317" s="39"/>
      <c r="T317" s="39"/>
      <c r="U317" s="39"/>
      <c r="V317" s="39"/>
      <c r="W317" s="39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35" t="s">
        <v>28</v>
      </c>
      <c r="B318" s="35" t="s">
        <v>22</v>
      </c>
      <c r="C318" s="35" t="s">
        <v>23</v>
      </c>
      <c r="D318" s="35" t="s">
        <v>24</v>
      </c>
      <c r="E318" s="35" t="s">
        <v>29</v>
      </c>
      <c r="F318" s="35" t="s">
        <v>25</v>
      </c>
      <c r="G318" s="35" t="s">
        <v>25</v>
      </c>
      <c r="H318" s="35" t="s">
        <v>25</v>
      </c>
      <c r="I318" s="54">
        <v>44440</v>
      </c>
      <c r="J318" s="55">
        <f>EFEITO!$J$318*EFEITO!$Y$277</f>
        <v>0</v>
      </c>
      <c r="K318" s="55">
        <f ca="1">EFEITO!$L$318*EFEITO!$Z$379</f>
        <v>23.961102616736341</v>
      </c>
      <c r="L318" s="55">
        <f>EFEITO!$N$318*EFEITO!$AA$379</f>
        <v>15.619318725146403</v>
      </c>
      <c r="M318" s="55">
        <f>$J$318-EFEITO!$K$318*EFEITO!$Y$318</f>
        <v>0</v>
      </c>
      <c r="N318" s="55">
        <f ca="1">$K$318-EFEITO!$M$318*EFEITO!$Z$318</f>
        <v>37.379320082108691</v>
      </c>
      <c r="O318" s="55">
        <f>$L$318-EFEITO!$O$318*EFEITO!$AA$318</f>
        <v>24.366137211228388</v>
      </c>
      <c r="P318" s="39"/>
      <c r="Q318" s="39"/>
      <c r="R318" s="39"/>
      <c r="S318" s="39"/>
      <c r="T318" s="39"/>
      <c r="U318" s="39"/>
      <c r="V318" s="39"/>
      <c r="W318" s="39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35" t="s">
        <v>21</v>
      </c>
      <c r="B319" s="35" t="s">
        <v>22</v>
      </c>
      <c r="C319" s="35" t="s">
        <v>23</v>
      </c>
      <c r="D319" s="35" t="s">
        <v>24</v>
      </c>
      <c r="E319" s="35" t="s">
        <v>29</v>
      </c>
      <c r="F319" s="35" t="s">
        <v>25</v>
      </c>
      <c r="G319" s="35" t="s">
        <v>25</v>
      </c>
      <c r="H319" s="35" t="s">
        <v>25</v>
      </c>
      <c r="I319" s="54">
        <v>44470</v>
      </c>
      <c r="J319" s="55">
        <f>EFEITO!$J$319*EFEITO!$Y$277</f>
        <v>0</v>
      </c>
      <c r="K319" s="55">
        <f ca="1">EFEITO!$L$319*EFEITO!$Z$379</f>
        <v>3350.6896723726463</v>
      </c>
      <c r="L319" s="55">
        <f>EFEITO!$N$319*EFEITO!$AA$379</f>
        <v>2184.1853765648279</v>
      </c>
      <c r="M319" s="55">
        <f>$J$319-EFEITO!$K$319*EFEITO!$Y$319</f>
        <v>0</v>
      </c>
      <c r="N319" s="55">
        <f ca="1">$K$319-EFEITO!$M$319*EFEITO!$Z$319</f>
        <v>2177.9482870422198</v>
      </c>
      <c r="O319" s="55">
        <f>$L$319-EFEITO!$O$319*EFEITO!$AA$319</f>
        <v>1419.7204947671385</v>
      </c>
      <c r="P319" s="39"/>
      <c r="Q319" s="39"/>
      <c r="R319" s="39"/>
      <c r="S319" s="39"/>
      <c r="T319" s="39"/>
      <c r="U319" s="39"/>
      <c r="V319" s="39"/>
      <c r="W319" s="39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35" t="s">
        <v>28</v>
      </c>
      <c r="B320" s="35" t="s">
        <v>22</v>
      </c>
      <c r="C320" s="35" t="s">
        <v>23</v>
      </c>
      <c r="D320" s="35" t="s">
        <v>24</v>
      </c>
      <c r="E320" s="35" t="s">
        <v>29</v>
      </c>
      <c r="F320" s="35" t="s">
        <v>25</v>
      </c>
      <c r="G320" s="35" t="s">
        <v>25</v>
      </c>
      <c r="H320" s="35" t="s">
        <v>25</v>
      </c>
      <c r="I320" s="54">
        <v>44470</v>
      </c>
      <c r="J320" s="55">
        <f>EFEITO!$J$320*EFEITO!$Y$277</f>
        <v>0</v>
      </c>
      <c r="K320" s="55">
        <f ca="1">EFEITO!$L$320*EFEITO!$Z$379</f>
        <v>20.869347440383265</v>
      </c>
      <c r="L320" s="55">
        <f>EFEITO!$N$320*EFEITO!$AA$379</f>
        <v>13.603922760611384</v>
      </c>
      <c r="M320" s="55">
        <f>$J$320-EFEITO!$K$320*EFEITO!$Y$320</f>
        <v>0</v>
      </c>
      <c r="N320" s="55">
        <f ca="1">$K$320-EFEITO!$M$320*EFEITO!$Z$320</f>
        <v>32.556182006997894</v>
      </c>
      <c r="O320" s="55">
        <f>$L$320-EFEITO!$O$320*EFEITO!$AA$320</f>
        <v>21.22211950655376</v>
      </c>
      <c r="P320" s="39"/>
      <c r="Q320" s="39"/>
      <c r="R320" s="39"/>
      <c r="S320" s="39"/>
      <c r="T320" s="39"/>
      <c r="U320" s="39"/>
      <c r="V320" s="39"/>
      <c r="W320" s="39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35" t="s">
        <v>21</v>
      </c>
      <c r="B321" s="35" t="s">
        <v>22</v>
      </c>
      <c r="C321" s="35" t="s">
        <v>23</v>
      </c>
      <c r="D321" s="35" t="s">
        <v>24</v>
      </c>
      <c r="E321" s="35" t="s">
        <v>29</v>
      </c>
      <c r="F321" s="35" t="s">
        <v>25</v>
      </c>
      <c r="G321" s="35" t="s">
        <v>25</v>
      </c>
      <c r="H321" s="35" t="s">
        <v>25</v>
      </c>
      <c r="I321" s="54">
        <v>44501</v>
      </c>
      <c r="J321" s="55">
        <f>EFEITO!$J$321*EFEITO!$Y$277</f>
        <v>0</v>
      </c>
      <c r="K321" s="55">
        <f ca="1">EFEITO!$L$321*EFEITO!$Z$379</f>
        <v>3373.877836195295</v>
      </c>
      <c r="L321" s="55">
        <f>EFEITO!$N$321*EFEITO!$AA$379</f>
        <v>2199.3008462988405</v>
      </c>
      <c r="M321" s="55">
        <f>$J$321-EFEITO!$K$321*EFEITO!$Y$321</f>
        <v>0</v>
      </c>
      <c r="N321" s="55">
        <f ca="1">$K$321-EFEITO!$M$321*EFEITO!$Z$321</f>
        <v>2193.0205935269419</v>
      </c>
      <c r="O321" s="55">
        <f>$L$321-EFEITO!$O$321*EFEITO!$AA$321</f>
        <v>1429.5455500942462</v>
      </c>
      <c r="P321" s="39"/>
      <c r="Q321" s="39"/>
      <c r="R321" s="39"/>
      <c r="S321" s="39"/>
      <c r="T321" s="39"/>
      <c r="U321" s="39"/>
      <c r="V321" s="39"/>
      <c r="W321" s="39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35" t="s">
        <v>28</v>
      </c>
      <c r="B322" s="35" t="s">
        <v>22</v>
      </c>
      <c r="C322" s="35" t="s">
        <v>23</v>
      </c>
      <c r="D322" s="35" t="s">
        <v>24</v>
      </c>
      <c r="E322" s="35" t="s">
        <v>29</v>
      </c>
      <c r="F322" s="35" t="s">
        <v>25</v>
      </c>
      <c r="G322" s="35" t="s">
        <v>25</v>
      </c>
      <c r="H322" s="35" t="s">
        <v>25</v>
      </c>
      <c r="I322" s="54">
        <v>44501</v>
      </c>
      <c r="J322" s="55">
        <f>EFEITO!$J$322*EFEITO!$Y$277</f>
        <v>0</v>
      </c>
      <c r="K322" s="55">
        <f ca="1">EFEITO!$L$322*EFEITO!$Z$379</f>
        <v>23.188163822648072</v>
      </c>
      <c r="L322" s="55">
        <f>EFEITO!$N$322*EFEITO!$AA$379</f>
        <v>15.115469734012649</v>
      </c>
      <c r="M322" s="55">
        <f>$J$322-EFEITO!$K$322*EFEITO!$Y$322</f>
        <v>0</v>
      </c>
      <c r="N322" s="55">
        <f ca="1">$K$322-EFEITO!$M$322*EFEITO!$Z$322</f>
        <v>36.173535563330994</v>
      </c>
      <c r="O322" s="55">
        <f>$L$322-EFEITO!$O$322*EFEITO!$AA$322</f>
        <v>23.580132785059732</v>
      </c>
      <c r="P322" s="39"/>
      <c r="Q322" s="39"/>
      <c r="R322" s="39"/>
      <c r="S322" s="39"/>
      <c r="T322" s="39"/>
      <c r="U322" s="39"/>
      <c r="V322" s="39"/>
      <c r="W322" s="39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35" t="s">
        <v>21</v>
      </c>
      <c r="B323" s="35" t="s">
        <v>22</v>
      </c>
      <c r="C323" s="35" t="s">
        <v>23</v>
      </c>
      <c r="D323" s="35" t="s">
        <v>24</v>
      </c>
      <c r="E323" s="35" t="s">
        <v>29</v>
      </c>
      <c r="F323" s="35" t="s">
        <v>25</v>
      </c>
      <c r="G323" s="35" t="s">
        <v>25</v>
      </c>
      <c r="H323" s="35" t="s">
        <v>25</v>
      </c>
      <c r="I323" s="54">
        <v>44531</v>
      </c>
      <c r="J323" s="55">
        <f>EFEITO!$J$323*EFEITO!$Y$277</f>
        <v>0</v>
      </c>
      <c r="K323" s="55">
        <f ca="1">EFEITO!$L$323*EFEITO!$Z$379</f>
        <v>3501.4127372198591</v>
      </c>
      <c r="L323" s="55">
        <f>EFEITO!$N$323*EFEITO!$AA$379</f>
        <v>2282.43592983591</v>
      </c>
      <c r="M323" s="55">
        <f>$J$323-EFEITO!$K$323*EFEITO!$Y$323</f>
        <v>0</v>
      </c>
      <c r="N323" s="55">
        <f ca="1">$K$323-EFEITO!$M$323*EFEITO!$Z$323</f>
        <v>2275.9182791929084</v>
      </c>
      <c r="O323" s="55">
        <f>$L$323-EFEITO!$O$323*EFEITO!$AA$323</f>
        <v>1483.5833543933416</v>
      </c>
      <c r="P323" s="39"/>
      <c r="Q323" s="39"/>
      <c r="R323" s="39"/>
      <c r="S323" s="39"/>
      <c r="T323" s="39"/>
      <c r="U323" s="39"/>
      <c r="V323" s="39"/>
      <c r="W323" s="39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35" t="s">
        <v>28</v>
      </c>
      <c r="B324" s="35" t="s">
        <v>22</v>
      </c>
      <c r="C324" s="35" t="s">
        <v>23</v>
      </c>
      <c r="D324" s="35" t="s">
        <v>24</v>
      </c>
      <c r="E324" s="35" t="s">
        <v>29</v>
      </c>
      <c r="F324" s="35" t="s">
        <v>25</v>
      </c>
      <c r="G324" s="35" t="s">
        <v>25</v>
      </c>
      <c r="H324" s="35" t="s">
        <v>25</v>
      </c>
      <c r="I324" s="54">
        <v>44531</v>
      </c>
      <c r="J324" s="55">
        <f>EFEITO!$J$324*EFEITO!$Y$277</f>
        <v>0</v>
      </c>
      <c r="K324" s="55">
        <f ca="1">EFEITO!$L$324*EFEITO!$Z$379</f>
        <v>23.188163822648072</v>
      </c>
      <c r="L324" s="55">
        <f>EFEITO!$N$324*EFEITO!$AA$379</f>
        <v>15.115469734012649</v>
      </c>
      <c r="M324" s="55">
        <f>$J$324-EFEITO!$K$324*EFEITO!$Y$324</f>
        <v>0</v>
      </c>
      <c r="N324" s="55">
        <f ca="1">$K$324-EFEITO!$M$324*EFEITO!$Z$324</f>
        <v>30.898228293678557</v>
      </c>
      <c r="O324" s="55">
        <f>$L$324-EFEITO!$O$324*EFEITO!$AA$324</f>
        <v>20.141363420571857</v>
      </c>
      <c r="P324" s="39"/>
      <c r="Q324" s="39"/>
      <c r="R324" s="39"/>
      <c r="S324" s="39"/>
      <c r="T324" s="39"/>
      <c r="U324" s="39"/>
      <c r="V324" s="39"/>
      <c r="W324" s="39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35" t="s">
        <v>21</v>
      </c>
      <c r="B325" s="35" t="s">
        <v>22</v>
      </c>
      <c r="C325" s="35" t="s">
        <v>23</v>
      </c>
      <c r="D325" s="35" t="s">
        <v>24</v>
      </c>
      <c r="E325" s="35" t="s">
        <v>29</v>
      </c>
      <c r="F325" s="35" t="s">
        <v>25</v>
      </c>
      <c r="G325" s="35" t="s">
        <v>25</v>
      </c>
      <c r="H325" s="35" t="s">
        <v>25</v>
      </c>
      <c r="I325" s="54">
        <v>44562</v>
      </c>
      <c r="J325" s="55">
        <f>EFEITO!$J$325*EFEITO!$Y$277</f>
        <v>0</v>
      </c>
      <c r="K325" s="55">
        <f ca="1">EFEITO!$L$325*EFEITO!$Z$379</f>
        <v>3559.3831467764794</v>
      </c>
      <c r="L325" s="55">
        <f>EFEITO!$N$325*EFEITO!$AA$379</f>
        <v>2320.2246041709418</v>
      </c>
      <c r="M325" s="55">
        <f>$J$325-EFEITO!$K$325*EFEITO!$Y$325</f>
        <v>0</v>
      </c>
      <c r="N325" s="55">
        <f ca="1">$K$325-EFEITO!$M$325*EFEITO!$Z$325</f>
        <v>2313.5990454047114</v>
      </c>
      <c r="O325" s="55">
        <f>$L$325-EFEITO!$O$325*EFEITO!$AA$325</f>
        <v>1508.1459927111123</v>
      </c>
      <c r="P325" s="39"/>
      <c r="Q325" s="39"/>
      <c r="R325" s="39"/>
      <c r="S325" s="39"/>
      <c r="T325" s="39"/>
      <c r="U325" s="39"/>
      <c r="V325" s="39"/>
      <c r="W325" s="39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35" t="s">
        <v>28</v>
      </c>
      <c r="B326" s="35" t="s">
        <v>22</v>
      </c>
      <c r="C326" s="35" t="s">
        <v>23</v>
      </c>
      <c r="D326" s="35" t="s">
        <v>24</v>
      </c>
      <c r="E326" s="35" t="s">
        <v>29</v>
      </c>
      <c r="F326" s="35" t="s">
        <v>25</v>
      </c>
      <c r="G326" s="35" t="s">
        <v>25</v>
      </c>
      <c r="H326" s="35" t="s">
        <v>25</v>
      </c>
      <c r="I326" s="54">
        <v>44562</v>
      </c>
      <c r="J326" s="55">
        <f>EFEITO!$J$326*EFEITO!$Y$277</f>
        <v>0</v>
      </c>
      <c r="K326" s="55">
        <f ca="1">EFEITO!$L$326*EFEITO!$Z$379</f>
        <v>23.188163822648072</v>
      </c>
      <c r="L326" s="55">
        <f>EFEITO!$N$326*EFEITO!$AA$379</f>
        <v>15.115469734012649</v>
      </c>
      <c r="M326" s="55">
        <f>$J$326-EFEITO!$K$326*EFEITO!$Y$326</f>
        <v>0</v>
      </c>
      <c r="N326" s="55">
        <f ca="1">$K$326-EFEITO!$M$326*EFEITO!$Z$326</f>
        <v>30.898228293678557</v>
      </c>
      <c r="O326" s="55">
        <f>$L$326-EFEITO!$O$326*EFEITO!$AA$326</f>
        <v>20.141363420571857</v>
      </c>
      <c r="P326" s="39"/>
      <c r="Q326" s="39"/>
      <c r="R326" s="39"/>
      <c r="S326" s="39"/>
      <c r="T326" s="39"/>
      <c r="U326" s="39"/>
      <c r="V326" s="39"/>
      <c r="W326" s="39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35" t="s">
        <v>21</v>
      </c>
      <c r="B327" s="35" t="s">
        <v>22</v>
      </c>
      <c r="C327" s="35" t="s">
        <v>23</v>
      </c>
      <c r="D327" s="35" t="s">
        <v>24</v>
      </c>
      <c r="E327" s="35" t="s">
        <v>29</v>
      </c>
      <c r="F327" s="35" t="s">
        <v>25</v>
      </c>
      <c r="G327" s="35" t="s">
        <v>25</v>
      </c>
      <c r="H327" s="35" t="s">
        <v>25</v>
      </c>
      <c r="I327" s="54">
        <v>44593</v>
      </c>
      <c r="J327" s="55">
        <f>EFEITO!$J$327*EFEITO!$Y$277</f>
        <v>0</v>
      </c>
      <c r="K327" s="55">
        <f ca="1">EFEITO!$L$327*EFEITO!$Z$379</f>
        <v>3605.7594744217754</v>
      </c>
      <c r="L327" s="55">
        <f>EFEITO!$N$327*EFEITO!$AA$379</f>
        <v>2350.4555436389669</v>
      </c>
      <c r="M327" s="55">
        <f>$J$327-EFEITO!$K$327*EFEITO!$Y$327</f>
        <v>0</v>
      </c>
      <c r="N327" s="55">
        <f ca="1">$K$327-EFEITO!$M$327*EFEITO!$Z$327</f>
        <v>2343.7436583741537</v>
      </c>
      <c r="O327" s="55">
        <f>$L$327-EFEITO!$O$327*EFEITO!$AA$327</f>
        <v>1527.7961033653287</v>
      </c>
      <c r="P327" s="39"/>
      <c r="Q327" s="39"/>
      <c r="R327" s="39"/>
      <c r="S327" s="39"/>
      <c r="T327" s="39"/>
      <c r="U327" s="39"/>
      <c r="V327" s="39"/>
      <c r="W327" s="39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35" t="s">
        <v>28</v>
      </c>
      <c r="B328" s="35" t="s">
        <v>22</v>
      </c>
      <c r="C328" s="35" t="s">
        <v>23</v>
      </c>
      <c r="D328" s="35" t="s">
        <v>24</v>
      </c>
      <c r="E328" s="35" t="s">
        <v>29</v>
      </c>
      <c r="F328" s="35" t="s">
        <v>25</v>
      </c>
      <c r="G328" s="35" t="s">
        <v>25</v>
      </c>
      <c r="H328" s="35" t="s">
        <v>25</v>
      </c>
      <c r="I328" s="54">
        <v>44593</v>
      </c>
      <c r="J328" s="55">
        <f>EFEITO!$J$328*EFEITO!$Y$277</f>
        <v>0</v>
      </c>
      <c r="K328" s="55">
        <f ca="1">EFEITO!$L$328*EFEITO!$Z$379</f>
        <v>34.782245733972111</v>
      </c>
      <c r="L328" s="55">
        <f>EFEITO!$N$328*EFEITO!$AA$379</f>
        <v>22.673204601018973</v>
      </c>
      <c r="M328" s="55">
        <f>$J$328-EFEITO!$K$328*EFEITO!$Y$328</f>
        <v>0</v>
      </c>
      <c r="N328" s="55">
        <f ca="1">$K$328-EFEITO!$M$328*EFEITO!$Z$328</f>
        <v>46.347342440517835</v>
      </c>
      <c r="O328" s="55">
        <f>$L$328-EFEITO!$O$328*EFEITO!$AA$328</f>
        <v>30.212045130857781</v>
      </c>
      <c r="P328" s="39"/>
      <c r="Q328" s="39"/>
      <c r="R328" s="39"/>
      <c r="S328" s="39"/>
      <c r="T328" s="39"/>
      <c r="U328" s="39"/>
      <c r="V328" s="39"/>
      <c r="W328" s="39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35" t="s">
        <v>21</v>
      </c>
      <c r="B329" s="35" t="s">
        <v>22</v>
      </c>
      <c r="C329" s="35" t="s">
        <v>23</v>
      </c>
      <c r="D329" s="35" t="s">
        <v>24</v>
      </c>
      <c r="E329" s="35" t="s">
        <v>29</v>
      </c>
      <c r="F329" s="35" t="s">
        <v>25</v>
      </c>
      <c r="G329" s="35" t="s">
        <v>25</v>
      </c>
      <c r="H329" s="35" t="s">
        <v>25</v>
      </c>
      <c r="I329" s="54">
        <v>44621</v>
      </c>
      <c r="J329" s="55">
        <f>EFEITO!$J$329*EFEITO!$Y$277</f>
        <v>0</v>
      </c>
      <c r="K329" s="55">
        <f ca="1">EFEITO!$L$329*EFEITO!$Z$379</f>
        <v>3721.700293535016</v>
      </c>
      <c r="L329" s="55">
        <f>EFEITO!$N$329*EFEITO!$AA$379</f>
        <v>2426.0328923090306</v>
      </c>
      <c r="M329" s="55">
        <f>$J$329-EFEITO!$K$329*EFEITO!$Y$329</f>
        <v>0</v>
      </c>
      <c r="N329" s="55">
        <f ca="1">$K$329-EFEITO!$M$329*EFEITO!$Z$329</f>
        <v>2419.1051907977603</v>
      </c>
      <c r="O329" s="55">
        <f>$L$329-EFEITO!$O$329*EFEITO!$AA$329</f>
        <v>1576.9213800008702</v>
      </c>
      <c r="P329" s="39"/>
      <c r="Q329" s="39"/>
      <c r="R329" s="39"/>
      <c r="S329" s="39"/>
      <c r="T329" s="39"/>
      <c r="U329" s="39"/>
      <c r="V329" s="39"/>
      <c r="W329" s="39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35" t="s">
        <v>28</v>
      </c>
      <c r="B330" s="35" t="s">
        <v>22</v>
      </c>
      <c r="C330" s="35" t="s">
        <v>23</v>
      </c>
      <c r="D330" s="35" t="s">
        <v>24</v>
      </c>
      <c r="E330" s="35" t="s">
        <v>29</v>
      </c>
      <c r="F330" s="35" t="s">
        <v>25</v>
      </c>
      <c r="G330" s="35" t="s">
        <v>25</v>
      </c>
      <c r="H330" s="35" t="s">
        <v>25</v>
      </c>
      <c r="I330" s="54">
        <v>44621</v>
      </c>
      <c r="J330" s="55">
        <f>EFEITO!$J$330*EFEITO!$Y$277</f>
        <v>0</v>
      </c>
      <c r="K330" s="55">
        <f ca="1">EFEITO!$L$330*EFEITO!$Z$379</f>
        <v>34.782245733972111</v>
      </c>
      <c r="L330" s="55">
        <f>EFEITO!$N$330*EFEITO!$AA$379</f>
        <v>22.673204601018973</v>
      </c>
      <c r="M330" s="55">
        <f>$J$330-EFEITO!$K$330*EFEITO!$Y$330</f>
        <v>0</v>
      </c>
      <c r="N330" s="55">
        <f ca="1">$K$330-EFEITO!$M$330*EFEITO!$Z$330</f>
        <v>54.260303344996487</v>
      </c>
      <c r="O330" s="55">
        <f>$L$330-EFEITO!$O$330*EFEITO!$AA$330</f>
        <v>35.370199177589598</v>
      </c>
      <c r="P330" s="39"/>
      <c r="Q330" s="39"/>
      <c r="R330" s="39"/>
      <c r="S330" s="39"/>
      <c r="T330" s="39"/>
      <c r="U330" s="39"/>
      <c r="V330" s="39"/>
      <c r="W330" s="39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35" t="s">
        <v>21</v>
      </c>
      <c r="B331" s="35" t="s">
        <v>22</v>
      </c>
      <c r="C331" s="35" t="s">
        <v>23</v>
      </c>
      <c r="D331" s="35" t="s">
        <v>24</v>
      </c>
      <c r="E331" s="35" t="s">
        <v>29</v>
      </c>
      <c r="F331" s="35" t="s">
        <v>25</v>
      </c>
      <c r="G331" s="35" t="s">
        <v>25</v>
      </c>
      <c r="H331" s="35" t="s">
        <v>25</v>
      </c>
      <c r="I331" s="54">
        <v>44652</v>
      </c>
      <c r="J331" s="55">
        <f>EFEITO!$J$331*EFEITO!$Y$277</f>
        <v>0</v>
      </c>
      <c r="K331" s="55">
        <f ca="1">EFEITO!$L$331*EFEITO!$Z$379</f>
        <v>8868.6997233687998</v>
      </c>
      <c r="L331" s="55">
        <f>EFEITO!$N$331*EFEITO!$AA$379</f>
        <v>5781.1633242687049</v>
      </c>
      <c r="M331" s="55">
        <f>$J$331-EFEITO!$K$331*EFEITO!$Y$331</f>
        <v>0</v>
      </c>
      <c r="N331" s="55">
        <f ca="1">$K$331-EFEITO!$M$331*EFEITO!$Z$331</f>
        <v>5764.6548201897203</v>
      </c>
      <c r="O331" s="55">
        <f>$L$331-EFEITO!$O$331*EFEITO!$AA$331</f>
        <v>3757.7561607746584</v>
      </c>
      <c r="P331" s="39"/>
      <c r="Q331" s="39"/>
      <c r="R331" s="39"/>
      <c r="S331" s="39"/>
      <c r="T331" s="39"/>
      <c r="U331" s="39"/>
      <c r="V331" s="39"/>
      <c r="W331" s="39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35" t="s">
        <v>28</v>
      </c>
      <c r="B332" s="35" t="s">
        <v>22</v>
      </c>
      <c r="C332" s="35" t="s">
        <v>23</v>
      </c>
      <c r="D332" s="35" t="s">
        <v>24</v>
      </c>
      <c r="E332" s="35" t="s">
        <v>29</v>
      </c>
      <c r="F332" s="35" t="s">
        <v>25</v>
      </c>
      <c r="G332" s="35" t="s">
        <v>25</v>
      </c>
      <c r="H332" s="35" t="s">
        <v>25</v>
      </c>
      <c r="I332" s="54">
        <v>44652</v>
      </c>
      <c r="J332" s="55">
        <f>EFEITO!$J$332*EFEITO!$Y$277</f>
        <v>0</v>
      </c>
      <c r="K332" s="55">
        <f ca="1">EFEITO!$L$332*EFEITO!$Z$379</f>
        <v>34.395776336927973</v>
      </c>
      <c r="L332" s="55">
        <f>EFEITO!$N$332*EFEITO!$AA$379</f>
        <v>22.421280105452094</v>
      </c>
      <c r="M332" s="55">
        <f>$J$332-EFEITO!$K$332*EFEITO!$Y$332</f>
        <v>0</v>
      </c>
      <c r="N332" s="55">
        <f ca="1">$K$332-EFEITO!$M$332*EFEITO!$Z$332</f>
        <v>108.43268490216545</v>
      </c>
      <c r="O332" s="55">
        <f>$L$332-EFEITO!$O$332*EFEITO!$AA$332</f>
        <v>70.68308553243773</v>
      </c>
      <c r="P332" s="39"/>
      <c r="Q332" s="39"/>
      <c r="R332" s="39"/>
      <c r="S332" s="39"/>
      <c r="T332" s="39"/>
      <c r="U332" s="39"/>
      <c r="V332" s="39"/>
      <c r="W332" s="39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35" t="s">
        <v>21</v>
      </c>
      <c r="B333" s="35" t="s">
        <v>22</v>
      </c>
      <c r="C333" s="35" t="s">
        <v>23</v>
      </c>
      <c r="D333" s="35" t="s">
        <v>24</v>
      </c>
      <c r="E333" s="35" t="s">
        <v>29</v>
      </c>
      <c r="F333" s="35" t="s">
        <v>25</v>
      </c>
      <c r="G333" s="35" t="s">
        <v>25</v>
      </c>
      <c r="H333" s="35" t="s">
        <v>25</v>
      </c>
      <c r="I333" s="54">
        <v>44682</v>
      </c>
      <c r="J333" s="55">
        <f>EFEITO!$J$333*EFEITO!$Y$277</f>
        <v>0</v>
      </c>
      <c r="K333" s="55">
        <f ca="1">EFEITO!$L$333*EFEITO!$Z$379</f>
        <v>9065.412646464265</v>
      </c>
      <c r="L333" s="55">
        <f>EFEITO!$N$333*EFEITO!$AA$379</f>
        <v>5909.3928925122455</v>
      </c>
      <c r="M333" s="55">
        <f>$J$333-EFEITO!$K$333*EFEITO!$Y$333</f>
        <v>0</v>
      </c>
      <c r="N333" s="55">
        <f ca="1">$K$333-EFEITO!$M$333*EFEITO!$Z$333</f>
        <v>5892.5182202017722</v>
      </c>
      <c r="O333" s="55">
        <f>$L$333-EFEITO!$O$333*EFEITO!$AA$333</f>
        <v>3841.1053801329599</v>
      </c>
      <c r="P333" s="39"/>
      <c r="Q333" s="39"/>
      <c r="R333" s="39"/>
      <c r="S333" s="39"/>
      <c r="T333" s="39"/>
      <c r="U333" s="39"/>
      <c r="V333" s="39"/>
      <c r="W333" s="39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35" t="s">
        <v>28</v>
      </c>
      <c r="B334" s="35" t="s">
        <v>22</v>
      </c>
      <c r="C334" s="35" t="s">
        <v>23</v>
      </c>
      <c r="D334" s="35" t="s">
        <v>24</v>
      </c>
      <c r="E334" s="35" t="s">
        <v>29</v>
      </c>
      <c r="F334" s="35" t="s">
        <v>25</v>
      </c>
      <c r="G334" s="35" t="s">
        <v>25</v>
      </c>
      <c r="H334" s="35" t="s">
        <v>25</v>
      </c>
      <c r="I334" s="54">
        <v>44682</v>
      </c>
      <c r="J334" s="55">
        <f>EFEITO!$J$334*EFEITO!$Y$277</f>
        <v>0</v>
      </c>
      <c r="K334" s="55">
        <f ca="1">EFEITO!$L$334*EFEITO!$Z$379</f>
        <v>76.907410011782787</v>
      </c>
      <c r="L334" s="55">
        <f>EFEITO!$N$334*EFEITO!$AA$379</f>
        <v>50.132974617808621</v>
      </c>
      <c r="M334" s="55">
        <f>$J$334-EFEITO!$K$334*EFEITO!$Y$334</f>
        <v>0</v>
      </c>
      <c r="N334" s="55">
        <f ca="1">$K$334-EFEITO!$M$334*EFEITO!$Z$334</f>
        <v>242.45061006214522</v>
      </c>
      <c r="O334" s="55">
        <f>$L$334-EFEITO!$O$334*EFEITO!$AA$334</f>
        <v>158.04420248264168</v>
      </c>
      <c r="P334" s="39"/>
      <c r="Q334" s="39"/>
      <c r="R334" s="39"/>
      <c r="S334" s="39"/>
      <c r="T334" s="39"/>
      <c r="U334" s="39"/>
      <c r="V334" s="39"/>
      <c r="W334" s="39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35" t="s">
        <v>21</v>
      </c>
      <c r="B335" s="35" t="s">
        <v>22</v>
      </c>
      <c r="C335" s="35" t="s">
        <v>23</v>
      </c>
      <c r="D335" s="35" t="s">
        <v>24</v>
      </c>
      <c r="E335" s="35" t="s">
        <v>29</v>
      </c>
      <c r="F335" s="35" t="s">
        <v>25</v>
      </c>
      <c r="G335" s="35" t="s">
        <v>25</v>
      </c>
      <c r="H335" s="35" t="s">
        <v>25</v>
      </c>
      <c r="I335" s="54">
        <v>44713</v>
      </c>
      <c r="J335" s="55">
        <f>EFEITO!$J$335*EFEITO!$Y$277</f>
        <v>0</v>
      </c>
      <c r="K335" s="55">
        <f ca="1">EFEITO!$L$335*EFEITO!$Z$379</f>
        <v>9634.6820683102742</v>
      </c>
      <c r="L335" s="55">
        <f>EFEITO!$N$335*EFEITO!$AA$379</f>
        <v>6280.4776744822557</v>
      </c>
      <c r="M335" s="55">
        <f>$J$335-EFEITO!$K$335*EFEITO!$Y$335</f>
        <v>0</v>
      </c>
      <c r="N335" s="55">
        <f ca="1">$K$335-EFEITO!$M$335*EFEITO!$Z$335</f>
        <v>6262.543344401678</v>
      </c>
      <c r="O335" s="55">
        <f>$L$335-EFEITO!$O$335*EFEITO!$AA$335</f>
        <v>4082.3104884134664</v>
      </c>
      <c r="P335" s="39"/>
      <c r="Q335" s="39"/>
      <c r="R335" s="39"/>
      <c r="S335" s="39"/>
      <c r="T335" s="39"/>
      <c r="U335" s="39"/>
      <c r="V335" s="39"/>
      <c r="W335" s="39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35" t="s">
        <v>28</v>
      </c>
      <c r="B336" s="35" t="s">
        <v>22</v>
      </c>
      <c r="C336" s="35" t="s">
        <v>23</v>
      </c>
      <c r="D336" s="35" t="s">
        <v>24</v>
      </c>
      <c r="E336" s="35" t="s">
        <v>29</v>
      </c>
      <c r="F336" s="35" t="s">
        <v>25</v>
      </c>
      <c r="G336" s="35" t="s">
        <v>25</v>
      </c>
      <c r="H336" s="35" t="s">
        <v>25</v>
      </c>
      <c r="I336" s="54">
        <v>44713</v>
      </c>
      <c r="J336" s="55">
        <f>EFEITO!$J$336*EFEITO!$Y$277</f>
        <v>0</v>
      </c>
      <c r="K336" s="55">
        <f ca="1">EFEITO!$L$336*EFEITO!$Z$379</f>
        <v>101.64145142260739</v>
      </c>
      <c r="L336" s="55">
        <f>EFEITO!$N$336*EFEITO!$AA$379</f>
        <v>66.256142334088779</v>
      </c>
      <c r="M336" s="55">
        <f>$J$336-EFEITO!$K$336*EFEITO!$Y$336</f>
        <v>0</v>
      </c>
      <c r="N336" s="55">
        <f ca="1">$K$336-EFEITO!$M$336*EFEITO!$Z$336</f>
        <v>320.42467560976979</v>
      </c>
      <c r="O336" s="55">
        <f>$L$336-EFEITO!$O$336*EFEITO!$AA$336</f>
        <v>208.87248870821486</v>
      </c>
      <c r="P336" s="39"/>
      <c r="Q336" s="39"/>
      <c r="R336" s="39"/>
      <c r="S336" s="39"/>
      <c r="T336" s="39"/>
      <c r="U336" s="39"/>
      <c r="V336" s="39"/>
      <c r="W336" s="39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35" t="s">
        <v>21</v>
      </c>
      <c r="B337" s="35" t="s">
        <v>22</v>
      </c>
      <c r="C337" s="35" t="s">
        <v>23</v>
      </c>
      <c r="D337" s="35" t="s">
        <v>24</v>
      </c>
      <c r="E337" s="35" t="s">
        <v>30</v>
      </c>
      <c r="F337" s="35" t="s">
        <v>25</v>
      </c>
      <c r="G337" s="35" t="s">
        <v>25</v>
      </c>
      <c r="H337" s="35" t="s">
        <v>25</v>
      </c>
      <c r="I337" s="54">
        <v>44378</v>
      </c>
      <c r="J337" s="55">
        <f>EFEITO!$J$337*EFEITO!$Y$277</f>
        <v>0</v>
      </c>
      <c r="K337" s="55">
        <f ca="1">EFEITO!$L$337*EFEITO!$Z$379</f>
        <v>5154.7288177746659</v>
      </c>
      <c r="L337" s="55">
        <f>EFEITO!$N$337*EFEITO!$AA$379</f>
        <v>3360.1689218710117</v>
      </c>
      <c r="M337" s="55">
        <f>$J$337-EFEITO!$K$337*EFEITO!$Y$337</f>
        <v>0</v>
      </c>
      <c r="N337" s="55">
        <f ca="1">$K$337-EFEITO!$M$337*EFEITO!$Z$337</f>
        <v>2061.8915271098663</v>
      </c>
      <c r="O337" s="55">
        <f>$L$337-EFEITO!$O$337*EFEITO!$AA$337</f>
        <v>1344.0675687484047</v>
      </c>
      <c r="P337" s="39"/>
      <c r="Q337" s="39"/>
      <c r="R337" s="39"/>
      <c r="S337" s="39"/>
      <c r="T337" s="39"/>
      <c r="U337" s="39"/>
      <c r="V337" s="39"/>
      <c r="W337" s="39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35" t="s">
        <v>28</v>
      </c>
      <c r="B338" s="35" t="s">
        <v>22</v>
      </c>
      <c r="C338" s="35" t="s">
        <v>23</v>
      </c>
      <c r="D338" s="35" t="s">
        <v>24</v>
      </c>
      <c r="E338" s="35" t="s">
        <v>30</v>
      </c>
      <c r="F338" s="35" t="s">
        <v>25</v>
      </c>
      <c r="G338" s="35" t="s">
        <v>25</v>
      </c>
      <c r="H338" s="35" t="s">
        <v>25</v>
      </c>
      <c r="I338" s="54">
        <v>44378</v>
      </c>
      <c r="J338" s="55">
        <f>EFEITO!$J$338*EFEITO!$Y$277</f>
        <v>0</v>
      </c>
      <c r="K338" s="55">
        <f ca="1">EFEITO!$L$338*EFEITO!$Z$379</f>
        <v>16.618184072897783</v>
      </c>
      <c r="L338" s="55">
        <f>EFEITO!$N$338*EFEITO!$AA$379</f>
        <v>10.832753309375731</v>
      </c>
      <c r="M338" s="55">
        <f>$J$338-EFEITO!$K$338*EFEITO!$Y$338</f>
        <v>0</v>
      </c>
      <c r="N338" s="55">
        <f ca="1">$K$338-EFEITO!$M$338*EFEITO!$Z$338</f>
        <v>18.612366161645518</v>
      </c>
      <c r="O338" s="55">
        <f>$L$338-EFEITO!$O$338*EFEITO!$AA$338</f>
        <v>12.132683706500819</v>
      </c>
      <c r="P338" s="39"/>
      <c r="Q338" s="39"/>
      <c r="R338" s="39"/>
      <c r="S338" s="39"/>
      <c r="T338" s="39"/>
      <c r="U338" s="39"/>
      <c r="V338" s="39"/>
      <c r="W338" s="39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35" t="s">
        <v>21</v>
      </c>
      <c r="B339" s="35" t="s">
        <v>22</v>
      </c>
      <c r="C339" s="35" t="s">
        <v>23</v>
      </c>
      <c r="D339" s="35" t="s">
        <v>24</v>
      </c>
      <c r="E339" s="35" t="s">
        <v>30</v>
      </c>
      <c r="F339" s="35" t="s">
        <v>25</v>
      </c>
      <c r="G339" s="35" t="s">
        <v>25</v>
      </c>
      <c r="H339" s="35" t="s">
        <v>25</v>
      </c>
      <c r="I339" s="54">
        <v>44409</v>
      </c>
      <c r="J339" s="55">
        <f>EFEITO!$J$339*EFEITO!$Y$277</f>
        <v>0</v>
      </c>
      <c r="K339" s="55">
        <f ca="1">EFEITO!$L$339*EFEITO!$Z$379</f>
        <v>5609.6032980956134</v>
      </c>
      <c r="L339" s="55">
        <f>EFEITO!$N$339*EFEITO!$AA$379</f>
        <v>3656.6840531532266</v>
      </c>
      <c r="M339" s="55">
        <f>$J$339-EFEITO!$K$339*EFEITO!$Y$339</f>
        <v>0</v>
      </c>
      <c r="N339" s="55">
        <f ca="1">$K$339-EFEITO!$M$339*EFEITO!$Z$339</f>
        <v>2243.8413192382454</v>
      </c>
      <c r="O339" s="55">
        <f>$L$339-EFEITO!$O$339*EFEITO!$AA$339</f>
        <v>1462.6736212612905</v>
      </c>
      <c r="P339" s="39"/>
      <c r="Q339" s="39"/>
      <c r="R339" s="39"/>
      <c r="S339" s="39"/>
      <c r="T339" s="39"/>
      <c r="U339" s="39"/>
      <c r="V339" s="39"/>
      <c r="W339" s="39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35" t="s">
        <v>21</v>
      </c>
      <c r="B340" s="35" t="s">
        <v>22</v>
      </c>
      <c r="C340" s="35" t="s">
        <v>23</v>
      </c>
      <c r="D340" s="35" t="s">
        <v>24</v>
      </c>
      <c r="E340" s="35" t="s">
        <v>30</v>
      </c>
      <c r="F340" s="35" t="s">
        <v>25</v>
      </c>
      <c r="G340" s="35" t="s">
        <v>25</v>
      </c>
      <c r="H340" s="35" t="s">
        <v>25</v>
      </c>
      <c r="I340" s="54">
        <v>44440</v>
      </c>
      <c r="J340" s="55">
        <f>EFEITO!$J$340*EFEITO!$Y$277</f>
        <v>0</v>
      </c>
      <c r="K340" s="55">
        <f ca="1">EFEITO!$L$340*EFEITO!$Z$379</f>
        <v>5814.4320785290047</v>
      </c>
      <c r="L340" s="55">
        <f>EFEITO!$N$340*EFEITO!$AA$379</f>
        <v>3790.2040358036716</v>
      </c>
      <c r="M340" s="55">
        <f>$J$340-EFEITO!$K$340*EFEITO!$Y$340</f>
        <v>0</v>
      </c>
      <c r="N340" s="55">
        <f ca="1">$K$340-EFEITO!$M$340*EFEITO!$Z$340</f>
        <v>2325.7728314116021</v>
      </c>
      <c r="O340" s="55">
        <f>$L$340-EFEITO!$O$340*EFEITO!$AA$340</f>
        <v>1516.0816143214684</v>
      </c>
      <c r="P340" s="39"/>
      <c r="Q340" s="39"/>
      <c r="R340" s="39"/>
      <c r="S340" s="39"/>
      <c r="T340" s="39"/>
      <c r="U340" s="39"/>
      <c r="V340" s="39"/>
      <c r="W340" s="39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35" t="s">
        <v>28</v>
      </c>
      <c r="B341" s="35" t="s">
        <v>22</v>
      </c>
      <c r="C341" s="35" t="s">
        <v>23</v>
      </c>
      <c r="D341" s="35" t="s">
        <v>24</v>
      </c>
      <c r="E341" s="35" t="s">
        <v>30</v>
      </c>
      <c r="F341" s="35" t="s">
        <v>25</v>
      </c>
      <c r="G341" s="35" t="s">
        <v>25</v>
      </c>
      <c r="H341" s="35" t="s">
        <v>25</v>
      </c>
      <c r="I341" s="54">
        <v>44440</v>
      </c>
      <c r="J341" s="55">
        <f>EFEITO!$J$341*EFEITO!$Y$277</f>
        <v>0</v>
      </c>
      <c r="K341" s="55">
        <f ca="1">EFEITO!$L$341*EFEITO!$Z$379</f>
        <v>4.2511633674854794</v>
      </c>
      <c r="L341" s="55">
        <f>EFEITO!$N$341*EFEITO!$AA$379</f>
        <v>2.7711694512356519</v>
      </c>
      <c r="M341" s="55">
        <f>$J$341-EFEITO!$K$341*EFEITO!$Y$341</f>
        <v>0</v>
      </c>
      <c r="N341" s="55">
        <f ca="1">$K$341-EFEITO!$M$341*EFEITO!$Z$341</f>
        <v>5.7815821797802522</v>
      </c>
      <c r="O341" s="55">
        <f>$L$341-EFEITO!$O$341*EFEITO!$AA$341</f>
        <v>3.768790453680487</v>
      </c>
      <c r="P341" s="39"/>
      <c r="Q341" s="39"/>
      <c r="R341" s="39"/>
      <c r="S341" s="39"/>
      <c r="T341" s="39"/>
      <c r="U341" s="39"/>
      <c r="V341" s="39"/>
      <c r="W341" s="39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35" t="s">
        <v>21</v>
      </c>
      <c r="B342" s="35" t="s">
        <v>22</v>
      </c>
      <c r="C342" s="35" t="s">
        <v>23</v>
      </c>
      <c r="D342" s="35" t="s">
        <v>24</v>
      </c>
      <c r="E342" s="35" t="s">
        <v>30</v>
      </c>
      <c r="F342" s="35" t="s">
        <v>25</v>
      </c>
      <c r="G342" s="35" t="s">
        <v>25</v>
      </c>
      <c r="H342" s="35" t="s">
        <v>25</v>
      </c>
      <c r="I342" s="54">
        <v>44470</v>
      </c>
      <c r="J342" s="55">
        <f>EFEITO!$J$342*EFEITO!$Y$277</f>
        <v>0</v>
      </c>
      <c r="K342" s="55">
        <f ca="1">EFEITO!$L$342*EFEITO!$Z$379</f>
        <v>5966.7010209643931</v>
      </c>
      <c r="L342" s="55">
        <f>EFEITO!$N$342*EFEITO!$AA$379</f>
        <v>3889.4622870570215</v>
      </c>
      <c r="M342" s="55">
        <f>$J$342-EFEITO!$K$342*EFEITO!$Y$342</f>
        <v>0</v>
      </c>
      <c r="N342" s="55">
        <f ca="1">$K$342-EFEITO!$M$342*EFEITO!$Z$342</f>
        <v>2386.6804083857569</v>
      </c>
      <c r="O342" s="55">
        <f>$L$342-EFEITO!$O$342*EFEITO!$AA$342</f>
        <v>1555.7849148228088</v>
      </c>
      <c r="P342" s="39"/>
      <c r="Q342" s="39"/>
      <c r="R342" s="39"/>
      <c r="S342" s="39"/>
      <c r="T342" s="39"/>
      <c r="U342" s="39"/>
      <c r="V342" s="39"/>
      <c r="W342" s="39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35" t="s">
        <v>21</v>
      </c>
      <c r="B343" s="35" t="s">
        <v>22</v>
      </c>
      <c r="C343" s="35" t="s">
        <v>23</v>
      </c>
      <c r="D343" s="35" t="s">
        <v>24</v>
      </c>
      <c r="E343" s="35" t="s">
        <v>30</v>
      </c>
      <c r="F343" s="35" t="s">
        <v>25</v>
      </c>
      <c r="G343" s="35" t="s">
        <v>25</v>
      </c>
      <c r="H343" s="35" t="s">
        <v>25</v>
      </c>
      <c r="I343" s="54">
        <v>44501</v>
      </c>
      <c r="J343" s="55">
        <f>EFEITO!$J$343*EFEITO!$Y$277</f>
        <v>0</v>
      </c>
      <c r="K343" s="55">
        <f ca="1">EFEITO!$L$343*EFEITO!$Z$379</f>
        <v>6366.6968469050726</v>
      </c>
      <c r="L343" s="55">
        <f>EFEITO!$N$343*EFEITO!$AA$379</f>
        <v>4150.2041399687396</v>
      </c>
      <c r="M343" s="55">
        <f>$J$343-EFEITO!$K$343*EFEITO!$Y$343</f>
        <v>0</v>
      </c>
      <c r="N343" s="55">
        <f ca="1">$K$343-EFEITO!$M$343*EFEITO!$Z$343</f>
        <v>2546.6787387620288</v>
      </c>
      <c r="O343" s="55">
        <f>$L$343-EFEITO!$O$343*EFEITO!$AA$343</f>
        <v>1660.0816559874957</v>
      </c>
      <c r="P343" s="39"/>
      <c r="Q343" s="39"/>
      <c r="R343" s="39"/>
      <c r="S343" s="39"/>
      <c r="T343" s="39"/>
      <c r="U343" s="39"/>
      <c r="V343" s="39"/>
      <c r="W343" s="39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35" t="s">
        <v>28</v>
      </c>
      <c r="B344" s="35" t="s">
        <v>22</v>
      </c>
      <c r="C344" s="35" t="s">
        <v>23</v>
      </c>
      <c r="D344" s="35" t="s">
        <v>24</v>
      </c>
      <c r="E344" s="35" t="s">
        <v>30</v>
      </c>
      <c r="F344" s="35" t="s">
        <v>25</v>
      </c>
      <c r="G344" s="35" t="s">
        <v>25</v>
      </c>
      <c r="H344" s="35" t="s">
        <v>25</v>
      </c>
      <c r="I344" s="54">
        <v>44501</v>
      </c>
      <c r="J344" s="55">
        <f>EFEITO!$J$344*EFEITO!$Y$277</f>
        <v>0</v>
      </c>
      <c r="K344" s="55">
        <f ca="1">EFEITO!$L$344*EFEITO!$Z$379</f>
        <v>4.6376327645296147</v>
      </c>
      <c r="L344" s="55">
        <f>EFEITO!$N$344*EFEITO!$AA$379</f>
        <v>3.02309394680253</v>
      </c>
      <c r="M344" s="55">
        <f>$J$344-EFEITO!$K$344*EFEITO!$Y$344</f>
        <v>0</v>
      </c>
      <c r="N344" s="55">
        <f ca="1">$K$344-EFEITO!$M$344*EFEITO!$Z$344</f>
        <v>6.3071805597602761</v>
      </c>
      <c r="O344" s="55">
        <f>$L$344-EFEITO!$O$344*EFEITO!$AA$344</f>
        <v>4.1114077676514409</v>
      </c>
      <c r="P344" s="39"/>
      <c r="Q344" s="39"/>
      <c r="R344" s="39"/>
      <c r="S344" s="39"/>
      <c r="T344" s="39"/>
      <c r="U344" s="39"/>
      <c r="V344" s="39"/>
      <c r="W344" s="39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35" t="s">
        <v>21</v>
      </c>
      <c r="B345" s="35" t="s">
        <v>22</v>
      </c>
      <c r="C345" s="35" t="s">
        <v>23</v>
      </c>
      <c r="D345" s="35" t="s">
        <v>24</v>
      </c>
      <c r="E345" s="35" t="s">
        <v>30</v>
      </c>
      <c r="F345" s="35" t="s">
        <v>25</v>
      </c>
      <c r="G345" s="35" t="s">
        <v>25</v>
      </c>
      <c r="H345" s="35" t="s">
        <v>25</v>
      </c>
      <c r="I345" s="54">
        <v>44531</v>
      </c>
      <c r="J345" s="55">
        <f>EFEITO!$J$345*EFEITO!$Y$277</f>
        <v>0</v>
      </c>
      <c r="K345" s="55">
        <f ca="1">EFEITO!$L$345*EFEITO!$Z$379</f>
        <v>6712.586957259573</v>
      </c>
      <c r="L345" s="55">
        <f>EFEITO!$N$345*EFEITO!$AA$379</f>
        <v>4375.6765635010952</v>
      </c>
      <c r="M345" s="55">
        <f>$J$345-EFEITO!$K$345*EFEITO!$Y$345</f>
        <v>0</v>
      </c>
      <c r="N345" s="55">
        <f ca="1">$K$345-EFEITO!$M$345*EFEITO!$Z$345</f>
        <v>2685.0347829038292</v>
      </c>
      <c r="O345" s="55">
        <f>$L$345-EFEITO!$O$345*EFEITO!$AA$345</f>
        <v>1750.2706254004383</v>
      </c>
      <c r="P345" s="39"/>
      <c r="Q345" s="39"/>
      <c r="R345" s="39"/>
      <c r="S345" s="39"/>
      <c r="T345" s="39"/>
      <c r="U345" s="39"/>
      <c r="V345" s="39"/>
      <c r="W345" s="39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35" t="s">
        <v>28</v>
      </c>
      <c r="B346" s="35" t="s">
        <v>22</v>
      </c>
      <c r="C346" s="35" t="s">
        <v>23</v>
      </c>
      <c r="D346" s="35" t="s">
        <v>24</v>
      </c>
      <c r="E346" s="35" t="s">
        <v>30</v>
      </c>
      <c r="F346" s="35" t="s">
        <v>25</v>
      </c>
      <c r="G346" s="35" t="s">
        <v>25</v>
      </c>
      <c r="H346" s="35" t="s">
        <v>25</v>
      </c>
      <c r="I346" s="54">
        <v>44531</v>
      </c>
      <c r="J346" s="55">
        <f>EFEITO!$J$346*EFEITO!$Y$277</f>
        <v>0</v>
      </c>
      <c r="K346" s="55">
        <f ca="1">EFEITO!$L$346*EFEITO!$Z$379</f>
        <v>54.105715586178846</v>
      </c>
      <c r="L346" s="55">
        <f>EFEITO!$N$346*EFEITO!$AA$379</f>
        <v>35.269429379362847</v>
      </c>
      <c r="M346" s="55">
        <f>$J$346-EFEITO!$K$346*EFEITO!$Y$346</f>
        <v>0</v>
      </c>
      <c r="N346" s="55">
        <f ca="1">$K$346-EFEITO!$M$346*EFEITO!$Z$346</f>
        <v>60.598401456520307</v>
      </c>
      <c r="O346" s="55">
        <f>$L$346-EFEITO!$O$346*EFEITO!$AA$346</f>
        <v>39.501760904886389</v>
      </c>
      <c r="P346" s="39"/>
      <c r="Q346" s="39"/>
      <c r="R346" s="39"/>
      <c r="S346" s="39"/>
      <c r="T346" s="39"/>
      <c r="U346" s="39"/>
      <c r="V346" s="39"/>
      <c r="W346" s="39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35" t="s">
        <v>21</v>
      </c>
      <c r="B347" s="35" t="s">
        <v>22</v>
      </c>
      <c r="C347" s="35" t="s">
        <v>23</v>
      </c>
      <c r="D347" s="35" t="s">
        <v>24</v>
      </c>
      <c r="E347" s="35" t="s">
        <v>30</v>
      </c>
      <c r="F347" s="35" t="s">
        <v>25</v>
      </c>
      <c r="G347" s="35" t="s">
        <v>25</v>
      </c>
      <c r="H347" s="35" t="s">
        <v>25</v>
      </c>
      <c r="I347" s="54">
        <v>44562</v>
      </c>
      <c r="J347" s="55">
        <f>EFEITO!$J$347*EFEITO!$Y$277</f>
        <v>0</v>
      </c>
      <c r="K347" s="55">
        <f ca="1">EFEITO!$L$347*EFEITO!$Z$379</f>
        <v>7113.3557219943405</v>
      </c>
      <c r="L347" s="55">
        <f>EFEITO!$N$347*EFEITO!$AA$379</f>
        <v>4636.9222654039468</v>
      </c>
      <c r="M347" s="55">
        <f>$J$347-EFEITO!$K$347*EFEITO!$Y$347</f>
        <v>0</v>
      </c>
      <c r="N347" s="55">
        <f ca="1">$K$347-EFEITO!$M$347*EFEITO!$Z$347</f>
        <v>2845.3422887977367</v>
      </c>
      <c r="O347" s="55">
        <f>$L$347-EFEITO!$O$347*EFEITO!$AA$347</f>
        <v>1854.7689061615788</v>
      </c>
      <c r="P347" s="39"/>
      <c r="Q347" s="39"/>
      <c r="R347" s="39"/>
      <c r="S347" s="39"/>
      <c r="T347" s="39"/>
      <c r="U347" s="39"/>
      <c r="V347" s="39"/>
      <c r="W347" s="39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35" t="s">
        <v>28</v>
      </c>
      <c r="B348" s="35" t="s">
        <v>22</v>
      </c>
      <c r="C348" s="35" t="s">
        <v>23</v>
      </c>
      <c r="D348" s="35" t="s">
        <v>24</v>
      </c>
      <c r="E348" s="35" t="s">
        <v>30</v>
      </c>
      <c r="F348" s="35" t="s">
        <v>25</v>
      </c>
      <c r="G348" s="35" t="s">
        <v>25</v>
      </c>
      <c r="H348" s="35" t="s">
        <v>25</v>
      </c>
      <c r="I348" s="54">
        <v>44562</v>
      </c>
      <c r="J348" s="55">
        <f>EFEITO!$J$348*EFEITO!$Y$277</f>
        <v>0</v>
      </c>
      <c r="K348" s="55">
        <f ca="1">EFEITO!$L$348*EFEITO!$Z$379</f>
        <v>54.105715586178846</v>
      </c>
      <c r="L348" s="55">
        <f>EFEITO!$N$348*EFEITO!$AA$379</f>
        <v>35.269429379362847</v>
      </c>
      <c r="M348" s="55">
        <f>$J$348-EFEITO!$K$348*EFEITO!$Y$348</f>
        <v>0</v>
      </c>
      <c r="N348" s="55">
        <f ca="1">$K$348-EFEITO!$M$348*EFEITO!$Z$348</f>
        <v>60.598401456520307</v>
      </c>
      <c r="O348" s="55">
        <f>$L$348-EFEITO!$O$348*EFEITO!$AA$348</f>
        <v>39.501760904886389</v>
      </c>
      <c r="P348" s="39"/>
      <c r="Q348" s="39"/>
      <c r="R348" s="39"/>
      <c r="S348" s="39"/>
      <c r="T348" s="39"/>
      <c r="U348" s="39"/>
      <c r="V348" s="39"/>
      <c r="W348" s="39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35" t="s">
        <v>21</v>
      </c>
      <c r="B349" s="35" t="s">
        <v>22</v>
      </c>
      <c r="C349" s="35" t="s">
        <v>23</v>
      </c>
      <c r="D349" s="35" t="s">
        <v>24</v>
      </c>
      <c r="E349" s="35" t="s">
        <v>30</v>
      </c>
      <c r="F349" s="35" t="s">
        <v>25</v>
      </c>
      <c r="G349" s="35" t="s">
        <v>25</v>
      </c>
      <c r="H349" s="35" t="s">
        <v>25</v>
      </c>
      <c r="I349" s="54">
        <v>44593</v>
      </c>
      <c r="J349" s="55">
        <f>EFEITO!$J$349*EFEITO!$Y$277</f>
        <v>0</v>
      </c>
      <c r="K349" s="55">
        <f ca="1">EFEITO!$L$349*EFEITO!$Z$379</f>
        <v>7341.759135647424</v>
      </c>
      <c r="L349" s="55">
        <f>EFEITO!$N$349*EFEITO!$AA$379</f>
        <v>4785.8096422839717</v>
      </c>
      <c r="M349" s="55">
        <f>$J$349-EFEITO!$K$349*EFEITO!$Y$349</f>
        <v>0</v>
      </c>
      <c r="N349" s="55">
        <f ca="1">$K$349-EFEITO!$M$349*EFEITO!$Z$349</f>
        <v>2936.7036542589694</v>
      </c>
      <c r="O349" s="55">
        <f>$L$349-EFEITO!$O$349*EFEITO!$AA$349</f>
        <v>1914.3238569135888</v>
      </c>
      <c r="P349" s="39"/>
      <c r="Q349" s="39"/>
      <c r="R349" s="39"/>
      <c r="S349" s="39"/>
      <c r="T349" s="39"/>
      <c r="U349" s="39"/>
      <c r="V349" s="39"/>
      <c r="W349" s="39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35" t="s">
        <v>28</v>
      </c>
      <c r="B350" s="35" t="s">
        <v>22</v>
      </c>
      <c r="C350" s="35" t="s">
        <v>23</v>
      </c>
      <c r="D350" s="35" t="s">
        <v>24</v>
      </c>
      <c r="E350" s="35" t="s">
        <v>30</v>
      </c>
      <c r="F350" s="35" t="s">
        <v>25</v>
      </c>
      <c r="G350" s="35" t="s">
        <v>25</v>
      </c>
      <c r="H350" s="35" t="s">
        <v>25</v>
      </c>
      <c r="I350" s="54">
        <v>44593</v>
      </c>
      <c r="J350" s="55">
        <f>EFEITO!$J$350*EFEITO!$Y$277</f>
        <v>0</v>
      </c>
      <c r="K350" s="55">
        <f ca="1">EFEITO!$L$350*EFEITO!$Z$379</f>
        <v>54.105715586178846</v>
      </c>
      <c r="L350" s="55">
        <f>EFEITO!$N$350*EFEITO!$AA$379</f>
        <v>35.269429379362847</v>
      </c>
      <c r="M350" s="55">
        <f>$J$350-EFEITO!$K$350*EFEITO!$Y$350</f>
        <v>0</v>
      </c>
      <c r="N350" s="55">
        <f ca="1">$K$350-EFEITO!$M$350*EFEITO!$Z$350</f>
        <v>60.598401456520307</v>
      </c>
      <c r="O350" s="55">
        <f>$L$350-EFEITO!$O$350*EFEITO!$AA$350</f>
        <v>39.501760904886389</v>
      </c>
      <c r="P350" s="39"/>
      <c r="Q350" s="39"/>
      <c r="R350" s="39"/>
      <c r="S350" s="39"/>
      <c r="T350" s="39"/>
      <c r="U350" s="39"/>
      <c r="V350" s="39"/>
      <c r="W350" s="39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35" t="s">
        <v>21</v>
      </c>
      <c r="B351" s="35" t="s">
        <v>22</v>
      </c>
      <c r="C351" s="35" t="s">
        <v>23</v>
      </c>
      <c r="D351" s="35" t="s">
        <v>24</v>
      </c>
      <c r="E351" s="35" t="s">
        <v>30</v>
      </c>
      <c r="F351" s="35" t="s">
        <v>25</v>
      </c>
      <c r="G351" s="35" t="s">
        <v>25</v>
      </c>
      <c r="H351" s="35" t="s">
        <v>25</v>
      </c>
      <c r="I351" s="54">
        <v>44621</v>
      </c>
      <c r="J351" s="55">
        <f>EFEITO!$J$351*EFEITO!$Y$277</f>
        <v>0</v>
      </c>
      <c r="K351" s="55">
        <f ca="1">EFEITO!$L$351*EFEITO!$Z$379</f>
        <v>7497.8927720532547</v>
      </c>
      <c r="L351" s="55">
        <f>EFEITO!$N$351*EFEITO!$AA$379</f>
        <v>4887.5871384929897</v>
      </c>
      <c r="M351" s="55">
        <f>$J$351-EFEITO!$K$351*EFEITO!$Y$351</f>
        <v>0</v>
      </c>
      <c r="N351" s="55">
        <f ca="1">$K$351-EFEITO!$M$351*EFEITO!$Z$351</f>
        <v>2999.1571088213022</v>
      </c>
      <c r="O351" s="55">
        <f>$L$351-EFEITO!$O$351*EFEITO!$AA$351</f>
        <v>1955.0348553971958</v>
      </c>
      <c r="P351" s="39"/>
      <c r="Q351" s="39"/>
      <c r="R351" s="39"/>
      <c r="S351" s="39"/>
      <c r="T351" s="39"/>
      <c r="U351" s="39"/>
      <c r="V351" s="39"/>
      <c r="W351" s="39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35" t="s">
        <v>28</v>
      </c>
      <c r="B352" s="35" t="s">
        <v>22</v>
      </c>
      <c r="C352" s="35" t="s">
        <v>23</v>
      </c>
      <c r="D352" s="35" t="s">
        <v>24</v>
      </c>
      <c r="E352" s="35" t="s">
        <v>30</v>
      </c>
      <c r="F352" s="35" t="s">
        <v>25</v>
      </c>
      <c r="G352" s="35" t="s">
        <v>25</v>
      </c>
      <c r="H352" s="35" t="s">
        <v>25</v>
      </c>
      <c r="I352" s="54">
        <v>44621</v>
      </c>
      <c r="J352" s="55">
        <f>EFEITO!$J$352*EFEITO!$Y$277</f>
        <v>0</v>
      </c>
      <c r="K352" s="55">
        <f ca="1">EFEITO!$L$352*EFEITO!$Z$379</f>
        <v>54.105715586178846</v>
      </c>
      <c r="L352" s="55">
        <f>EFEITO!$N$352*EFEITO!$AA$379</f>
        <v>35.269429379362847</v>
      </c>
      <c r="M352" s="55">
        <f>$J$352-EFEITO!$K$352*EFEITO!$Y$352</f>
        <v>0</v>
      </c>
      <c r="N352" s="55">
        <f ca="1">$K$352-EFEITO!$M$352*EFEITO!$Z$352</f>
        <v>73.583773197203229</v>
      </c>
      <c r="O352" s="55">
        <f>$L$352-EFEITO!$O$352*EFEITO!$AA$352</f>
        <v>47.966423955933472</v>
      </c>
      <c r="P352" s="39"/>
      <c r="Q352" s="39"/>
      <c r="R352" s="39"/>
      <c r="S352" s="39"/>
      <c r="T352" s="39"/>
      <c r="U352" s="39"/>
      <c r="V352" s="39"/>
      <c r="W352" s="39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35" t="s">
        <v>21</v>
      </c>
      <c r="B353" s="35" t="s">
        <v>22</v>
      </c>
      <c r="C353" s="35" t="s">
        <v>23</v>
      </c>
      <c r="D353" s="35" t="s">
        <v>24</v>
      </c>
      <c r="E353" s="35" t="s">
        <v>30</v>
      </c>
      <c r="F353" s="35" t="s">
        <v>25</v>
      </c>
      <c r="G353" s="35" t="s">
        <v>25</v>
      </c>
      <c r="H353" s="35" t="s">
        <v>25</v>
      </c>
      <c r="I353" s="54">
        <v>44652</v>
      </c>
      <c r="J353" s="55">
        <f>EFEITO!$J$353*EFEITO!$Y$277</f>
        <v>0</v>
      </c>
      <c r="K353" s="55">
        <f ca="1">EFEITO!$L$353*EFEITO!$Z$379</f>
        <v>15572.011415099314</v>
      </c>
      <c r="L353" s="55">
        <f>EFEITO!$N$353*EFEITO!$AA$379</f>
        <v>10150.793699876194</v>
      </c>
      <c r="M353" s="55">
        <f>$J$353-EFEITO!$K$353*EFEITO!$Y$353</f>
        <v>0</v>
      </c>
      <c r="N353" s="55">
        <f ca="1">$K$353-EFEITO!$M$353*EFEITO!$Z$353</f>
        <v>6228.8045660397256</v>
      </c>
      <c r="O353" s="55">
        <f>$L$353-EFEITO!$O$353*EFEITO!$AA$353</f>
        <v>4060.3174799504777</v>
      </c>
      <c r="P353" s="39"/>
      <c r="Q353" s="39"/>
      <c r="R353" s="39"/>
      <c r="S353" s="39"/>
      <c r="T353" s="39"/>
      <c r="U353" s="39"/>
      <c r="V353" s="39"/>
      <c r="W353" s="39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35" t="s">
        <v>28</v>
      </c>
      <c r="B354" s="35" t="s">
        <v>22</v>
      </c>
      <c r="C354" s="35" t="s">
        <v>23</v>
      </c>
      <c r="D354" s="35" t="s">
        <v>24</v>
      </c>
      <c r="E354" s="35" t="s">
        <v>30</v>
      </c>
      <c r="F354" s="35" t="s">
        <v>25</v>
      </c>
      <c r="G354" s="35" t="s">
        <v>25</v>
      </c>
      <c r="H354" s="35" t="s">
        <v>25</v>
      </c>
      <c r="I354" s="54">
        <v>44652</v>
      </c>
      <c r="J354" s="55">
        <f>EFEITO!$J$354*EFEITO!$Y$277</f>
        <v>0</v>
      </c>
      <c r="K354" s="55">
        <f ca="1">EFEITO!$L$354*EFEITO!$Z$379</f>
        <v>16.618184072897783</v>
      </c>
      <c r="L354" s="55">
        <f>EFEITO!$N$354*EFEITO!$AA$379</f>
        <v>10.832753309375731</v>
      </c>
      <c r="M354" s="55">
        <f>$J$354-EFEITO!$K$354*EFEITO!$Y$354</f>
        <v>0</v>
      </c>
      <c r="N354" s="55">
        <f ca="1">$K$354-EFEITO!$M$354*EFEITO!$Z$354</f>
        <v>50.519279581609268</v>
      </c>
      <c r="O354" s="55">
        <f>$L$354-EFEITO!$O$354*EFEITO!$AA$354</f>
        <v>32.931570060502224</v>
      </c>
      <c r="P354" s="39"/>
      <c r="Q354" s="39"/>
      <c r="R354" s="39"/>
      <c r="S354" s="39"/>
      <c r="T354" s="39"/>
      <c r="U354" s="39"/>
      <c r="V354" s="39"/>
      <c r="W354" s="39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35" t="s">
        <v>21</v>
      </c>
      <c r="B355" s="35" t="s">
        <v>22</v>
      </c>
      <c r="C355" s="35" t="s">
        <v>23</v>
      </c>
      <c r="D355" s="35" t="s">
        <v>24</v>
      </c>
      <c r="E355" s="35" t="s">
        <v>30</v>
      </c>
      <c r="F355" s="35" t="s">
        <v>25</v>
      </c>
      <c r="G355" s="35" t="s">
        <v>25</v>
      </c>
      <c r="H355" s="35" t="s">
        <v>25</v>
      </c>
      <c r="I355" s="54">
        <v>44682</v>
      </c>
      <c r="J355" s="55">
        <f>EFEITO!$J$355*EFEITO!$Y$277</f>
        <v>0</v>
      </c>
      <c r="K355" s="55">
        <f ca="1">EFEITO!$L$355*EFEITO!$Z$379</f>
        <v>15612.590701788949</v>
      </c>
      <c r="L355" s="55">
        <f>EFEITO!$N$355*EFEITO!$AA$379</f>
        <v>10177.245771910717</v>
      </c>
      <c r="M355" s="55">
        <f>$J$355-EFEITO!$K$355*EFEITO!$Y$355</f>
        <v>0</v>
      </c>
      <c r="N355" s="55">
        <f ca="1">$K$355-EFEITO!$M$355*EFEITO!$Z$355</f>
        <v>6245.0362807155798</v>
      </c>
      <c r="O355" s="55">
        <f>$L$355-EFEITO!$O$355*EFEITO!$AA$355</f>
        <v>4070.8983087642864</v>
      </c>
      <c r="P355" s="39"/>
      <c r="Q355" s="39"/>
      <c r="R355" s="39"/>
      <c r="S355" s="39"/>
      <c r="T355" s="39"/>
      <c r="U355" s="39"/>
      <c r="V355" s="39"/>
      <c r="W355" s="39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35" t="s">
        <v>27</v>
      </c>
      <c r="B356" s="35" t="s">
        <v>22</v>
      </c>
      <c r="C356" s="35" t="s">
        <v>23</v>
      </c>
      <c r="D356" s="35" t="s">
        <v>24</v>
      </c>
      <c r="E356" s="35" t="s">
        <v>30</v>
      </c>
      <c r="F356" s="35" t="s">
        <v>25</v>
      </c>
      <c r="G356" s="35" t="s">
        <v>25</v>
      </c>
      <c r="H356" s="35" t="s">
        <v>25</v>
      </c>
      <c r="I356" s="54">
        <v>44682</v>
      </c>
      <c r="J356" s="55">
        <f>EFEITO!$J$356*EFEITO!$Y$277</f>
        <v>0</v>
      </c>
      <c r="K356" s="55">
        <f ca="1">EFEITO!$L$356*EFEITO!$Z$379</f>
        <v>-5.4105715586178835</v>
      </c>
      <c r="L356" s="55">
        <f>EFEITO!$N$356*EFEITO!$AA$379</f>
        <v>-3.5269429379362847</v>
      </c>
      <c r="M356" s="55">
        <f>$J$356-EFEITO!$K$356*EFEITO!$Y$356</f>
        <v>0</v>
      </c>
      <c r="N356" s="55">
        <f ca="1">$K$356-EFEITO!$M$356*EFEITO!$Z$356</f>
        <v>-2.1642286234471531</v>
      </c>
      <c r="O356" s="55">
        <f>$L$356-EFEITO!$O$356*EFEITO!$AA$356</f>
        <v>-1.410777175174514</v>
      </c>
      <c r="P356" s="39"/>
      <c r="Q356" s="39"/>
      <c r="R356" s="39"/>
      <c r="S356" s="39"/>
      <c r="T356" s="39"/>
      <c r="U356" s="39"/>
      <c r="V356" s="39"/>
      <c r="W356" s="39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35" t="s">
        <v>28</v>
      </c>
      <c r="B357" s="35" t="s">
        <v>22</v>
      </c>
      <c r="C357" s="35" t="s">
        <v>23</v>
      </c>
      <c r="D357" s="35" t="s">
        <v>24</v>
      </c>
      <c r="E357" s="35" t="s">
        <v>30</v>
      </c>
      <c r="F357" s="35" t="s">
        <v>25</v>
      </c>
      <c r="G357" s="35" t="s">
        <v>25</v>
      </c>
      <c r="H357" s="35" t="s">
        <v>25</v>
      </c>
      <c r="I357" s="54">
        <v>44682</v>
      </c>
      <c r="J357" s="55">
        <f>EFEITO!$J$357*EFEITO!$Y$277</f>
        <v>0</v>
      </c>
      <c r="K357" s="55">
        <f ca="1">EFEITO!$L$357*EFEITO!$Z$379</f>
        <v>61.062164732973258</v>
      </c>
      <c r="L357" s="55">
        <f>EFEITO!$N$357*EFEITO!$AA$379</f>
        <v>39.804070299566639</v>
      </c>
      <c r="M357" s="55">
        <f>$J$357-EFEITO!$K$357*EFEITO!$Y$357</f>
        <v>0</v>
      </c>
      <c r="N357" s="55">
        <f ca="1">$K$357-EFEITO!$M$357*EFEITO!$Z$357</f>
        <v>185.62898078823872</v>
      </c>
      <c r="O357" s="55">
        <f>$L$357-EFEITO!$O$357*EFEITO!$AA$357</f>
        <v>121.00437371068259</v>
      </c>
      <c r="P357" s="39"/>
      <c r="Q357" s="39"/>
      <c r="R357" s="39"/>
      <c r="S357" s="39"/>
      <c r="T357" s="39"/>
      <c r="U357" s="39"/>
      <c r="V357" s="39"/>
      <c r="W357" s="39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35" t="s">
        <v>21</v>
      </c>
      <c r="B358" s="35" t="s">
        <v>22</v>
      </c>
      <c r="C358" s="35" t="s">
        <v>23</v>
      </c>
      <c r="D358" s="35" t="s">
        <v>24</v>
      </c>
      <c r="E358" s="35" t="s">
        <v>30</v>
      </c>
      <c r="F358" s="35" t="s">
        <v>25</v>
      </c>
      <c r="G358" s="35" t="s">
        <v>25</v>
      </c>
      <c r="H358" s="35" t="s">
        <v>25</v>
      </c>
      <c r="I358" s="54">
        <v>44713</v>
      </c>
      <c r="J358" s="55">
        <f>EFEITO!$J$358*EFEITO!$Y$277</f>
        <v>0</v>
      </c>
      <c r="K358" s="55">
        <f ca="1">EFEITO!$L$358*EFEITO!$Z$379</f>
        <v>15818.965359810516</v>
      </c>
      <c r="L358" s="55">
        <f>EFEITO!$N$358*EFEITO!$AA$379</f>
        <v>10311.77345254343</v>
      </c>
      <c r="M358" s="55">
        <f>$J$358-EFEITO!$K$358*EFEITO!$Y$358</f>
        <v>0</v>
      </c>
      <c r="N358" s="55">
        <f ca="1">$K$358-EFEITO!$M$358*EFEITO!$Z$358</f>
        <v>6327.5861439242053</v>
      </c>
      <c r="O358" s="55">
        <f>$L$358-EFEITO!$O$358*EFEITO!$AA$358</f>
        <v>4124.7093810173719</v>
      </c>
      <c r="P358" s="39"/>
      <c r="Q358" s="39"/>
      <c r="R358" s="39"/>
      <c r="S358" s="39"/>
      <c r="T358" s="39"/>
      <c r="U358" s="39"/>
      <c r="V358" s="39"/>
      <c r="W358" s="39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35" t="s">
        <v>28</v>
      </c>
      <c r="B359" s="35" t="s">
        <v>22</v>
      </c>
      <c r="C359" s="35" t="s">
        <v>23</v>
      </c>
      <c r="D359" s="35" t="s">
        <v>24</v>
      </c>
      <c r="E359" s="35" t="s">
        <v>30</v>
      </c>
      <c r="F359" s="35" t="s">
        <v>25</v>
      </c>
      <c r="G359" s="35" t="s">
        <v>25</v>
      </c>
      <c r="H359" s="35" t="s">
        <v>25</v>
      </c>
      <c r="I359" s="54">
        <v>44713</v>
      </c>
      <c r="J359" s="55">
        <f>EFEITO!$J$359*EFEITO!$Y$277</f>
        <v>0</v>
      </c>
      <c r="K359" s="55">
        <f ca="1">EFEITO!$L$359*EFEITO!$Z$379</f>
        <v>78.066818202915186</v>
      </c>
      <c r="L359" s="55">
        <f>EFEITO!$N$359*EFEITO!$AA$379</f>
        <v>50.888748104509254</v>
      </c>
      <c r="M359" s="55">
        <f>$J$359-EFEITO!$K$359*EFEITO!$Y$359</f>
        <v>0</v>
      </c>
      <c r="N359" s="55">
        <f ca="1">$K$359-EFEITO!$M$359*EFEITO!$Z$359</f>
        <v>237.32312733686214</v>
      </c>
      <c r="O359" s="55">
        <f>$L$359-EFEITO!$O$359*EFEITO!$AA$359</f>
        <v>154.70179423770813</v>
      </c>
      <c r="P359" s="39"/>
      <c r="Q359" s="39"/>
      <c r="R359" s="39"/>
      <c r="S359" s="39"/>
      <c r="T359" s="39"/>
      <c r="U359" s="39"/>
      <c r="V359" s="39"/>
      <c r="W359" s="39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35" t="s">
        <v>21</v>
      </c>
      <c r="B360" s="35" t="s">
        <v>22</v>
      </c>
      <c r="C360" s="35" t="s">
        <v>23</v>
      </c>
      <c r="D360" s="35" t="s">
        <v>24</v>
      </c>
      <c r="E360" s="35" t="s">
        <v>31</v>
      </c>
      <c r="F360" s="35" t="s">
        <v>25</v>
      </c>
      <c r="G360" s="35" t="s">
        <v>25</v>
      </c>
      <c r="H360" s="35" t="s">
        <v>25</v>
      </c>
      <c r="I360" s="54">
        <v>44378</v>
      </c>
      <c r="J360" s="55">
        <f>EFEITO!$J$360*EFEITO!$Y$277</f>
        <v>0</v>
      </c>
      <c r="K360" s="55">
        <f ca="1">EFEITO!$L$360*EFEITO!$Z$379</f>
        <v>3238.2270778328034</v>
      </c>
      <c r="L360" s="55">
        <f>EFEITO!$N$360*EFEITO!$AA$379</f>
        <v>2110.8753483548662</v>
      </c>
      <c r="M360" s="55">
        <f>$J$360-EFEITO!$K$360*EFEITO!$Y$360</f>
        <v>0</v>
      </c>
      <c r="N360" s="55">
        <f ca="1">$K$360-EFEITO!$M$360*EFEITO!$Z$360</f>
        <v>323.82270778328029</v>
      </c>
      <c r="O360" s="55">
        <f>$L$360-EFEITO!$O$360*EFEITO!$AA$360</f>
        <v>211.08753483548639</v>
      </c>
      <c r="P360" s="39"/>
      <c r="Q360" s="39"/>
      <c r="R360" s="39"/>
      <c r="S360" s="39"/>
      <c r="T360" s="39"/>
      <c r="U360" s="39"/>
      <c r="V360" s="39"/>
      <c r="W360" s="39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35" t="s">
        <v>21</v>
      </c>
      <c r="B361" s="35" t="s">
        <v>22</v>
      </c>
      <c r="C361" s="35" t="s">
        <v>23</v>
      </c>
      <c r="D361" s="35" t="s">
        <v>24</v>
      </c>
      <c r="E361" s="35" t="s">
        <v>31</v>
      </c>
      <c r="F361" s="35" t="s">
        <v>25</v>
      </c>
      <c r="G361" s="35" t="s">
        <v>25</v>
      </c>
      <c r="H361" s="35" t="s">
        <v>25</v>
      </c>
      <c r="I361" s="54">
        <v>44409</v>
      </c>
      <c r="J361" s="55">
        <f>EFEITO!$J$361*EFEITO!$Y$277</f>
        <v>0</v>
      </c>
      <c r="K361" s="55">
        <f ca="1">EFEITO!$L$361*EFEITO!$Z$379</f>
        <v>3572.9095756730235</v>
      </c>
      <c r="L361" s="55">
        <f>EFEITO!$N$361*EFEITO!$AA$379</f>
        <v>2329.0419615157821</v>
      </c>
      <c r="M361" s="55">
        <f>$J$361-EFEITO!$K$361*EFEITO!$Y$361</f>
        <v>0</v>
      </c>
      <c r="N361" s="55">
        <f ca="1">$K$361-EFEITO!$M$361*EFEITO!$Z$361</f>
        <v>357.29095756730203</v>
      </c>
      <c r="O361" s="55">
        <f>$L$361-EFEITO!$O$361*EFEITO!$AA$361</f>
        <v>232.90419615157816</v>
      </c>
      <c r="P361" s="39"/>
      <c r="Q361" s="39"/>
      <c r="R361" s="39"/>
      <c r="S361" s="39"/>
      <c r="T361" s="39"/>
      <c r="U361" s="39"/>
      <c r="V361" s="39"/>
      <c r="W361" s="39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35" t="s">
        <v>21</v>
      </c>
      <c r="B362" s="35" t="s">
        <v>22</v>
      </c>
      <c r="C362" s="35" t="s">
        <v>23</v>
      </c>
      <c r="D362" s="35" t="s">
        <v>24</v>
      </c>
      <c r="E362" s="35" t="s">
        <v>31</v>
      </c>
      <c r="F362" s="35" t="s">
        <v>25</v>
      </c>
      <c r="G362" s="35" t="s">
        <v>25</v>
      </c>
      <c r="H362" s="35" t="s">
        <v>25</v>
      </c>
      <c r="I362" s="54">
        <v>44440</v>
      </c>
      <c r="J362" s="55">
        <f>EFEITO!$J$362*EFEITO!$Y$277</f>
        <v>0</v>
      </c>
      <c r="K362" s="55">
        <f ca="1">EFEITO!$L$362*EFEITO!$Z$379</f>
        <v>4051.3586892136627</v>
      </c>
      <c r="L362" s="55">
        <f>EFEITO!$N$362*EFEITO!$AA$379</f>
        <v>2640.9244870275766</v>
      </c>
      <c r="M362" s="55">
        <f>$J$362-EFEITO!$K$362*EFEITO!$Y$362</f>
        <v>0</v>
      </c>
      <c r="N362" s="55">
        <f ca="1">$K$362-EFEITO!$M$362*EFEITO!$Z$362</f>
        <v>405.13586892136618</v>
      </c>
      <c r="O362" s="55">
        <f>$L$362-EFEITO!$O$362*EFEITO!$AA$362</f>
        <v>264.09244870275734</v>
      </c>
      <c r="P362" s="39"/>
      <c r="Q362" s="39"/>
      <c r="R362" s="39"/>
      <c r="S362" s="39"/>
      <c r="T362" s="39"/>
      <c r="U362" s="39"/>
      <c r="V362" s="39"/>
      <c r="W362" s="39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35" t="s">
        <v>21</v>
      </c>
      <c r="B363" s="35" t="s">
        <v>22</v>
      </c>
      <c r="C363" s="35" t="s">
        <v>23</v>
      </c>
      <c r="D363" s="35" t="s">
        <v>24</v>
      </c>
      <c r="E363" s="35" t="s">
        <v>31</v>
      </c>
      <c r="F363" s="35" t="s">
        <v>25</v>
      </c>
      <c r="G363" s="35" t="s">
        <v>25</v>
      </c>
      <c r="H363" s="35" t="s">
        <v>25</v>
      </c>
      <c r="I363" s="54">
        <v>44470</v>
      </c>
      <c r="J363" s="55">
        <f>EFEITO!$J$363*EFEITO!$Y$277</f>
        <v>0</v>
      </c>
      <c r="K363" s="55">
        <f ca="1">EFEITO!$L$363*EFEITO!$Z$379</f>
        <v>4009.2335249358521</v>
      </c>
      <c r="L363" s="55">
        <f>EFEITO!$N$363*EFEITO!$AA$379</f>
        <v>2613.4647170107874</v>
      </c>
      <c r="M363" s="55">
        <f>$J$363-EFEITO!$K$363*EFEITO!$Y$363</f>
        <v>0</v>
      </c>
      <c r="N363" s="55">
        <f ca="1">$K$363-EFEITO!$M$363*EFEITO!$Z$363</f>
        <v>400.9233524935853</v>
      </c>
      <c r="O363" s="55">
        <f>$L$363-EFEITO!$O$363*EFEITO!$AA$363</f>
        <v>261.34647170107883</v>
      </c>
      <c r="P363" s="39"/>
      <c r="Q363" s="39"/>
      <c r="R363" s="39"/>
      <c r="S363" s="39"/>
      <c r="T363" s="39"/>
      <c r="U363" s="39"/>
      <c r="V363" s="39"/>
      <c r="W363" s="39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35" t="s">
        <v>21</v>
      </c>
      <c r="B364" s="35" t="s">
        <v>22</v>
      </c>
      <c r="C364" s="35" t="s">
        <v>23</v>
      </c>
      <c r="D364" s="35" t="s">
        <v>24</v>
      </c>
      <c r="E364" s="35" t="s">
        <v>31</v>
      </c>
      <c r="F364" s="35" t="s">
        <v>25</v>
      </c>
      <c r="G364" s="35" t="s">
        <v>25</v>
      </c>
      <c r="H364" s="35" t="s">
        <v>25</v>
      </c>
      <c r="I364" s="54">
        <v>44501</v>
      </c>
      <c r="J364" s="55">
        <f>EFEITO!$J$364*EFEITO!$Y$277</f>
        <v>0</v>
      </c>
      <c r="K364" s="55">
        <f ca="1">EFEITO!$L$364*EFEITO!$Z$379</f>
        <v>4898.8860769314497</v>
      </c>
      <c r="L364" s="55">
        <f>EFEITO!$N$364*EFEITO!$AA$379</f>
        <v>3193.3949058057392</v>
      </c>
      <c r="M364" s="55">
        <f>$J$364-EFEITO!$K$364*EFEITO!$Y$364</f>
        <v>0</v>
      </c>
      <c r="N364" s="55">
        <f ca="1">$K$364-EFEITO!$M$364*EFEITO!$Z$364</f>
        <v>489.88860769314488</v>
      </c>
      <c r="O364" s="55">
        <f>$L$364-EFEITO!$O$364*EFEITO!$AA$364</f>
        <v>319.33949058057397</v>
      </c>
      <c r="P364" s="39"/>
      <c r="Q364" s="39"/>
      <c r="R364" s="39"/>
      <c r="S364" s="39"/>
      <c r="T364" s="39"/>
      <c r="U364" s="39"/>
      <c r="V364" s="39"/>
      <c r="W364" s="39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35" t="s">
        <v>21</v>
      </c>
      <c r="B365" s="35" t="s">
        <v>22</v>
      </c>
      <c r="C365" s="35" t="s">
        <v>23</v>
      </c>
      <c r="D365" s="35" t="s">
        <v>24</v>
      </c>
      <c r="E365" s="35" t="s">
        <v>31</v>
      </c>
      <c r="F365" s="35" t="s">
        <v>25</v>
      </c>
      <c r="G365" s="35" t="s">
        <v>25</v>
      </c>
      <c r="H365" s="35" t="s">
        <v>25</v>
      </c>
      <c r="I365" s="54">
        <v>44531</v>
      </c>
      <c r="J365" s="55">
        <f>EFEITO!$J$365*EFEITO!$Y$277</f>
        <v>0</v>
      </c>
      <c r="K365" s="55">
        <f ca="1">EFEITO!$L$365*EFEITO!$Z$379</f>
        <v>5060.0438154988533</v>
      </c>
      <c r="L365" s="55">
        <f>EFEITO!$N$365*EFEITO!$AA$379</f>
        <v>3298.447420457127</v>
      </c>
      <c r="M365" s="55">
        <f>$J$365-EFEITO!$K$365*EFEITO!$Y$365</f>
        <v>0</v>
      </c>
      <c r="N365" s="55">
        <f ca="1">$K$365-EFEITO!$M$365*EFEITO!$Z$365</f>
        <v>506.00438154988478</v>
      </c>
      <c r="O365" s="55">
        <f>$L$365-EFEITO!$O$365*EFEITO!$AA$365</f>
        <v>329.84474204571279</v>
      </c>
      <c r="P365" s="39"/>
      <c r="Q365" s="39"/>
      <c r="R365" s="39"/>
      <c r="S365" s="39"/>
      <c r="T365" s="39"/>
      <c r="U365" s="39"/>
      <c r="V365" s="39"/>
      <c r="W365" s="39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35" t="s">
        <v>28</v>
      </c>
      <c r="B366" s="35" t="s">
        <v>22</v>
      </c>
      <c r="C366" s="35" t="s">
        <v>23</v>
      </c>
      <c r="D366" s="35" t="s">
        <v>24</v>
      </c>
      <c r="E366" s="35" t="s">
        <v>31</v>
      </c>
      <c r="F366" s="35" t="s">
        <v>25</v>
      </c>
      <c r="G366" s="35" t="s">
        <v>25</v>
      </c>
      <c r="H366" s="35" t="s">
        <v>25</v>
      </c>
      <c r="I366" s="54">
        <v>44531</v>
      </c>
      <c r="J366" s="55">
        <f>EFEITO!$J$366*EFEITO!$Y$277</f>
        <v>0</v>
      </c>
      <c r="K366" s="55">
        <f ca="1">EFEITO!$L$366*EFEITO!$Z$379</f>
        <v>50.241021615737495</v>
      </c>
      <c r="L366" s="55">
        <f>EFEITO!$N$366*EFEITO!$AA$379</f>
        <v>32.750184423694073</v>
      </c>
      <c r="M366" s="55">
        <f>$J$366-EFEITO!$K$366*EFEITO!$Y$366</f>
        <v>0</v>
      </c>
      <c r="N366" s="55">
        <f ca="1">$K$366-EFEITO!$M$366*EFEITO!$Z$366</f>
        <v>18.589177997822876</v>
      </c>
      <c r="O366" s="55">
        <f>$L$366-EFEITO!$O$366*EFEITO!$AA$366</f>
        <v>12.117568236766807</v>
      </c>
      <c r="P366" s="39"/>
      <c r="Q366" s="39"/>
      <c r="R366" s="39"/>
      <c r="S366" s="39"/>
      <c r="T366" s="39"/>
      <c r="U366" s="39"/>
      <c r="V366" s="39"/>
      <c r="W366" s="39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35" t="s">
        <v>21</v>
      </c>
      <c r="B367" s="35" t="s">
        <v>22</v>
      </c>
      <c r="C367" s="35" t="s">
        <v>23</v>
      </c>
      <c r="D367" s="35" t="s">
        <v>24</v>
      </c>
      <c r="E367" s="35" t="s">
        <v>31</v>
      </c>
      <c r="F367" s="35" t="s">
        <v>25</v>
      </c>
      <c r="G367" s="35" t="s">
        <v>25</v>
      </c>
      <c r="H367" s="35" t="s">
        <v>25</v>
      </c>
      <c r="I367" s="54">
        <v>44562</v>
      </c>
      <c r="J367" s="55">
        <f>EFEITO!$J$367*EFEITO!$Y$277</f>
        <v>0</v>
      </c>
      <c r="K367" s="55">
        <f ca="1">EFEITO!$L$367*EFEITO!$Z$379</f>
        <v>6557.6127290448749</v>
      </c>
      <c r="L367" s="55">
        <f>EFEITO!$N$367*EFEITO!$AA$379</f>
        <v>4274.6548407787768</v>
      </c>
      <c r="M367" s="55">
        <f>$J$367-EFEITO!$K$367*EFEITO!$Y$367</f>
        <v>0</v>
      </c>
      <c r="N367" s="55">
        <f ca="1">$K$367-EFEITO!$M$367*EFEITO!$Z$367</f>
        <v>655.76127290448767</v>
      </c>
      <c r="O367" s="55">
        <f>$L$367-EFEITO!$O$367*EFEITO!$AA$367</f>
        <v>427.46548407787714</v>
      </c>
      <c r="P367" s="39"/>
      <c r="Q367" s="39"/>
      <c r="R367" s="39"/>
      <c r="S367" s="39"/>
      <c r="T367" s="39"/>
      <c r="U367" s="39"/>
      <c r="V367" s="39"/>
      <c r="W367" s="39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35" t="s">
        <v>28</v>
      </c>
      <c r="B368" s="35" t="s">
        <v>22</v>
      </c>
      <c r="C368" s="35" t="s">
        <v>23</v>
      </c>
      <c r="D368" s="35" t="s">
        <v>24</v>
      </c>
      <c r="E368" s="35" t="s">
        <v>31</v>
      </c>
      <c r="F368" s="35" t="s">
        <v>25</v>
      </c>
      <c r="G368" s="35" t="s">
        <v>25</v>
      </c>
      <c r="H368" s="35" t="s">
        <v>25</v>
      </c>
      <c r="I368" s="54">
        <v>44562</v>
      </c>
      <c r="J368" s="55">
        <f>EFEITO!$J$368*EFEITO!$Y$277</f>
        <v>0</v>
      </c>
      <c r="K368" s="55">
        <f ca="1">EFEITO!$L$368*EFEITO!$Z$379</f>
        <v>69.564491467944222</v>
      </c>
      <c r="L368" s="55">
        <f>EFEITO!$N$368*EFEITO!$AA$379</f>
        <v>45.346409202037947</v>
      </c>
      <c r="M368" s="55">
        <f>$J$368-EFEITO!$K$368*EFEITO!$Y$368</f>
        <v>0</v>
      </c>
      <c r="N368" s="55">
        <f ca="1">$K$368-EFEITO!$M$368*EFEITO!$Z$368</f>
        <v>25.738861843139361</v>
      </c>
      <c r="O368" s="55">
        <f>$L$368-EFEITO!$O$368*EFEITO!$AA$368</f>
        <v>16.778171404754037</v>
      </c>
      <c r="P368" s="39"/>
      <c r="Q368" s="39"/>
      <c r="R368" s="39"/>
      <c r="S368" s="39"/>
      <c r="T368" s="39"/>
      <c r="U368" s="39"/>
      <c r="V368" s="39"/>
      <c r="W368" s="39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35" t="s">
        <v>21</v>
      </c>
      <c r="B369" s="35" t="s">
        <v>22</v>
      </c>
      <c r="C369" s="35" t="s">
        <v>23</v>
      </c>
      <c r="D369" s="35" t="s">
        <v>24</v>
      </c>
      <c r="E369" s="35" t="s">
        <v>31</v>
      </c>
      <c r="F369" s="35" t="s">
        <v>25</v>
      </c>
      <c r="G369" s="35" t="s">
        <v>25</v>
      </c>
      <c r="H369" s="35" t="s">
        <v>25</v>
      </c>
      <c r="I369" s="54">
        <v>44593</v>
      </c>
      <c r="J369" s="55">
        <f>EFEITO!$J$369*EFEITO!$Y$277</f>
        <v>0</v>
      </c>
      <c r="K369" s="55">
        <f ca="1">EFEITO!$L$369*EFEITO!$Z$379</f>
        <v>7232.7747656809779</v>
      </c>
      <c r="L369" s="55">
        <f>EFEITO!$N$369*EFEITO!$AA$379</f>
        <v>4714.7669345341119</v>
      </c>
      <c r="M369" s="55">
        <f>$J$369-EFEITO!$K$369*EFEITO!$Y$369</f>
        <v>0</v>
      </c>
      <c r="N369" s="55">
        <f ca="1">$K$369-EFEITO!$M$369*EFEITO!$Z$369</f>
        <v>723.27747656809788</v>
      </c>
      <c r="O369" s="55">
        <f>$L$369-EFEITO!$O$369*EFEITO!$AA$369</f>
        <v>471.47669345341092</v>
      </c>
      <c r="P369" s="39"/>
      <c r="Q369" s="39"/>
      <c r="R369" s="39"/>
      <c r="S369" s="39"/>
      <c r="T369" s="39"/>
      <c r="U369" s="39"/>
      <c r="V369" s="39"/>
      <c r="W369" s="39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35" t="s">
        <v>28</v>
      </c>
      <c r="B370" s="35" t="s">
        <v>22</v>
      </c>
      <c r="C370" s="35" t="s">
        <v>23</v>
      </c>
      <c r="D370" s="35" t="s">
        <v>24</v>
      </c>
      <c r="E370" s="35" t="s">
        <v>31</v>
      </c>
      <c r="F370" s="35" t="s">
        <v>25</v>
      </c>
      <c r="G370" s="35" t="s">
        <v>25</v>
      </c>
      <c r="H370" s="35" t="s">
        <v>25</v>
      </c>
      <c r="I370" s="54">
        <v>44593</v>
      </c>
      <c r="J370" s="55">
        <f>EFEITO!$J$370*EFEITO!$Y$277</f>
        <v>0</v>
      </c>
      <c r="K370" s="55">
        <f ca="1">EFEITO!$L$370*EFEITO!$Z$379</f>
        <v>92.752655290592287</v>
      </c>
      <c r="L370" s="55">
        <f>EFEITO!$N$370*EFEITO!$AA$379</f>
        <v>60.461878936050596</v>
      </c>
      <c r="M370" s="55">
        <f>$J$370-EFEITO!$K$370*EFEITO!$Y$370</f>
        <v>0</v>
      </c>
      <c r="N370" s="55">
        <f ca="1">$K$370-EFEITO!$M$370*EFEITO!$Z$370</f>
        <v>34.318482457519139</v>
      </c>
      <c r="O370" s="55">
        <f>$L$370-EFEITO!$O$370*EFEITO!$AA$370</f>
        <v>22.370895206338716</v>
      </c>
      <c r="P370" s="39"/>
      <c r="Q370" s="39"/>
      <c r="R370" s="39"/>
      <c r="S370" s="39"/>
      <c r="T370" s="39"/>
      <c r="U370" s="39"/>
      <c r="V370" s="39"/>
      <c r="W370" s="39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35" t="s">
        <v>21</v>
      </c>
      <c r="B371" s="35" t="s">
        <v>22</v>
      </c>
      <c r="C371" s="35" t="s">
        <v>23</v>
      </c>
      <c r="D371" s="35" t="s">
        <v>24</v>
      </c>
      <c r="E371" s="35" t="s">
        <v>31</v>
      </c>
      <c r="F371" s="35" t="s">
        <v>25</v>
      </c>
      <c r="G371" s="35" t="s">
        <v>25</v>
      </c>
      <c r="H371" s="35" t="s">
        <v>25</v>
      </c>
      <c r="I371" s="54">
        <v>44621</v>
      </c>
      <c r="J371" s="55">
        <f>EFEITO!$J$371*EFEITO!$Y$277</f>
        <v>0</v>
      </c>
      <c r="K371" s="55">
        <f ca="1">EFEITO!$L$371*EFEITO!$Z$379</f>
        <v>6957.2220855885098</v>
      </c>
      <c r="L371" s="55">
        <f>EFEITO!$N$371*EFEITO!$AA$379</f>
        <v>4535.1447691949279</v>
      </c>
      <c r="M371" s="55">
        <f>$J$371-EFEITO!$K$371*EFEITO!$Y$371</f>
        <v>0</v>
      </c>
      <c r="N371" s="55">
        <f ca="1">$K$371-EFEITO!$M$371*EFEITO!$Z$371</f>
        <v>695.72220855885098</v>
      </c>
      <c r="O371" s="55">
        <f>$L$371-EFEITO!$O$371*EFEITO!$AA$371</f>
        <v>453.51447691949215</v>
      </c>
      <c r="P371" s="39"/>
      <c r="Q371" s="39"/>
      <c r="R371" s="39"/>
      <c r="S371" s="39"/>
      <c r="T371" s="39"/>
      <c r="U371" s="39"/>
      <c r="V371" s="39"/>
      <c r="W371" s="39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35" t="s">
        <v>28</v>
      </c>
      <c r="B372" s="35" t="s">
        <v>22</v>
      </c>
      <c r="C372" s="35" t="s">
        <v>23</v>
      </c>
      <c r="D372" s="35" t="s">
        <v>24</v>
      </c>
      <c r="E372" s="35" t="s">
        <v>31</v>
      </c>
      <c r="F372" s="35" t="s">
        <v>25</v>
      </c>
      <c r="G372" s="35" t="s">
        <v>25</v>
      </c>
      <c r="H372" s="35" t="s">
        <v>25</v>
      </c>
      <c r="I372" s="54">
        <v>44621</v>
      </c>
      <c r="J372" s="55">
        <f>EFEITO!$J$372*EFEITO!$Y$277</f>
        <v>0</v>
      </c>
      <c r="K372" s="55">
        <f ca="1">EFEITO!$L$372*EFEITO!$Z$379</f>
        <v>88.115022526062688</v>
      </c>
      <c r="L372" s="55">
        <f>EFEITO!$N$372*EFEITO!$AA$379</f>
        <v>57.43878498924807</v>
      </c>
      <c r="M372" s="55">
        <f>$J$372-EFEITO!$K$372*EFEITO!$Y$372</f>
        <v>0</v>
      </c>
      <c r="N372" s="55">
        <f ca="1">$K$372-EFEITO!$M$372*EFEITO!$Z$372</f>
        <v>40.53291036198884</v>
      </c>
      <c r="O372" s="55">
        <f>$L$372-EFEITO!$O$372*EFEITO!$AA$372</f>
        <v>26.421841095054113</v>
      </c>
      <c r="P372" s="39"/>
      <c r="Q372" s="39"/>
      <c r="R372" s="39"/>
      <c r="S372" s="39"/>
      <c r="T372" s="39"/>
      <c r="U372" s="39"/>
      <c r="V372" s="39"/>
      <c r="W372" s="39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35" t="s">
        <v>21</v>
      </c>
      <c r="B373" s="35" t="s">
        <v>22</v>
      </c>
      <c r="C373" s="35" t="s">
        <v>23</v>
      </c>
      <c r="D373" s="35" t="s">
        <v>24</v>
      </c>
      <c r="E373" s="35" t="s">
        <v>31</v>
      </c>
      <c r="F373" s="35" t="s">
        <v>25</v>
      </c>
      <c r="G373" s="35" t="s">
        <v>25</v>
      </c>
      <c r="H373" s="35" t="s">
        <v>25</v>
      </c>
      <c r="I373" s="54">
        <v>44652</v>
      </c>
      <c r="J373" s="55">
        <f>EFEITO!$J$373*EFEITO!$Y$277</f>
        <v>0</v>
      </c>
      <c r="K373" s="55">
        <f ca="1">EFEITO!$L$373*EFEITO!$Z$379</f>
        <v>10864.427689704709</v>
      </c>
      <c r="L373" s="55">
        <f>EFEITO!$N$373*EFEITO!$AA$379</f>
        <v>7082.1014193760593</v>
      </c>
      <c r="M373" s="55">
        <f>$J$373-EFEITO!$K$373*EFEITO!$Y$373</f>
        <v>0</v>
      </c>
      <c r="N373" s="55">
        <f ca="1">$K$373-EFEITO!$M$373*EFEITO!$Z$373</f>
        <v>1086.4427689704698</v>
      </c>
      <c r="O373" s="55">
        <f>$L$373-EFEITO!$O$373*EFEITO!$AA$373</f>
        <v>708.21014193760584</v>
      </c>
      <c r="P373" s="39"/>
      <c r="Q373" s="39"/>
      <c r="R373" s="39"/>
      <c r="S373" s="39"/>
      <c r="T373" s="39"/>
      <c r="U373" s="39"/>
      <c r="V373" s="39"/>
      <c r="W373" s="39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35" t="s">
        <v>21</v>
      </c>
      <c r="B374" s="35" t="s">
        <v>22</v>
      </c>
      <c r="C374" s="35" t="s">
        <v>23</v>
      </c>
      <c r="D374" s="35" t="s">
        <v>24</v>
      </c>
      <c r="E374" s="35" t="s">
        <v>31</v>
      </c>
      <c r="F374" s="35" t="s">
        <v>25</v>
      </c>
      <c r="G374" s="35" t="s">
        <v>25</v>
      </c>
      <c r="H374" s="35" t="s">
        <v>25</v>
      </c>
      <c r="I374" s="54">
        <v>44682</v>
      </c>
      <c r="J374" s="55">
        <f>EFEITO!$J$374*EFEITO!$Y$277</f>
        <v>0</v>
      </c>
      <c r="K374" s="55">
        <f ca="1">EFEITO!$L$374*EFEITO!$Z$379</f>
        <v>9706.1789067634381</v>
      </c>
      <c r="L374" s="55">
        <f>EFEITO!$N$374*EFEITO!$AA$379</f>
        <v>6327.0837061621278</v>
      </c>
      <c r="M374" s="55">
        <f>$J$374-EFEITO!$K$374*EFEITO!$Y$374</f>
        <v>0</v>
      </c>
      <c r="N374" s="55">
        <f ca="1">$K$374-EFEITO!$M$374*EFEITO!$Z$374</f>
        <v>970.61789067634345</v>
      </c>
      <c r="O374" s="55">
        <f>$L$374-EFEITO!$O$374*EFEITO!$AA$374</f>
        <v>632.70837061621296</v>
      </c>
      <c r="P374" s="39"/>
      <c r="Q374" s="39"/>
      <c r="R374" s="39"/>
      <c r="S374" s="39"/>
      <c r="T374" s="39"/>
      <c r="U374" s="39"/>
      <c r="V374" s="39"/>
      <c r="W374" s="39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35" t="s">
        <v>27</v>
      </c>
      <c r="B375" s="35" t="s">
        <v>22</v>
      </c>
      <c r="C375" s="35" t="s">
        <v>23</v>
      </c>
      <c r="D375" s="35" t="s">
        <v>24</v>
      </c>
      <c r="E375" s="35" t="s">
        <v>31</v>
      </c>
      <c r="F375" s="35" t="s">
        <v>25</v>
      </c>
      <c r="G375" s="35" t="s">
        <v>25</v>
      </c>
      <c r="H375" s="35" t="s">
        <v>25</v>
      </c>
      <c r="I375" s="54">
        <v>44682</v>
      </c>
      <c r="J375" s="55">
        <f>EFEITO!$J$375*EFEITO!$Y$277</f>
        <v>0</v>
      </c>
      <c r="K375" s="55">
        <f ca="1">EFEITO!$L$375*EFEITO!$Z$379</f>
        <v>-46.376327645296143</v>
      </c>
      <c r="L375" s="55">
        <f>EFEITO!$N$375*EFEITO!$AA$379</f>
        <v>-30.230939468025298</v>
      </c>
      <c r="M375" s="55">
        <f>$J$375-EFEITO!$K$375*EFEITO!$Y$375</f>
        <v>0</v>
      </c>
      <c r="N375" s="55">
        <f ca="1">$K$375-EFEITO!$M$375*EFEITO!$Z$375</f>
        <v>-4.6376327645296129</v>
      </c>
      <c r="O375" s="55">
        <f>$L$375-EFEITO!$O$375*EFEITO!$AA$375</f>
        <v>-3.0230939468025291</v>
      </c>
      <c r="P375" s="39"/>
      <c r="Q375" s="39"/>
      <c r="R375" s="39"/>
      <c r="S375" s="39"/>
      <c r="T375" s="39"/>
      <c r="U375" s="39"/>
      <c r="V375" s="39"/>
      <c r="W375" s="39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35" t="s">
        <v>28</v>
      </c>
      <c r="B376" s="35" t="s">
        <v>22</v>
      </c>
      <c r="C376" s="35" t="s">
        <v>23</v>
      </c>
      <c r="D376" s="35" t="s">
        <v>24</v>
      </c>
      <c r="E376" s="35" t="s">
        <v>31</v>
      </c>
      <c r="F376" s="35" t="s">
        <v>25</v>
      </c>
      <c r="G376" s="35" t="s">
        <v>25</v>
      </c>
      <c r="H376" s="35" t="s">
        <v>25</v>
      </c>
      <c r="I376" s="54">
        <v>44682</v>
      </c>
      <c r="J376" s="55">
        <f>EFEITO!$J$376*EFEITO!$Y$277</f>
        <v>0</v>
      </c>
      <c r="K376" s="55">
        <f ca="1">EFEITO!$L$376*EFEITO!$Z$379</f>
        <v>3.4782245733972106</v>
      </c>
      <c r="L376" s="55">
        <f>EFEITO!$N$376*EFEITO!$AA$379</f>
        <v>2.2673204601018973</v>
      </c>
      <c r="M376" s="55">
        <f>$J$376-EFEITO!$K$376*EFEITO!$Y$376</f>
        <v>0</v>
      </c>
      <c r="N376" s="55">
        <f ca="1">$K$376-EFEITO!$M$376*EFEITO!$Z$376</f>
        <v>3.1651843617914617</v>
      </c>
      <c r="O376" s="55">
        <f>$L$376-EFEITO!$O$376*EFEITO!$AA$376</f>
        <v>2.0632616186927266</v>
      </c>
      <c r="P376" s="39"/>
      <c r="Q376" s="39"/>
      <c r="R376" s="39"/>
      <c r="S376" s="39"/>
      <c r="T376" s="39"/>
      <c r="U376" s="39"/>
      <c r="V376" s="39"/>
      <c r="W376" s="39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35" t="s">
        <v>21</v>
      </c>
      <c r="B377" s="35" t="s">
        <v>22</v>
      </c>
      <c r="C377" s="35" t="s">
        <v>23</v>
      </c>
      <c r="D377" s="35" t="s">
        <v>24</v>
      </c>
      <c r="E377" s="35" t="s">
        <v>31</v>
      </c>
      <c r="F377" s="35" t="s">
        <v>25</v>
      </c>
      <c r="G377" s="35" t="s">
        <v>25</v>
      </c>
      <c r="H377" s="35" t="s">
        <v>25</v>
      </c>
      <c r="I377" s="54">
        <v>44713</v>
      </c>
      <c r="J377" s="55">
        <f>EFEITO!$J$377*EFEITO!$Y$277</f>
        <v>0</v>
      </c>
      <c r="K377" s="55">
        <f ca="1">EFEITO!$L$377*EFEITO!$Z$379</f>
        <v>9220.0004052819186</v>
      </c>
      <c r="L377" s="55">
        <f>EFEITO!$N$377*EFEITO!$AA$379</f>
        <v>6010.1626907389955</v>
      </c>
      <c r="M377" s="55">
        <f>$J$377-EFEITO!$K$377*EFEITO!$Y$377</f>
        <v>0</v>
      </c>
      <c r="N377" s="55">
        <f ca="1">$K$377-EFEITO!$M$377*EFEITO!$Z$377</f>
        <v>922.00004052819349</v>
      </c>
      <c r="O377" s="55">
        <f>$L$377-EFEITO!$O$377*EFEITO!$AA$377</f>
        <v>601.01626907389891</v>
      </c>
      <c r="P377" s="39"/>
      <c r="Q377" s="39"/>
      <c r="R377" s="39"/>
      <c r="S377" s="39"/>
      <c r="T377" s="39"/>
      <c r="U377" s="39"/>
      <c r="V377" s="39"/>
      <c r="W377" s="39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35" t="s">
        <v>28</v>
      </c>
      <c r="B378" s="35" t="s">
        <v>22</v>
      </c>
      <c r="C378" s="35" t="s">
        <v>23</v>
      </c>
      <c r="D378" s="35" t="s">
        <v>24</v>
      </c>
      <c r="E378" s="35" t="s">
        <v>31</v>
      </c>
      <c r="F378" s="35" t="s">
        <v>25</v>
      </c>
      <c r="G378" s="35" t="s">
        <v>25</v>
      </c>
      <c r="H378" s="35" t="s">
        <v>25</v>
      </c>
      <c r="I378" s="54">
        <v>44713</v>
      </c>
      <c r="J378" s="55">
        <f>EFEITO!$J$378*EFEITO!$Y$277</f>
        <v>0</v>
      </c>
      <c r="K378" s="55">
        <f ca="1">EFEITO!$L$378*EFEITO!$Z$379</f>
        <v>13.912898293588842</v>
      </c>
      <c r="L378" s="55">
        <f>EFEITO!$N$378*EFEITO!$AA$379</f>
        <v>9.069281840407589</v>
      </c>
      <c r="M378" s="55">
        <f>$J$378-EFEITO!$K$378*EFEITO!$Y$378</f>
        <v>0</v>
      </c>
      <c r="N378" s="55">
        <f ca="1">$K$378-EFEITO!$M$378*EFEITO!$Z$378</f>
        <v>13.912898293588842</v>
      </c>
      <c r="O378" s="55">
        <f>$L$378-EFEITO!$O$378*EFEITO!$AA$378</f>
        <v>9.069281840407589</v>
      </c>
      <c r="P378" s="39"/>
      <c r="Q378" s="39"/>
      <c r="R378" s="39"/>
      <c r="S378" s="39"/>
      <c r="T378" s="39"/>
      <c r="U378" s="39"/>
      <c r="V378" s="39"/>
      <c r="W378" s="39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35" t="s">
        <v>21</v>
      </c>
      <c r="B379" s="35" t="s">
        <v>22</v>
      </c>
      <c r="C379" s="35" t="s">
        <v>23</v>
      </c>
      <c r="D379" s="35" t="s">
        <v>24</v>
      </c>
      <c r="E379" s="35" t="s">
        <v>32</v>
      </c>
      <c r="F379" s="35" t="s">
        <v>25</v>
      </c>
      <c r="G379" s="35" t="s">
        <v>25</v>
      </c>
      <c r="H379" s="35" t="s">
        <v>25</v>
      </c>
      <c r="I379" s="54">
        <v>44378</v>
      </c>
      <c r="J379" s="55">
        <f>EFEITO!$J$379*EFEITO!$Y$277</f>
        <v>0</v>
      </c>
      <c r="K379" s="55">
        <f ca="1">EFEITO!$L$379*EFEITO!$Z$379</f>
        <v>471.49266439384417</v>
      </c>
      <c r="L379" s="55">
        <f>EFEITO!$N$379*EFEITO!$AA$379</f>
        <v>307.34788459159051</v>
      </c>
      <c r="M379" s="55">
        <f>$J$379-EFEITO!$K$379*EFEITO!$Y$379</f>
        <v>0</v>
      </c>
      <c r="N379" s="55">
        <f ca="1">$K$379-EFEITO!$M$379*EFEITO!$Z$379</f>
        <v>0</v>
      </c>
      <c r="O379" s="55">
        <f>$L$379-EFEITO!$O$379*EFEITO!$AA$379</f>
        <v>0</v>
      </c>
      <c r="P379" s="39"/>
      <c r="Q379" s="39"/>
      <c r="R379" s="39"/>
      <c r="S379" s="39"/>
      <c r="T379" s="39"/>
      <c r="U379" s="39"/>
      <c r="V379" s="39"/>
      <c r="W379" s="39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35" t="s">
        <v>21</v>
      </c>
      <c r="B380" s="35" t="s">
        <v>22</v>
      </c>
      <c r="C380" s="35" t="s">
        <v>23</v>
      </c>
      <c r="D380" s="35" t="s">
        <v>24</v>
      </c>
      <c r="E380" s="35" t="s">
        <v>32</v>
      </c>
      <c r="F380" s="35" t="s">
        <v>25</v>
      </c>
      <c r="G380" s="35" t="s">
        <v>25</v>
      </c>
      <c r="H380" s="35" t="s">
        <v>25</v>
      </c>
      <c r="I380" s="54">
        <v>44409</v>
      </c>
      <c r="J380" s="55">
        <f>EFEITO!$J$380*EFEITO!$Y$277</f>
        <v>0</v>
      </c>
      <c r="K380" s="55">
        <f ca="1">EFEITO!$L$380*EFEITO!$Z$379</f>
        <v>634.58274994646888</v>
      </c>
      <c r="L380" s="55">
        <f>EFEITO!$N$380*EFEITO!$AA$379</f>
        <v>413.66002172081278</v>
      </c>
      <c r="M380" s="55">
        <f>$J$380-EFEITO!$K$380*EFEITO!$Y$380</f>
        <v>0</v>
      </c>
      <c r="N380" s="55">
        <f ca="1">$K$380-EFEITO!$M$380*EFEITO!$Z$380</f>
        <v>0</v>
      </c>
      <c r="O380" s="55">
        <f>$L$380-EFEITO!$O$380*EFEITO!$AA$380</f>
        <v>0</v>
      </c>
      <c r="P380" s="39"/>
      <c r="Q380" s="39"/>
      <c r="R380" s="39"/>
      <c r="S380" s="39"/>
      <c r="T380" s="39"/>
      <c r="U380" s="39"/>
      <c r="V380" s="39"/>
      <c r="W380" s="39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35" t="s">
        <v>21</v>
      </c>
      <c r="B381" s="35" t="s">
        <v>22</v>
      </c>
      <c r="C381" s="35" t="s">
        <v>23</v>
      </c>
      <c r="D381" s="35" t="s">
        <v>24</v>
      </c>
      <c r="E381" s="35" t="s">
        <v>32</v>
      </c>
      <c r="F381" s="35" t="s">
        <v>25</v>
      </c>
      <c r="G381" s="35" t="s">
        <v>25</v>
      </c>
      <c r="H381" s="35" t="s">
        <v>25</v>
      </c>
      <c r="I381" s="54">
        <v>44440</v>
      </c>
      <c r="J381" s="55">
        <f>EFEITO!$J$381*EFEITO!$Y$277</f>
        <v>0</v>
      </c>
      <c r="K381" s="55">
        <f ca="1">EFEITO!$L$381*EFEITO!$Z$379</f>
        <v>871.87495973156751</v>
      </c>
      <c r="L381" s="55">
        <f>EFEITO!$N$381*EFEITO!$AA$379</f>
        <v>568.34166199887557</v>
      </c>
      <c r="M381" s="55">
        <f>$J$381-EFEITO!$K$381*EFEITO!$Y$381</f>
        <v>0</v>
      </c>
      <c r="N381" s="55">
        <f ca="1">$K$381-EFEITO!$M$381*EFEITO!$Z$381</f>
        <v>0</v>
      </c>
      <c r="O381" s="55">
        <f>$L$381-EFEITO!$O$381*EFEITO!$AA$381</f>
        <v>0</v>
      </c>
      <c r="P381" s="39"/>
      <c r="Q381" s="39"/>
      <c r="R381" s="39"/>
      <c r="S381" s="39"/>
      <c r="T381" s="39"/>
      <c r="U381" s="39"/>
      <c r="V381" s="39"/>
      <c r="W381" s="39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35" t="s">
        <v>21</v>
      </c>
      <c r="B382" s="35" t="s">
        <v>22</v>
      </c>
      <c r="C382" s="35" t="s">
        <v>23</v>
      </c>
      <c r="D382" s="35" t="s">
        <v>24</v>
      </c>
      <c r="E382" s="35" t="s">
        <v>32</v>
      </c>
      <c r="F382" s="35" t="s">
        <v>25</v>
      </c>
      <c r="G382" s="35" t="s">
        <v>25</v>
      </c>
      <c r="H382" s="35" t="s">
        <v>25</v>
      </c>
      <c r="I382" s="54">
        <v>44470</v>
      </c>
      <c r="J382" s="55">
        <f>EFEITO!$J$382*EFEITO!$Y$277</f>
        <v>0</v>
      </c>
      <c r="K382" s="55">
        <f ca="1">EFEITO!$L$382*EFEITO!$Z$379</f>
        <v>712.64956814938409</v>
      </c>
      <c r="L382" s="55">
        <f>EFEITO!$N$382*EFEITO!$AA$379</f>
        <v>464.5487698253221</v>
      </c>
      <c r="M382" s="55">
        <f>$J$382-EFEITO!$K$382*EFEITO!$Y$382</f>
        <v>0</v>
      </c>
      <c r="N382" s="55">
        <f ca="1">$K$382-EFEITO!$M$382*EFEITO!$Z$382</f>
        <v>0</v>
      </c>
      <c r="O382" s="55">
        <f>$L$382-EFEITO!$O$382*EFEITO!$AA$382</f>
        <v>0</v>
      </c>
      <c r="P382" s="39"/>
      <c r="Q382" s="39"/>
      <c r="R382" s="39"/>
      <c r="S382" s="39"/>
      <c r="T382" s="39"/>
      <c r="U382" s="39"/>
      <c r="V382" s="39"/>
      <c r="W382" s="39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35" t="s">
        <v>21</v>
      </c>
      <c r="B383" s="35" t="s">
        <v>22</v>
      </c>
      <c r="C383" s="35" t="s">
        <v>23</v>
      </c>
      <c r="D383" s="35" t="s">
        <v>24</v>
      </c>
      <c r="E383" s="35" t="s">
        <v>32</v>
      </c>
      <c r="F383" s="35" t="s">
        <v>25</v>
      </c>
      <c r="G383" s="35" t="s">
        <v>25</v>
      </c>
      <c r="H383" s="35" t="s">
        <v>25</v>
      </c>
      <c r="I383" s="54">
        <v>44501</v>
      </c>
      <c r="J383" s="55">
        <f>EFEITO!$J$383*EFEITO!$Y$277</f>
        <v>0</v>
      </c>
      <c r="K383" s="55">
        <f ca="1">EFEITO!$L$383*EFEITO!$Z$379</f>
        <v>1376.217522874163</v>
      </c>
      <c r="L383" s="55">
        <f>EFEITO!$N$383*EFEITO!$AA$379</f>
        <v>897.10312871365068</v>
      </c>
      <c r="M383" s="55">
        <f>$J$383-EFEITO!$K$383*EFEITO!$Y$383</f>
        <v>0</v>
      </c>
      <c r="N383" s="55">
        <f ca="1">$K$383-EFEITO!$M$383*EFEITO!$Z$383</f>
        <v>0</v>
      </c>
      <c r="O383" s="55">
        <f>$L$383-EFEITO!$O$383*EFEITO!$AA$383</f>
        <v>0</v>
      </c>
      <c r="P383" s="39"/>
      <c r="Q383" s="39"/>
      <c r="R383" s="39"/>
      <c r="S383" s="39"/>
      <c r="T383" s="39"/>
      <c r="U383" s="39"/>
      <c r="V383" s="39"/>
      <c r="W383" s="39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35" t="s">
        <v>21</v>
      </c>
      <c r="B384" s="35" t="s">
        <v>22</v>
      </c>
      <c r="C384" s="35" t="s">
        <v>23</v>
      </c>
      <c r="D384" s="35" t="s">
        <v>24</v>
      </c>
      <c r="E384" s="35" t="s">
        <v>32</v>
      </c>
      <c r="F384" s="35" t="s">
        <v>25</v>
      </c>
      <c r="G384" s="35" t="s">
        <v>25</v>
      </c>
      <c r="H384" s="35" t="s">
        <v>25</v>
      </c>
      <c r="I384" s="54">
        <v>44531</v>
      </c>
      <c r="J384" s="55">
        <f>EFEITO!$J$384*EFEITO!$Y$277</f>
        <v>0</v>
      </c>
      <c r="K384" s="55">
        <f ca="1">EFEITO!$L$384*EFEITO!$Z$379</f>
        <v>1572.5439765725835</v>
      </c>
      <c r="L384" s="55">
        <f>EFEITO!$N$384*EFEITO!$AA$379</f>
        <v>1025.0807724616245</v>
      </c>
      <c r="M384" s="55">
        <f>$J$384-EFEITO!$K$384*EFEITO!$Y$384</f>
        <v>0</v>
      </c>
      <c r="N384" s="55">
        <f ca="1">$K$384-EFEITO!$M$384*EFEITO!$Z$384</f>
        <v>0</v>
      </c>
      <c r="O384" s="55">
        <f>$L$384-EFEITO!$O$384*EFEITO!$AA$384</f>
        <v>0</v>
      </c>
      <c r="P384" s="39"/>
      <c r="Q384" s="39"/>
      <c r="R384" s="39"/>
      <c r="S384" s="39"/>
      <c r="T384" s="39"/>
      <c r="U384" s="39"/>
      <c r="V384" s="39"/>
      <c r="W384" s="39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35" t="s">
        <v>21</v>
      </c>
      <c r="B385" s="35" t="s">
        <v>22</v>
      </c>
      <c r="C385" s="35" t="s">
        <v>23</v>
      </c>
      <c r="D385" s="35" t="s">
        <v>24</v>
      </c>
      <c r="E385" s="35" t="s">
        <v>32</v>
      </c>
      <c r="F385" s="35" t="s">
        <v>25</v>
      </c>
      <c r="G385" s="35" t="s">
        <v>25</v>
      </c>
      <c r="H385" s="35" t="s">
        <v>25</v>
      </c>
      <c r="I385" s="54">
        <v>44562</v>
      </c>
      <c r="J385" s="55">
        <f>EFEITO!$J$385*EFEITO!$Y$277</f>
        <v>0</v>
      </c>
      <c r="K385" s="55">
        <f ca="1">EFEITO!$L$385*EFEITO!$Z$379</f>
        <v>3140.8367897776816</v>
      </c>
      <c r="L385" s="55">
        <f>EFEITO!$N$385*EFEITO!$AA$379</f>
        <v>2047.3903754720134</v>
      </c>
      <c r="M385" s="55">
        <f>$J$385-EFEITO!$K$385*EFEITO!$Y$385</f>
        <v>0</v>
      </c>
      <c r="N385" s="55">
        <f ca="1">$K$385-EFEITO!$M$385*EFEITO!$Z$385</f>
        <v>0</v>
      </c>
      <c r="O385" s="55">
        <f>$L$385-EFEITO!$O$385*EFEITO!$AA$385</f>
        <v>0</v>
      </c>
      <c r="P385" s="39"/>
      <c r="Q385" s="39"/>
      <c r="R385" s="39"/>
      <c r="S385" s="39"/>
      <c r="T385" s="39"/>
      <c r="U385" s="39"/>
      <c r="V385" s="39"/>
      <c r="W385" s="39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35" t="s">
        <v>28</v>
      </c>
      <c r="B386" s="35" t="s">
        <v>22</v>
      </c>
      <c r="C386" s="35" t="s">
        <v>23</v>
      </c>
      <c r="D386" s="35" t="s">
        <v>24</v>
      </c>
      <c r="E386" s="35" t="s">
        <v>32</v>
      </c>
      <c r="F386" s="35" t="s">
        <v>25</v>
      </c>
      <c r="G386" s="35" t="s">
        <v>25</v>
      </c>
      <c r="H386" s="35" t="s">
        <v>25</v>
      </c>
      <c r="I386" s="54">
        <v>44562</v>
      </c>
      <c r="J386" s="55">
        <f>EFEITO!$J$386*EFEITO!$Y$277</f>
        <v>0</v>
      </c>
      <c r="K386" s="55">
        <f ca="1">EFEITO!$L$386*EFEITO!$Z$379</f>
        <v>107.82496177531355</v>
      </c>
      <c r="L386" s="55">
        <f>EFEITO!$N$386*EFEITO!$AA$379</f>
        <v>70.286934263158827</v>
      </c>
      <c r="M386" s="55">
        <f>$J$386-EFEITO!$K$386*EFEITO!$Y$386</f>
        <v>0</v>
      </c>
      <c r="N386" s="55">
        <f ca="1">$K$386-EFEITO!$M$386*EFEITO!$Z$386</f>
        <v>0</v>
      </c>
      <c r="O386" s="55">
        <f>$L$386-EFEITO!$O$386*EFEITO!$AA$386</f>
        <v>0</v>
      </c>
      <c r="P386" s="39"/>
      <c r="Q386" s="39"/>
      <c r="R386" s="39"/>
      <c r="S386" s="39"/>
      <c r="T386" s="39"/>
      <c r="U386" s="39"/>
      <c r="V386" s="39"/>
      <c r="W386" s="39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35" t="s">
        <v>21</v>
      </c>
      <c r="B387" s="35" t="s">
        <v>22</v>
      </c>
      <c r="C387" s="35" t="s">
        <v>23</v>
      </c>
      <c r="D387" s="35" t="s">
        <v>24</v>
      </c>
      <c r="E387" s="35" t="s">
        <v>32</v>
      </c>
      <c r="F387" s="35" t="s">
        <v>25</v>
      </c>
      <c r="G387" s="35" t="s">
        <v>25</v>
      </c>
      <c r="H387" s="35" t="s">
        <v>25</v>
      </c>
      <c r="I387" s="54">
        <v>44593</v>
      </c>
      <c r="J387" s="55">
        <f>EFEITO!$J$387*EFEITO!$Y$277</f>
        <v>0</v>
      </c>
      <c r="K387" s="55">
        <f ca="1">EFEITO!$L$387*EFEITO!$Z$379</f>
        <v>3470.8816548533723</v>
      </c>
      <c r="L387" s="55">
        <f>EFEITO!$N$387*EFEITO!$AA$379</f>
        <v>2262.5338946861266</v>
      </c>
      <c r="M387" s="55">
        <f>$J$387-EFEITO!$K$387*EFEITO!$Y$387</f>
        <v>0</v>
      </c>
      <c r="N387" s="55">
        <f ca="1">$K$387-EFEITO!$M$387*EFEITO!$Z$387</f>
        <v>0</v>
      </c>
      <c r="O387" s="55">
        <f>$L$387-EFEITO!$O$387*EFEITO!$AA$387</f>
        <v>0</v>
      </c>
      <c r="P387" s="39"/>
      <c r="Q387" s="39"/>
      <c r="R387" s="39"/>
      <c r="S387" s="39"/>
      <c r="T387" s="39"/>
      <c r="U387" s="39"/>
      <c r="V387" s="39"/>
      <c r="W387" s="39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35" t="s">
        <v>28</v>
      </c>
      <c r="B388" s="35" t="s">
        <v>22</v>
      </c>
      <c r="C388" s="35" t="s">
        <v>23</v>
      </c>
      <c r="D388" s="35" t="s">
        <v>24</v>
      </c>
      <c r="E388" s="35" t="s">
        <v>32</v>
      </c>
      <c r="F388" s="35" t="s">
        <v>25</v>
      </c>
      <c r="G388" s="35" t="s">
        <v>25</v>
      </c>
      <c r="H388" s="35" t="s">
        <v>25</v>
      </c>
      <c r="I388" s="54">
        <v>44593</v>
      </c>
      <c r="J388" s="55">
        <f>EFEITO!$J$388*EFEITO!$Y$277</f>
        <v>0</v>
      </c>
      <c r="K388" s="55">
        <f ca="1">EFEITO!$L$388*EFEITO!$Z$379</f>
        <v>29.75814357239836</v>
      </c>
      <c r="L388" s="55">
        <f>EFEITO!$N$388*EFEITO!$AA$379</f>
        <v>19.398186158649565</v>
      </c>
      <c r="M388" s="55">
        <f>$J$388-EFEITO!$K$388*EFEITO!$Y$388</f>
        <v>0</v>
      </c>
      <c r="N388" s="55">
        <f ca="1">$K$388-EFEITO!$M$388*EFEITO!$Z$388</f>
        <v>0</v>
      </c>
      <c r="O388" s="55">
        <f>$L$388-EFEITO!$O$388*EFEITO!$AA$388</f>
        <v>0</v>
      </c>
      <c r="P388" s="39"/>
      <c r="Q388" s="39"/>
      <c r="R388" s="39"/>
      <c r="S388" s="39"/>
      <c r="T388" s="39"/>
      <c r="U388" s="39"/>
      <c r="V388" s="39"/>
      <c r="W388" s="39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35" t="s">
        <v>21</v>
      </c>
      <c r="B389" s="35" t="s">
        <v>22</v>
      </c>
      <c r="C389" s="35" t="s">
        <v>23</v>
      </c>
      <c r="D389" s="35" t="s">
        <v>24</v>
      </c>
      <c r="E389" s="35" t="s">
        <v>32</v>
      </c>
      <c r="F389" s="35" t="s">
        <v>25</v>
      </c>
      <c r="G389" s="35" t="s">
        <v>25</v>
      </c>
      <c r="H389" s="35" t="s">
        <v>25</v>
      </c>
      <c r="I389" s="54">
        <v>44621</v>
      </c>
      <c r="J389" s="55">
        <f>EFEITO!$J$389*EFEITO!$Y$277</f>
        <v>0</v>
      </c>
      <c r="K389" s="55">
        <f ca="1">EFEITO!$L$389*EFEITO!$Z$379</f>
        <v>2230.7013597387449</v>
      </c>
      <c r="L389" s="55">
        <f>EFEITO!$N$389*EFEITO!$AA$379</f>
        <v>1454.1081884120169</v>
      </c>
      <c r="M389" s="55">
        <f>$J$389-EFEITO!$K$389*EFEITO!$Y$389</f>
        <v>0</v>
      </c>
      <c r="N389" s="55">
        <f ca="1">$K$389-EFEITO!$M$389*EFEITO!$Z$389</f>
        <v>0</v>
      </c>
      <c r="O389" s="55">
        <f>$L$389-EFEITO!$O$389*EFEITO!$AA$389</f>
        <v>0</v>
      </c>
      <c r="P389" s="39"/>
      <c r="Q389" s="39"/>
      <c r="R389" s="39"/>
      <c r="S389" s="39"/>
      <c r="T389" s="39"/>
      <c r="U389" s="39"/>
      <c r="V389" s="39"/>
      <c r="W389" s="39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35" t="s">
        <v>21</v>
      </c>
      <c r="B390" s="35" t="s">
        <v>22</v>
      </c>
      <c r="C390" s="35" t="s">
        <v>23</v>
      </c>
      <c r="D390" s="35" t="s">
        <v>24</v>
      </c>
      <c r="E390" s="35" t="s">
        <v>32</v>
      </c>
      <c r="F390" s="35" t="s">
        <v>25</v>
      </c>
      <c r="G390" s="35" t="s">
        <v>25</v>
      </c>
      <c r="H390" s="35" t="s">
        <v>25</v>
      </c>
      <c r="I390" s="54">
        <v>44652</v>
      </c>
      <c r="J390" s="55">
        <f>EFEITO!$J$390*EFEITO!$Y$277</f>
        <v>0</v>
      </c>
      <c r="K390" s="55">
        <f ca="1">EFEITO!$L$390*EFEITO!$Z$379</f>
        <v>2720.3580857936631</v>
      </c>
      <c r="L390" s="55">
        <f>EFEITO!$N$390*EFEITO!$AA$379</f>
        <v>1773.2965242952505</v>
      </c>
      <c r="M390" s="55">
        <f>$J$390-EFEITO!$K$390*EFEITO!$Y$390</f>
        <v>0</v>
      </c>
      <c r="N390" s="55">
        <f ca="1">$K$390-EFEITO!$M$390*EFEITO!$Z$390</f>
        <v>0</v>
      </c>
      <c r="O390" s="55">
        <f>$L$390-EFEITO!$O$390*EFEITO!$AA$390</f>
        <v>0</v>
      </c>
      <c r="P390" s="39"/>
      <c r="Q390" s="39"/>
      <c r="R390" s="39"/>
      <c r="S390" s="39"/>
      <c r="T390" s="39"/>
      <c r="U390" s="39"/>
      <c r="V390" s="39"/>
      <c r="W390" s="39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35" t="s">
        <v>21</v>
      </c>
      <c r="B391" s="35" t="s">
        <v>22</v>
      </c>
      <c r="C391" s="35" t="s">
        <v>23</v>
      </c>
      <c r="D391" s="35" t="s">
        <v>24</v>
      </c>
      <c r="E391" s="35" t="s">
        <v>32</v>
      </c>
      <c r="F391" s="35" t="s">
        <v>25</v>
      </c>
      <c r="G391" s="35" t="s">
        <v>25</v>
      </c>
      <c r="H391" s="35" t="s">
        <v>25</v>
      </c>
      <c r="I391" s="54">
        <v>44682</v>
      </c>
      <c r="J391" s="55">
        <f>EFEITO!$J$391*EFEITO!$Y$277</f>
        <v>0</v>
      </c>
      <c r="K391" s="55">
        <f ca="1">EFEITO!$L$391*EFEITO!$Z$379</f>
        <v>2345.0963012638085</v>
      </c>
      <c r="L391" s="55">
        <f>EFEITO!$N$391*EFEITO!$AA$379</f>
        <v>1528.6778390998124</v>
      </c>
      <c r="M391" s="55">
        <f>$J$391-EFEITO!$K$391*EFEITO!$Y$391</f>
        <v>0</v>
      </c>
      <c r="N391" s="55">
        <f ca="1">$K$391-EFEITO!$M$391*EFEITO!$Z$391</f>
        <v>0</v>
      </c>
      <c r="O391" s="55">
        <f>$L$391-EFEITO!$O$391*EFEITO!$AA$391</f>
        <v>0</v>
      </c>
      <c r="P391" s="39"/>
      <c r="Q391" s="39"/>
      <c r="R391" s="39"/>
      <c r="S391" s="39"/>
      <c r="T391" s="39"/>
      <c r="U391" s="39"/>
      <c r="V391" s="39"/>
      <c r="W391" s="39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35" t="s">
        <v>27</v>
      </c>
      <c r="B392" s="35" t="s">
        <v>22</v>
      </c>
      <c r="C392" s="35" t="s">
        <v>23</v>
      </c>
      <c r="D392" s="35" t="s">
        <v>24</v>
      </c>
      <c r="E392" s="35" t="s">
        <v>32</v>
      </c>
      <c r="F392" s="35" t="s">
        <v>25</v>
      </c>
      <c r="G392" s="35" t="s">
        <v>25</v>
      </c>
      <c r="H392" s="35" t="s">
        <v>25</v>
      </c>
      <c r="I392" s="54">
        <v>44682</v>
      </c>
      <c r="J392" s="55">
        <f>EFEITO!$J$392*EFEITO!$Y$277</f>
        <v>0</v>
      </c>
      <c r="K392" s="55">
        <f ca="1">EFEITO!$L$392*EFEITO!$Z$379</f>
        <v>-180.0947390225667</v>
      </c>
      <c r="L392" s="55">
        <f>EFEITO!$N$392*EFEITO!$AA$379</f>
        <v>-117.39681493416491</v>
      </c>
      <c r="M392" s="55">
        <f>$J$392-EFEITO!$K$392*EFEITO!$Y$392</f>
        <v>0</v>
      </c>
      <c r="N392" s="55">
        <f ca="1">$K$392-EFEITO!$M$392*EFEITO!$Z$392</f>
        <v>0</v>
      </c>
      <c r="O392" s="55">
        <f>$L$392-EFEITO!$O$392*EFEITO!$AA$392</f>
        <v>0</v>
      </c>
      <c r="P392" s="39"/>
      <c r="Q392" s="39"/>
      <c r="R392" s="39"/>
      <c r="S392" s="39"/>
      <c r="T392" s="39"/>
      <c r="U392" s="39"/>
      <c r="V392" s="39"/>
      <c r="W392" s="39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35" t="s">
        <v>21</v>
      </c>
      <c r="B393" s="35" t="s">
        <v>22</v>
      </c>
      <c r="C393" s="35" t="s">
        <v>23</v>
      </c>
      <c r="D393" s="35" t="s">
        <v>24</v>
      </c>
      <c r="E393" s="35" t="s">
        <v>32</v>
      </c>
      <c r="F393" s="35" t="s">
        <v>25</v>
      </c>
      <c r="G393" s="35" t="s">
        <v>25</v>
      </c>
      <c r="H393" s="35" t="s">
        <v>25</v>
      </c>
      <c r="I393" s="54">
        <v>44713</v>
      </c>
      <c r="J393" s="55">
        <f>EFEITO!$J$393*EFEITO!$Y$277</f>
        <v>0</v>
      </c>
      <c r="K393" s="55">
        <f ca="1">EFEITO!$L$393*EFEITO!$Z$379</f>
        <v>2261.6189115022758</v>
      </c>
      <c r="L393" s="55">
        <f>EFEITO!$N$393*EFEITO!$AA$379</f>
        <v>1474.2621480573671</v>
      </c>
      <c r="M393" s="55">
        <f>$J$393-EFEITO!$K$393*EFEITO!$Y$393</f>
        <v>0</v>
      </c>
      <c r="N393" s="55">
        <f ca="1">$K$393-EFEITO!$M$393*EFEITO!$Z$393</f>
        <v>0</v>
      </c>
      <c r="O393" s="55">
        <f>$L$393-EFEITO!$O$393*EFEITO!$AA$393</f>
        <v>0</v>
      </c>
      <c r="P393" s="39"/>
      <c r="Q393" s="39"/>
      <c r="R393" s="39"/>
      <c r="S393" s="39"/>
      <c r="T393" s="39"/>
      <c r="U393" s="39"/>
      <c r="V393" s="39"/>
      <c r="W393" s="39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35" t="s">
        <v>21</v>
      </c>
      <c r="B394" s="35" t="s">
        <v>40</v>
      </c>
      <c r="C394" s="35" t="s">
        <v>23</v>
      </c>
      <c r="D394" s="35" t="s">
        <v>41</v>
      </c>
      <c r="E394" s="35" t="s">
        <v>49</v>
      </c>
      <c r="F394" s="35" t="s">
        <v>50</v>
      </c>
      <c r="G394" s="35" t="s">
        <v>25</v>
      </c>
      <c r="H394" s="35" t="s">
        <v>25</v>
      </c>
      <c r="I394" s="54">
        <v>44378</v>
      </c>
      <c r="J394" s="55">
        <f>EFEITO!$J$394*EFEITO!$Y$277</f>
        <v>0</v>
      </c>
      <c r="K394" s="55">
        <f ca="1">EFEITO!$L$394*EFEITO!$Z$277</f>
        <v>2065.586497222776</v>
      </c>
      <c r="L394" s="55">
        <f>EFEITO!$N$394*EFEITO!$AA$277</f>
        <v>1066.6483142301593</v>
      </c>
      <c r="M394" s="55">
        <f>$J$394-EFEITO!$K$394*EFEITO!$Y$394</f>
        <v>0</v>
      </c>
      <c r="N394" s="55">
        <f ca="1">$K$394-EFEITO!$M$394*EFEITO!$Z$394</f>
        <v>123.93518983336662</v>
      </c>
      <c r="O394" s="55">
        <f>$L$394-EFEITO!$O$394*EFEITO!$AA$394</f>
        <v>63.998898853809578</v>
      </c>
      <c r="P394" s="39"/>
      <c r="Q394" s="39"/>
      <c r="R394" s="39"/>
      <c r="S394" s="39"/>
      <c r="T394" s="39"/>
      <c r="U394" s="39"/>
      <c r="V394" s="39"/>
      <c r="W394" s="39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35" t="s">
        <v>28</v>
      </c>
      <c r="B395" s="35" t="s">
        <v>40</v>
      </c>
      <c r="C395" s="35" t="s">
        <v>23</v>
      </c>
      <c r="D395" s="35" t="s">
        <v>41</v>
      </c>
      <c r="E395" s="35" t="s">
        <v>49</v>
      </c>
      <c r="F395" s="35" t="s">
        <v>50</v>
      </c>
      <c r="G395" s="35" t="s">
        <v>25</v>
      </c>
      <c r="H395" s="35" t="s">
        <v>25</v>
      </c>
      <c r="I395" s="54">
        <v>44378</v>
      </c>
      <c r="J395" s="55">
        <f>EFEITO!$J$395*EFEITO!$Y$277</f>
        <v>0</v>
      </c>
      <c r="K395" s="55">
        <f ca="1">EFEITO!$L$395*EFEITO!$Z$277</f>
        <v>19.51427961476406</v>
      </c>
      <c r="L395" s="55">
        <f>EFEITO!$N$395*EFEITO!$AA$277</f>
        <v>10.076979822675099</v>
      </c>
      <c r="M395" s="55">
        <f>$J$395-EFEITO!$K$395*EFEITO!$Y$395</f>
        <v>0</v>
      </c>
      <c r="N395" s="55">
        <f ca="1">$K$395-EFEITO!$M$395*EFEITO!$Z$395</f>
        <v>1.1708567768858416</v>
      </c>
      <c r="O395" s="55">
        <f>$L$395-EFEITO!$O$395*EFEITO!$AA$395</f>
        <v>0.60461878936050617</v>
      </c>
      <c r="P395" s="39"/>
      <c r="Q395" s="39"/>
      <c r="R395" s="39"/>
      <c r="S395" s="39"/>
      <c r="T395" s="39"/>
      <c r="U395" s="39"/>
      <c r="V395" s="39"/>
      <c r="W395" s="39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35" t="s">
        <v>21</v>
      </c>
      <c r="B396" s="35" t="s">
        <v>40</v>
      </c>
      <c r="C396" s="35" t="s">
        <v>23</v>
      </c>
      <c r="D396" s="35" t="s">
        <v>41</v>
      </c>
      <c r="E396" s="35" t="s">
        <v>49</v>
      </c>
      <c r="F396" s="35" t="s">
        <v>50</v>
      </c>
      <c r="G396" s="35" t="s">
        <v>25</v>
      </c>
      <c r="H396" s="35" t="s">
        <v>25</v>
      </c>
      <c r="I396" s="54">
        <v>44409</v>
      </c>
      <c r="J396" s="55">
        <f>EFEITO!$J$396*EFEITO!$Y$277</f>
        <v>0</v>
      </c>
      <c r="K396" s="55">
        <f ca="1">EFEITO!$L$396*EFEITO!$Z$277</f>
        <v>1120.1196498874569</v>
      </c>
      <c r="L396" s="55">
        <f>EFEITO!$N$396*EFEITO!$AA$277</f>
        <v>578.41864182155064</v>
      </c>
      <c r="M396" s="55">
        <f>$J$396-EFEITO!$K$396*EFEITO!$Y$396</f>
        <v>0</v>
      </c>
      <c r="N396" s="55">
        <f ca="1">$K$396-EFEITO!$M$396*EFEITO!$Z$396</f>
        <v>67.207178993247226</v>
      </c>
      <c r="O396" s="55">
        <f>$L$396-EFEITO!$O$396*EFEITO!$AA$396</f>
        <v>34.705118509293015</v>
      </c>
      <c r="P396" s="39"/>
      <c r="Q396" s="39"/>
      <c r="R396" s="39"/>
      <c r="S396" s="39"/>
      <c r="T396" s="39"/>
      <c r="U396" s="39"/>
      <c r="V396" s="39"/>
      <c r="W396" s="39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35" t="s">
        <v>28</v>
      </c>
      <c r="B397" s="35" t="s">
        <v>40</v>
      </c>
      <c r="C397" s="35" t="s">
        <v>23</v>
      </c>
      <c r="D397" s="35" t="s">
        <v>41</v>
      </c>
      <c r="E397" s="35" t="s">
        <v>49</v>
      </c>
      <c r="F397" s="35" t="s">
        <v>50</v>
      </c>
      <c r="G397" s="35" t="s">
        <v>25</v>
      </c>
      <c r="H397" s="35" t="s">
        <v>25</v>
      </c>
      <c r="I397" s="54">
        <v>44409</v>
      </c>
      <c r="J397" s="55">
        <f>EFEITO!$J$397*EFEITO!$Y$277</f>
        <v>0</v>
      </c>
      <c r="K397" s="55">
        <f ca="1">EFEITO!$L$397*EFEITO!$Z$277</f>
        <v>178.55565847509115</v>
      </c>
      <c r="L397" s="55">
        <f>EFEITO!$N$397*EFEITO!$AA$277</f>
        <v>92.20436537747716</v>
      </c>
      <c r="M397" s="55">
        <f>$J$397-EFEITO!$K$397*EFEITO!$Y$397</f>
        <v>0</v>
      </c>
      <c r="N397" s="55">
        <f ca="1">$K$397-EFEITO!$M$397*EFEITO!$Z$397</f>
        <v>10.71333950850547</v>
      </c>
      <c r="O397" s="55">
        <f>$L$397-EFEITO!$O$397*EFEITO!$AA$397</f>
        <v>5.5322619226486438</v>
      </c>
      <c r="P397" s="39"/>
      <c r="Q397" s="39"/>
      <c r="R397" s="39"/>
      <c r="S397" s="39"/>
      <c r="T397" s="39"/>
      <c r="U397" s="39"/>
      <c r="V397" s="39"/>
      <c r="W397" s="39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35" t="s">
        <v>21</v>
      </c>
      <c r="B398" s="35" t="s">
        <v>40</v>
      </c>
      <c r="C398" s="35" t="s">
        <v>23</v>
      </c>
      <c r="D398" s="35" t="s">
        <v>41</v>
      </c>
      <c r="E398" s="35" t="s">
        <v>49</v>
      </c>
      <c r="F398" s="35" t="s">
        <v>50</v>
      </c>
      <c r="G398" s="35" t="s">
        <v>25</v>
      </c>
      <c r="H398" s="35" t="s">
        <v>25</v>
      </c>
      <c r="I398" s="54">
        <v>44440</v>
      </c>
      <c r="J398" s="55">
        <f>EFEITO!$J$398*EFEITO!$Y$277</f>
        <v>0</v>
      </c>
      <c r="K398" s="55">
        <f ca="1">EFEITO!$L$398*EFEITO!$Z$277</f>
        <v>2930.5569411471929</v>
      </c>
      <c r="L398" s="55">
        <f>EFEITO!$N$398*EFEITO!$AA$277</f>
        <v>1513.3104448702329</v>
      </c>
      <c r="M398" s="55">
        <f>$J$398-EFEITO!$K$398*EFEITO!$Y$398</f>
        <v>0</v>
      </c>
      <c r="N398" s="55">
        <f ca="1">$K$398-EFEITO!$M$398*EFEITO!$Z$398</f>
        <v>175.83341646883173</v>
      </c>
      <c r="O398" s="55">
        <f>$L$398-EFEITO!$O$398*EFEITO!$AA$398</f>
        <v>90.798626692213929</v>
      </c>
      <c r="P398" s="39"/>
      <c r="Q398" s="39"/>
      <c r="R398" s="39"/>
      <c r="S398" s="39"/>
      <c r="T398" s="39"/>
      <c r="U398" s="39"/>
      <c r="V398" s="39"/>
      <c r="W398" s="39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35" t="s">
        <v>28</v>
      </c>
      <c r="B399" s="35" t="s">
        <v>40</v>
      </c>
      <c r="C399" s="35" t="s">
        <v>23</v>
      </c>
      <c r="D399" s="35" t="s">
        <v>41</v>
      </c>
      <c r="E399" s="35" t="s">
        <v>49</v>
      </c>
      <c r="F399" s="35" t="s">
        <v>50</v>
      </c>
      <c r="G399" s="35" t="s">
        <v>25</v>
      </c>
      <c r="H399" s="35" t="s">
        <v>25</v>
      </c>
      <c r="I399" s="54">
        <v>44440</v>
      </c>
      <c r="J399" s="55">
        <f>EFEITO!$J$399*EFEITO!$Y$277</f>
        <v>0</v>
      </c>
      <c r="K399" s="55">
        <f ca="1">EFEITO!$L$399*EFEITO!$Z$277</f>
        <v>629.8233745665101</v>
      </c>
      <c r="L399" s="55">
        <f>EFEITO!$N$399*EFEITO!$AA$277</f>
        <v>325.23452377683878</v>
      </c>
      <c r="M399" s="55">
        <f>$J$399-EFEITO!$K$399*EFEITO!$Y$399</f>
        <v>0</v>
      </c>
      <c r="N399" s="55">
        <f ca="1">$K$399-EFEITO!$M$399*EFEITO!$Z$399</f>
        <v>37.789402473990663</v>
      </c>
      <c r="O399" s="55">
        <f>$L$399-EFEITO!$O$399*EFEITO!$AA$399</f>
        <v>19.514071426610315</v>
      </c>
      <c r="P399" s="39"/>
      <c r="Q399" s="39"/>
      <c r="R399" s="39"/>
      <c r="S399" s="39"/>
      <c r="T399" s="39"/>
      <c r="U399" s="39"/>
      <c r="V399" s="39"/>
      <c r="W399" s="39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35" t="s">
        <v>21</v>
      </c>
      <c r="B400" s="35" t="s">
        <v>40</v>
      </c>
      <c r="C400" s="35" t="s">
        <v>23</v>
      </c>
      <c r="D400" s="35" t="s">
        <v>41</v>
      </c>
      <c r="E400" s="35" t="s">
        <v>49</v>
      </c>
      <c r="F400" s="35" t="s">
        <v>50</v>
      </c>
      <c r="G400" s="35" t="s">
        <v>25</v>
      </c>
      <c r="H400" s="35" t="s">
        <v>25</v>
      </c>
      <c r="I400" s="54">
        <v>44470</v>
      </c>
      <c r="J400" s="55">
        <f>EFEITO!$J$400*EFEITO!$Y$277</f>
        <v>0</v>
      </c>
      <c r="K400" s="55">
        <f ca="1">EFEITO!$L$400*EFEITO!$Z$277</f>
        <v>5540.5918396218858</v>
      </c>
      <c r="L400" s="55">
        <f>EFEITO!$N$400*EFEITO!$AA$277</f>
        <v>2861.1064961530274</v>
      </c>
      <c r="M400" s="55">
        <f>$J$400-EFEITO!$K$400*EFEITO!$Y$400</f>
        <v>0</v>
      </c>
      <c r="N400" s="55">
        <f ca="1">$K$400-EFEITO!$M$400*EFEITO!$Z$400</f>
        <v>332.43551037731322</v>
      </c>
      <c r="O400" s="55">
        <f>$L$400-EFEITO!$O$400*EFEITO!$AA$400</f>
        <v>171.66638976918193</v>
      </c>
      <c r="P400" s="39"/>
      <c r="Q400" s="39"/>
      <c r="R400" s="39"/>
      <c r="S400" s="39"/>
      <c r="T400" s="39"/>
      <c r="U400" s="39"/>
      <c r="V400" s="39"/>
      <c r="W400" s="39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35" t="s">
        <v>28</v>
      </c>
      <c r="B401" s="35" t="s">
        <v>40</v>
      </c>
      <c r="C401" s="35" t="s">
        <v>23</v>
      </c>
      <c r="D401" s="35" t="s">
        <v>41</v>
      </c>
      <c r="E401" s="35" t="s">
        <v>49</v>
      </c>
      <c r="F401" s="35" t="s">
        <v>50</v>
      </c>
      <c r="G401" s="35" t="s">
        <v>25</v>
      </c>
      <c r="H401" s="35" t="s">
        <v>25</v>
      </c>
      <c r="I401" s="54">
        <v>44470</v>
      </c>
      <c r="J401" s="55">
        <f>EFEITO!$J$401*EFEITO!$Y$277</f>
        <v>0</v>
      </c>
      <c r="K401" s="55">
        <f ca="1">EFEITO!$L$401*EFEITO!$Z$277</f>
        <v>92.692828170129289</v>
      </c>
      <c r="L401" s="55">
        <f>EFEITO!$N$401*EFEITO!$AA$277</f>
        <v>47.865654157706722</v>
      </c>
      <c r="M401" s="55">
        <f>$J$401-EFEITO!$K$401*EFEITO!$Y$401</f>
        <v>0</v>
      </c>
      <c r="N401" s="55">
        <f ca="1">$K$401-EFEITO!$M$401*EFEITO!$Z$401</f>
        <v>5.5615696902077474</v>
      </c>
      <c r="O401" s="55">
        <f>$L$401-EFEITO!$O$401*EFEITO!$AA$401</f>
        <v>2.8719392494624074</v>
      </c>
      <c r="P401" s="39"/>
      <c r="Q401" s="39"/>
      <c r="R401" s="39"/>
      <c r="S401" s="39"/>
      <c r="T401" s="39"/>
      <c r="U401" s="39"/>
      <c r="V401" s="39"/>
      <c r="W401" s="39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35" t="s">
        <v>21</v>
      </c>
      <c r="B402" s="35" t="s">
        <v>40</v>
      </c>
      <c r="C402" s="35" t="s">
        <v>23</v>
      </c>
      <c r="D402" s="35" t="s">
        <v>41</v>
      </c>
      <c r="E402" s="35" t="s">
        <v>49</v>
      </c>
      <c r="F402" s="35" t="s">
        <v>50</v>
      </c>
      <c r="G402" s="35" t="s">
        <v>25</v>
      </c>
      <c r="H402" s="35" t="s">
        <v>25</v>
      </c>
      <c r="I402" s="54">
        <v>44501</v>
      </c>
      <c r="J402" s="55">
        <f>EFEITO!$J$402*EFEITO!$Y$277</f>
        <v>0</v>
      </c>
      <c r="K402" s="55">
        <f ca="1">EFEITO!$L$402*EFEITO!$Z$277</f>
        <v>40638.97515473653</v>
      </c>
      <c r="L402" s="55">
        <f>EFEITO!$N$402*EFEITO!$AA$277</f>
        <v>20985.56240521646</v>
      </c>
      <c r="M402" s="55">
        <f>$J$402-EFEITO!$K$402*EFEITO!$Y$402</f>
        <v>0</v>
      </c>
      <c r="N402" s="55">
        <f ca="1">$K$402-EFEITO!$M$402*EFEITO!$Z$402</f>
        <v>2438.3385092841927</v>
      </c>
      <c r="O402" s="55">
        <f>$L$402-EFEITO!$O$402*EFEITO!$AA$402</f>
        <v>1259.1337443129887</v>
      </c>
      <c r="P402" s="39"/>
      <c r="Q402" s="39"/>
      <c r="R402" s="39"/>
      <c r="S402" s="39"/>
      <c r="T402" s="39"/>
      <c r="U402" s="39"/>
      <c r="V402" s="39"/>
      <c r="W402" s="39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35" t="s">
        <v>27</v>
      </c>
      <c r="B403" s="35" t="s">
        <v>40</v>
      </c>
      <c r="C403" s="35" t="s">
        <v>23</v>
      </c>
      <c r="D403" s="35" t="s">
        <v>41</v>
      </c>
      <c r="E403" s="35" t="s">
        <v>49</v>
      </c>
      <c r="F403" s="35" t="s">
        <v>50</v>
      </c>
      <c r="G403" s="35" t="s">
        <v>25</v>
      </c>
      <c r="H403" s="35" t="s">
        <v>25</v>
      </c>
      <c r="I403" s="54">
        <v>44501</v>
      </c>
      <c r="J403" s="55">
        <f>EFEITO!$J$403*EFEITO!$Y$277</f>
        <v>0</v>
      </c>
      <c r="K403" s="55">
        <f ca="1">EFEITO!$L$403*EFEITO!$Z$277</f>
        <v>97.571398073820319</v>
      </c>
      <c r="L403" s="55">
        <f>EFEITO!$N$403*EFEITO!$AA$277</f>
        <v>50.384899113375496</v>
      </c>
      <c r="M403" s="55">
        <f>$J$403-EFEITO!$K$403*EFEITO!$Y$403</f>
        <v>0</v>
      </c>
      <c r="N403" s="55">
        <f ca="1">$K$403-EFEITO!$M$403*EFEITO!$Z$403</f>
        <v>5.854283884429222</v>
      </c>
      <c r="O403" s="55">
        <f>$L$403-EFEITO!$O$403*EFEITO!$AA$403</f>
        <v>3.0230939468025326</v>
      </c>
      <c r="P403" s="39"/>
      <c r="Q403" s="39"/>
      <c r="R403" s="39"/>
      <c r="S403" s="39"/>
      <c r="T403" s="39"/>
      <c r="U403" s="39"/>
      <c r="V403" s="39"/>
      <c r="W403" s="39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35" t="s">
        <v>28</v>
      </c>
      <c r="B404" s="35" t="s">
        <v>40</v>
      </c>
      <c r="C404" s="35" t="s">
        <v>23</v>
      </c>
      <c r="D404" s="35" t="s">
        <v>41</v>
      </c>
      <c r="E404" s="35" t="s">
        <v>49</v>
      </c>
      <c r="F404" s="35" t="s">
        <v>50</v>
      </c>
      <c r="G404" s="35" t="s">
        <v>25</v>
      </c>
      <c r="H404" s="35" t="s">
        <v>25</v>
      </c>
      <c r="I404" s="54">
        <v>44501</v>
      </c>
      <c r="J404" s="55">
        <f>EFEITO!$J$404*EFEITO!$Y$277</f>
        <v>0</v>
      </c>
      <c r="K404" s="55">
        <f ca="1">EFEITO!$L$404*EFEITO!$Z$277</f>
        <v>715.686204871472</v>
      </c>
      <c r="L404" s="55">
        <f>EFEITO!$N$404*EFEITO!$AA$277</f>
        <v>369.5732349966093</v>
      </c>
      <c r="M404" s="55">
        <f>$J$404-EFEITO!$K$404*EFEITO!$Y$404</f>
        <v>0</v>
      </c>
      <c r="N404" s="55">
        <f ca="1">$K$404-EFEITO!$M$404*EFEITO!$Z$404</f>
        <v>42.941172292288343</v>
      </c>
      <c r="O404" s="55">
        <f>$L$404-EFEITO!$O$404*EFEITO!$AA$404</f>
        <v>22.174394099796586</v>
      </c>
      <c r="P404" s="39"/>
      <c r="Q404" s="39"/>
      <c r="R404" s="39"/>
      <c r="S404" s="39"/>
      <c r="T404" s="39"/>
      <c r="U404" s="39"/>
      <c r="V404" s="39"/>
      <c r="W404" s="39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35" t="s">
        <v>21</v>
      </c>
      <c r="B405" s="35" t="s">
        <v>40</v>
      </c>
      <c r="C405" s="35" t="s">
        <v>23</v>
      </c>
      <c r="D405" s="35" t="s">
        <v>41</v>
      </c>
      <c r="E405" s="35" t="s">
        <v>49</v>
      </c>
      <c r="F405" s="35" t="s">
        <v>50</v>
      </c>
      <c r="G405" s="35" t="s">
        <v>25</v>
      </c>
      <c r="H405" s="35" t="s">
        <v>25</v>
      </c>
      <c r="I405" s="54">
        <v>44531</v>
      </c>
      <c r="J405" s="55">
        <f>EFEITO!$J$405*EFEITO!$Y$277</f>
        <v>0</v>
      </c>
      <c r="K405" s="55">
        <f ca="1">EFEITO!$L$405*EFEITO!$Z$277</f>
        <v>102330.44301487089</v>
      </c>
      <c r="L405" s="55">
        <f>EFEITO!$N$405*EFEITO!$AA$277</f>
        <v>52842.422567630383</v>
      </c>
      <c r="M405" s="55">
        <f>$J$405-EFEITO!$K$405*EFEITO!$Y$405</f>
        <v>0</v>
      </c>
      <c r="N405" s="55">
        <f ca="1">$K$405-EFEITO!$M$405*EFEITO!$Z$405</f>
        <v>6139.8265808922588</v>
      </c>
      <c r="O405" s="55">
        <f>$L$405-EFEITO!$O$405*EFEITO!$AA$405</f>
        <v>3170.5453540578237</v>
      </c>
      <c r="P405" s="39"/>
      <c r="Q405" s="39"/>
      <c r="R405" s="39"/>
      <c r="S405" s="39"/>
      <c r="T405" s="39"/>
      <c r="U405" s="39"/>
      <c r="V405" s="39"/>
      <c r="W405" s="39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35" t="s">
        <v>28</v>
      </c>
      <c r="B406" s="35" t="s">
        <v>40</v>
      </c>
      <c r="C406" s="35" t="s">
        <v>23</v>
      </c>
      <c r="D406" s="35" t="s">
        <v>41</v>
      </c>
      <c r="E406" s="35" t="s">
        <v>49</v>
      </c>
      <c r="F406" s="35" t="s">
        <v>50</v>
      </c>
      <c r="G406" s="35" t="s">
        <v>25</v>
      </c>
      <c r="H406" s="35" t="s">
        <v>25</v>
      </c>
      <c r="I406" s="54">
        <v>44531</v>
      </c>
      <c r="J406" s="55">
        <f>EFEITO!$J$406*EFEITO!$Y$277</f>
        <v>0</v>
      </c>
      <c r="K406" s="55">
        <f ca="1">EFEITO!$L$406*EFEITO!$Z$277</f>
        <v>435.16843540923855</v>
      </c>
      <c r="L406" s="55">
        <f>EFEITO!$N$406*EFEITO!$AA$277</f>
        <v>224.71665004565472</v>
      </c>
      <c r="M406" s="55">
        <f>$J$406-EFEITO!$K$406*EFEITO!$Y$406</f>
        <v>0</v>
      </c>
      <c r="N406" s="55">
        <f ca="1">$K$406-EFEITO!$M$406*EFEITO!$Z$406</f>
        <v>26.110106124554306</v>
      </c>
      <c r="O406" s="55">
        <f>$L$406-EFEITO!$O$406*EFEITO!$AA$406</f>
        <v>13.482999002739291</v>
      </c>
      <c r="P406" s="39"/>
      <c r="Q406" s="39"/>
      <c r="R406" s="39"/>
      <c r="S406" s="39"/>
      <c r="T406" s="39"/>
      <c r="U406" s="39"/>
      <c r="V406" s="39"/>
      <c r="W406" s="39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35" t="s">
        <v>21</v>
      </c>
      <c r="B407" s="35" t="s">
        <v>40</v>
      </c>
      <c r="C407" s="35" t="s">
        <v>23</v>
      </c>
      <c r="D407" s="35" t="s">
        <v>41</v>
      </c>
      <c r="E407" s="35" t="s">
        <v>49</v>
      </c>
      <c r="F407" s="35" t="s">
        <v>50</v>
      </c>
      <c r="G407" s="35" t="s">
        <v>25</v>
      </c>
      <c r="H407" s="35" t="s">
        <v>25</v>
      </c>
      <c r="I407" s="54">
        <v>44562</v>
      </c>
      <c r="J407" s="55">
        <f>EFEITO!$J$407*EFEITO!$Y$277</f>
        <v>0</v>
      </c>
      <c r="K407" s="55">
        <f ca="1">EFEITO!$L$407*EFEITO!$Z$277</f>
        <v>118636.08720397737</v>
      </c>
      <c r="L407" s="55">
        <f>EFEITO!$N$407*EFEITO!$AA$277</f>
        <v>61262.494982962133</v>
      </c>
      <c r="M407" s="55">
        <f>$J$407-EFEITO!$K$407*EFEITO!$Y$407</f>
        <v>0</v>
      </c>
      <c r="N407" s="55">
        <f ca="1">$K$407-EFEITO!$M$407*EFEITO!$Z$407</f>
        <v>7118.1652322386362</v>
      </c>
      <c r="O407" s="55">
        <f>$L$407-EFEITO!$O$407*EFEITO!$AA$407</f>
        <v>3675.7496989777355</v>
      </c>
      <c r="P407" s="39"/>
      <c r="Q407" s="39"/>
      <c r="R407" s="39"/>
      <c r="S407" s="39"/>
      <c r="T407" s="39"/>
      <c r="U407" s="39"/>
      <c r="V407" s="39"/>
      <c r="W407" s="39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35" t="s">
        <v>28</v>
      </c>
      <c r="B408" s="35" t="s">
        <v>40</v>
      </c>
      <c r="C408" s="35" t="s">
        <v>23</v>
      </c>
      <c r="D408" s="35" t="s">
        <v>41</v>
      </c>
      <c r="E408" s="35" t="s">
        <v>49</v>
      </c>
      <c r="F408" s="35" t="s">
        <v>50</v>
      </c>
      <c r="G408" s="35" t="s">
        <v>25</v>
      </c>
      <c r="H408" s="35" t="s">
        <v>25</v>
      </c>
      <c r="I408" s="54">
        <v>44562</v>
      </c>
      <c r="J408" s="55">
        <f>EFEITO!$J$408*EFEITO!$Y$277</f>
        <v>0</v>
      </c>
      <c r="K408" s="55">
        <f ca="1">EFEITO!$L$408*EFEITO!$Z$277</f>
        <v>1897.2758355454357</v>
      </c>
      <c r="L408" s="55">
        <f>EFEITO!$N$408*EFEITO!$AA$277</f>
        <v>979.73436325958653</v>
      </c>
      <c r="M408" s="55">
        <f>$J$408-EFEITO!$K$408*EFEITO!$Y$408</f>
        <v>0</v>
      </c>
      <c r="N408" s="55">
        <f ca="1">$K$408-EFEITO!$M$408*EFEITO!$Z$408</f>
        <v>113.83655013272619</v>
      </c>
      <c r="O408" s="55">
        <f>$L$408-EFEITO!$O$408*EFEITO!$AA$408</f>
        <v>58.784061795575326</v>
      </c>
      <c r="P408" s="39"/>
      <c r="Q408" s="39"/>
      <c r="R408" s="39"/>
      <c r="S408" s="39"/>
      <c r="T408" s="39"/>
      <c r="U408" s="39"/>
      <c r="V408" s="39"/>
      <c r="W408" s="39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35" t="s">
        <v>21</v>
      </c>
      <c r="B409" s="35" t="s">
        <v>40</v>
      </c>
      <c r="C409" s="35" t="s">
        <v>23</v>
      </c>
      <c r="D409" s="35" t="s">
        <v>41</v>
      </c>
      <c r="E409" s="35" t="s">
        <v>49</v>
      </c>
      <c r="F409" s="35" t="s">
        <v>50</v>
      </c>
      <c r="G409" s="35" t="s">
        <v>25</v>
      </c>
      <c r="H409" s="35" t="s">
        <v>25</v>
      </c>
      <c r="I409" s="54">
        <v>44593</v>
      </c>
      <c r="J409" s="55">
        <f>EFEITO!$J$409*EFEITO!$Y$277</f>
        <v>0</v>
      </c>
      <c r="K409" s="55">
        <f ca="1">EFEITO!$L$409*EFEITO!$Z$277</f>
        <v>107539.77995803216</v>
      </c>
      <c r="L409" s="55">
        <f>EFEITO!$N$409*EFEITO!$AA$277</f>
        <v>55532.472331293502</v>
      </c>
      <c r="M409" s="55">
        <f>$J$409-EFEITO!$K$409*EFEITO!$Y$409</f>
        <v>0</v>
      </c>
      <c r="N409" s="55">
        <f ca="1">$K$409-EFEITO!$M$409*EFEITO!$Z$409</f>
        <v>6452.3867974819295</v>
      </c>
      <c r="O409" s="55">
        <f>$L$409-EFEITO!$O$409*EFEITO!$AA$409</f>
        <v>3331.9483398776138</v>
      </c>
      <c r="P409" s="39"/>
      <c r="Q409" s="39"/>
      <c r="R409" s="39"/>
      <c r="S409" s="39"/>
      <c r="T409" s="39"/>
      <c r="U409" s="39"/>
      <c r="V409" s="39"/>
      <c r="W409" s="39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35" t="s">
        <v>28</v>
      </c>
      <c r="B410" s="35" t="s">
        <v>40</v>
      </c>
      <c r="C410" s="35" t="s">
        <v>23</v>
      </c>
      <c r="D410" s="35" t="s">
        <v>41</v>
      </c>
      <c r="E410" s="35" t="s">
        <v>49</v>
      </c>
      <c r="F410" s="35" t="s">
        <v>50</v>
      </c>
      <c r="G410" s="35" t="s">
        <v>25</v>
      </c>
      <c r="H410" s="35" t="s">
        <v>25</v>
      </c>
      <c r="I410" s="54">
        <v>44593</v>
      </c>
      <c r="J410" s="55">
        <f>EFEITO!$J$410*EFEITO!$Y$277</f>
        <v>0</v>
      </c>
      <c r="K410" s="55">
        <f ca="1">EFEITO!$L$410*EFEITO!$Z$277</f>
        <v>48.78569903691016</v>
      </c>
      <c r="L410" s="55">
        <f>EFEITO!$N$410*EFEITO!$AA$277</f>
        <v>25.192449556687748</v>
      </c>
      <c r="M410" s="55">
        <f>$J$410-EFEITO!$K$410*EFEITO!$Y$410</f>
        <v>0</v>
      </c>
      <c r="N410" s="55">
        <f ca="1">$K$410-EFEITO!$M$410*EFEITO!$Z$410</f>
        <v>2.927141942214611</v>
      </c>
      <c r="O410" s="55">
        <f>$L$410-EFEITO!$O$410*EFEITO!$AA$410</f>
        <v>1.5115469734012663</v>
      </c>
      <c r="P410" s="39"/>
      <c r="Q410" s="39"/>
      <c r="R410" s="39"/>
      <c r="S410" s="39"/>
      <c r="T410" s="39"/>
      <c r="U410" s="39"/>
      <c r="V410" s="39"/>
      <c r="W410" s="39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35" t="s">
        <v>21</v>
      </c>
      <c r="B411" s="35" t="s">
        <v>40</v>
      </c>
      <c r="C411" s="35" t="s">
        <v>23</v>
      </c>
      <c r="D411" s="35" t="s">
        <v>41</v>
      </c>
      <c r="E411" s="35" t="s">
        <v>49</v>
      </c>
      <c r="F411" s="35" t="s">
        <v>50</v>
      </c>
      <c r="G411" s="35" t="s">
        <v>25</v>
      </c>
      <c r="H411" s="35" t="s">
        <v>25</v>
      </c>
      <c r="I411" s="54">
        <v>44621</v>
      </c>
      <c r="J411" s="55">
        <f>EFEITO!$J$411*EFEITO!$Y$277</f>
        <v>0</v>
      </c>
      <c r="K411" s="55">
        <f ca="1">EFEITO!$L$411*EFEITO!$Z$277</f>
        <v>68211.676536417406</v>
      </c>
      <c r="L411" s="55">
        <f>EFEITO!$N$411*EFEITO!$AA$277</f>
        <v>35223.83104566524</v>
      </c>
      <c r="M411" s="55">
        <f>$J$411-EFEITO!$K$411*EFEITO!$Y$411</f>
        <v>0</v>
      </c>
      <c r="N411" s="55">
        <f ca="1">$K$411-EFEITO!$M$411*EFEITO!$Z$411</f>
        <v>4092.7005921850505</v>
      </c>
      <c r="O411" s="55">
        <f>$L$411-EFEITO!$O$411*EFEITO!$AA$411</f>
        <v>2113.4298627399185</v>
      </c>
      <c r="P411" s="39"/>
      <c r="Q411" s="39"/>
      <c r="R411" s="39"/>
      <c r="S411" s="39"/>
      <c r="T411" s="39"/>
      <c r="U411" s="39"/>
      <c r="V411" s="39"/>
      <c r="W411" s="39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35" t="s">
        <v>28</v>
      </c>
      <c r="B412" s="35" t="s">
        <v>40</v>
      </c>
      <c r="C412" s="35" t="s">
        <v>23</v>
      </c>
      <c r="D412" s="35" t="s">
        <v>41</v>
      </c>
      <c r="E412" s="35" t="s">
        <v>49</v>
      </c>
      <c r="F412" s="35" t="s">
        <v>50</v>
      </c>
      <c r="G412" s="35" t="s">
        <v>25</v>
      </c>
      <c r="H412" s="35" t="s">
        <v>25</v>
      </c>
      <c r="I412" s="54">
        <v>44621</v>
      </c>
      <c r="J412" s="55">
        <f>EFEITO!$J$412*EFEITO!$Y$277</f>
        <v>0</v>
      </c>
      <c r="K412" s="55">
        <f ca="1">EFEITO!$L$412*EFEITO!$Z$277</f>
        <v>4905.4020381613154</v>
      </c>
      <c r="L412" s="55">
        <f>EFEITO!$N$412*EFEITO!$AA$277</f>
        <v>2533.1008029249529</v>
      </c>
      <c r="M412" s="55">
        <f>$J$412-EFEITO!$K$412*EFEITO!$Y$412</f>
        <v>0</v>
      </c>
      <c r="N412" s="55">
        <f ca="1">$K$412-EFEITO!$M$412*EFEITO!$Z$412</f>
        <v>294.3241222896786</v>
      </c>
      <c r="O412" s="55">
        <f>$L$412-EFEITO!$O$412*EFEITO!$AA$412</f>
        <v>151.98604817549722</v>
      </c>
      <c r="P412" s="39"/>
      <c r="Q412" s="39"/>
      <c r="R412" s="39"/>
      <c r="S412" s="39"/>
      <c r="T412" s="39"/>
      <c r="U412" s="39"/>
      <c r="V412" s="39"/>
      <c r="W412" s="39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35" t="s">
        <v>21</v>
      </c>
      <c r="B413" s="35" t="s">
        <v>40</v>
      </c>
      <c r="C413" s="35" t="s">
        <v>23</v>
      </c>
      <c r="D413" s="35" t="s">
        <v>41</v>
      </c>
      <c r="E413" s="35" t="s">
        <v>49</v>
      </c>
      <c r="F413" s="35" t="s">
        <v>50</v>
      </c>
      <c r="G413" s="35" t="s">
        <v>25</v>
      </c>
      <c r="H413" s="35" t="s">
        <v>25</v>
      </c>
      <c r="I413" s="54">
        <v>44652</v>
      </c>
      <c r="J413" s="55">
        <f>EFEITO!$J$413*EFEITO!$Y$277</f>
        <v>0</v>
      </c>
      <c r="K413" s="55">
        <f ca="1">EFEITO!$L$413*EFEITO!$Z$277</f>
        <v>13548.764336530687</v>
      </c>
      <c r="L413" s="55">
        <f>EFEITO!$N$413*EFEITO!$AA$277</f>
        <v>6996.4470908833209</v>
      </c>
      <c r="M413" s="55">
        <f>$J$413-EFEITO!$K$413*EFEITO!$Y$413</f>
        <v>0</v>
      </c>
      <c r="N413" s="55">
        <f ca="1">$K$413-EFEITO!$M$413*EFEITO!$Z$413</f>
        <v>812.92586019184091</v>
      </c>
      <c r="O413" s="55">
        <f>$L$413-EFEITO!$O$413*EFEITO!$AA$413</f>
        <v>419.78682545299944</v>
      </c>
      <c r="P413" s="39"/>
      <c r="Q413" s="39"/>
      <c r="R413" s="39"/>
      <c r="S413" s="39"/>
      <c r="T413" s="39"/>
      <c r="U413" s="39"/>
      <c r="V413" s="39"/>
      <c r="W413" s="39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35" t="s">
        <v>28</v>
      </c>
      <c r="B414" s="35" t="s">
        <v>40</v>
      </c>
      <c r="C414" s="35" t="s">
        <v>23</v>
      </c>
      <c r="D414" s="35" t="s">
        <v>41</v>
      </c>
      <c r="E414" s="35" t="s">
        <v>49</v>
      </c>
      <c r="F414" s="35" t="s">
        <v>50</v>
      </c>
      <c r="G414" s="35" t="s">
        <v>25</v>
      </c>
      <c r="H414" s="35" t="s">
        <v>25</v>
      </c>
      <c r="I414" s="54">
        <v>44652</v>
      </c>
      <c r="J414" s="55">
        <f>EFEITO!$J$414*EFEITO!$Y$277</f>
        <v>0</v>
      </c>
      <c r="K414" s="55">
        <f ca="1">EFEITO!$L$414*EFEITO!$Z$277</f>
        <v>97.571398073820319</v>
      </c>
      <c r="L414" s="55">
        <f>EFEITO!$N$414*EFEITO!$AA$277</f>
        <v>50.384899113375496</v>
      </c>
      <c r="M414" s="55">
        <f>$J$414-EFEITO!$K$414*EFEITO!$Y$414</f>
        <v>0</v>
      </c>
      <c r="N414" s="55">
        <f ca="1">$K$414-EFEITO!$M$414*EFEITO!$Z$414</f>
        <v>5.854283884429222</v>
      </c>
      <c r="O414" s="55">
        <f>$L$414-EFEITO!$O$414*EFEITO!$AA$414</f>
        <v>3.0230939468025326</v>
      </c>
      <c r="P414" s="39"/>
      <c r="Q414" s="39"/>
      <c r="R414" s="39"/>
      <c r="S414" s="39"/>
      <c r="T414" s="39"/>
      <c r="U414" s="39"/>
      <c r="V414" s="39"/>
      <c r="W414" s="39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35" t="s">
        <v>21</v>
      </c>
      <c r="B415" s="35" t="s">
        <v>40</v>
      </c>
      <c r="C415" s="35" t="s">
        <v>23</v>
      </c>
      <c r="D415" s="35" t="s">
        <v>41</v>
      </c>
      <c r="E415" s="35" t="s">
        <v>49</v>
      </c>
      <c r="F415" s="35" t="s">
        <v>50</v>
      </c>
      <c r="G415" s="35" t="s">
        <v>25</v>
      </c>
      <c r="H415" s="35" t="s">
        <v>25</v>
      </c>
      <c r="I415" s="54">
        <v>44682</v>
      </c>
      <c r="J415" s="55">
        <f>EFEITO!$J$415*EFEITO!$Y$277</f>
        <v>0</v>
      </c>
      <c r="K415" s="55">
        <f ca="1">EFEITO!$L$415*EFEITO!$Z$277</f>
        <v>2752.4891396624712</v>
      </c>
      <c r="L415" s="55">
        <f>EFEITO!$N$415*EFEITO!$AA$277</f>
        <v>1421.3580039883229</v>
      </c>
      <c r="M415" s="55">
        <f>$J$415-EFEITO!$K$415*EFEITO!$Y$415</f>
        <v>0</v>
      </c>
      <c r="N415" s="55">
        <f ca="1">$K$415-EFEITO!$M$415*EFEITO!$Z$415</f>
        <v>165.14934837974852</v>
      </c>
      <c r="O415" s="55">
        <f>$L$415-EFEITO!$O$415*EFEITO!$AA$415</f>
        <v>85.281480239299526</v>
      </c>
      <c r="P415" s="39"/>
      <c r="Q415" s="39"/>
      <c r="R415" s="39"/>
      <c r="S415" s="39"/>
      <c r="T415" s="39"/>
      <c r="U415" s="39"/>
      <c r="V415" s="39"/>
      <c r="W415" s="39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35" t="s">
        <v>27</v>
      </c>
      <c r="B416" s="35" t="s">
        <v>40</v>
      </c>
      <c r="C416" s="35" t="s">
        <v>23</v>
      </c>
      <c r="D416" s="35" t="s">
        <v>41</v>
      </c>
      <c r="E416" s="35" t="s">
        <v>49</v>
      </c>
      <c r="F416" s="35" t="s">
        <v>50</v>
      </c>
      <c r="G416" s="35" t="s">
        <v>25</v>
      </c>
      <c r="H416" s="35" t="s">
        <v>25</v>
      </c>
      <c r="I416" s="54">
        <v>44682</v>
      </c>
      <c r="J416" s="55">
        <f>EFEITO!$J$416*EFEITO!$Y$277</f>
        <v>0</v>
      </c>
      <c r="K416" s="55">
        <f ca="1">EFEITO!$L$416*EFEITO!$Z$277</f>
        <v>1563.0937971426015</v>
      </c>
      <c r="L416" s="55">
        <f>EFEITO!$N$416*EFEITO!$AA$277</f>
        <v>807.16608379627553</v>
      </c>
      <c r="M416" s="55">
        <f>$J$416-EFEITO!$K$416*EFEITO!$Y$416</f>
        <v>0</v>
      </c>
      <c r="N416" s="55">
        <f ca="1">$K$416-EFEITO!$M$416*EFEITO!$Z$416</f>
        <v>93.785627828556244</v>
      </c>
      <c r="O416" s="55">
        <f>$L$416-EFEITO!$O$416*EFEITO!$AA$416</f>
        <v>48.429965027776575</v>
      </c>
      <c r="P416" s="39"/>
      <c r="Q416" s="39"/>
      <c r="R416" s="39"/>
      <c r="S416" s="39"/>
      <c r="T416" s="39"/>
      <c r="U416" s="39"/>
      <c r="V416" s="39"/>
      <c r="W416" s="39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35" t="s">
        <v>28</v>
      </c>
      <c r="B417" s="35" t="s">
        <v>40</v>
      </c>
      <c r="C417" s="35" t="s">
        <v>23</v>
      </c>
      <c r="D417" s="35" t="s">
        <v>41</v>
      </c>
      <c r="E417" s="35" t="s">
        <v>49</v>
      </c>
      <c r="F417" s="35" t="s">
        <v>50</v>
      </c>
      <c r="G417" s="35" t="s">
        <v>25</v>
      </c>
      <c r="H417" s="35" t="s">
        <v>25</v>
      </c>
      <c r="I417" s="54">
        <v>44682</v>
      </c>
      <c r="J417" s="55">
        <f>EFEITO!$J$417*EFEITO!$Y$277</f>
        <v>0</v>
      </c>
      <c r="K417" s="55">
        <f ca="1">EFEITO!$L$417*EFEITO!$Z$277</f>
        <v>78.057118459056241</v>
      </c>
      <c r="L417" s="55">
        <f>EFEITO!$N$417*EFEITO!$AA$277</f>
        <v>40.307919290700397</v>
      </c>
      <c r="M417" s="55">
        <f>$J$417-EFEITO!$K$417*EFEITO!$Y$417</f>
        <v>0</v>
      </c>
      <c r="N417" s="55">
        <f ca="1">$K$417-EFEITO!$M$417*EFEITO!$Z$417</f>
        <v>4.6834271075433662</v>
      </c>
      <c r="O417" s="55">
        <f>$L$417-EFEITO!$O$417*EFEITO!$AA$417</f>
        <v>2.4184751574420247</v>
      </c>
      <c r="P417" s="39"/>
      <c r="Q417" s="39"/>
      <c r="R417" s="39"/>
      <c r="S417" s="39"/>
      <c r="T417" s="39"/>
      <c r="U417" s="39"/>
      <c r="V417" s="39"/>
      <c r="W417" s="39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35" t="s">
        <v>21</v>
      </c>
      <c r="B418" s="35" t="s">
        <v>40</v>
      </c>
      <c r="C418" s="35" t="s">
        <v>23</v>
      </c>
      <c r="D418" s="35" t="s">
        <v>41</v>
      </c>
      <c r="E418" s="35" t="s">
        <v>49</v>
      </c>
      <c r="F418" s="35" t="s">
        <v>50</v>
      </c>
      <c r="G418" s="35" t="s">
        <v>25</v>
      </c>
      <c r="H418" s="35" t="s">
        <v>25</v>
      </c>
      <c r="I418" s="54">
        <v>44713</v>
      </c>
      <c r="J418" s="55">
        <f>EFEITO!$J$418*EFEITO!$Y$277</f>
        <v>0</v>
      </c>
      <c r="K418" s="55">
        <f ca="1">EFEITO!$L$418*EFEITO!$Z$277</f>
        <v>1805.0708643656758</v>
      </c>
      <c r="L418" s="55">
        <f>EFEITO!$N$418*EFEITO!$AA$277</f>
        <v>932.12063359744673</v>
      </c>
      <c r="M418" s="55">
        <f>$J$418-EFEITO!$K$418*EFEITO!$Y$418</f>
        <v>0</v>
      </c>
      <c r="N418" s="55">
        <f ca="1">$K$418-EFEITO!$M$418*EFEITO!$Z$418</f>
        <v>108.30425186194066</v>
      </c>
      <c r="O418" s="55">
        <f>$L$418-EFEITO!$O$418*EFEITO!$AA$418</f>
        <v>55.92723801584691</v>
      </c>
      <c r="P418" s="39"/>
      <c r="Q418" s="39"/>
      <c r="R418" s="39"/>
      <c r="S418" s="39"/>
      <c r="T418" s="39"/>
      <c r="U418" s="39"/>
      <c r="V418" s="39"/>
      <c r="W418" s="39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1.25" customHeight="1" x14ac:dyDescent="0.2">
      <c r="A419" s="35" t="s">
        <v>28</v>
      </c>
      <c r="B419" s="35" t="s">
        <v>40</v>
      </c>
      <c r="C419" s="35" t="s">
        <v>23</v>
      </c>
      <c r="D419" s="35" t="s">
        <v>41</v>
      </c>
      <c r="E419" s="35" t="s">
        <v>49</v>
      </c>
      <c r="F419" s="35" t="s">
        <v>50</v>
      </c>
      <c r="G419" s="35" t="s">
        <v>25</v>
      </c>
      <c r="H419" s="35" t="s">
        <v>25</v>
      </c>
      <c r="I419" s="54">
        <v>44713</v>
      </c>
      <c r="J419" s="55">
        <f>EFEITO!$J$419*EFEITO!$Y$277</f>
        <v>0</v>
      </c>
      <c r="K419" s="55">
        <f ca="1">EFEITO!$L$419*EFEITO!$Z$277</f>
        <v>78.057118459056241</v>
      </c>
      <c r="L419" s="55">
        <f>EFEITO!$N$419*EFEITO!$AA$277</f>
        <v>40.307919290700397</v>
      </c>
      <c r="M419" s="55">
        <f>$J$419-EFEITO!$K$419*EFEITO!$Y$419</f>
        <v>0</v>
      </c>
      <c r="N419" s="55">
        <f ca="1">$K$419-EFEITO!$M$419*EFEITO!$Z$419</f>
        <v>4.6834271075433662</v>
      </c>
      <c r="O419" s="55">
        <f>$L$419-EFEITO!$O$419*EFEITO!$AA$419</f>
        <v>2.4184751574420247</v>
      </c>
      <c r="P419" s="39"/>
      <c r="Q419" s="39"/>
      <c r="R419" s="39"/>
      <c r="S419" s="39"/>
      <c r="T419" s="39"/>
      <c r="U419" s="39"/>
      <c r="V419" s="39"/>
      <c r="W419" s="39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1.25" customHeight="1" x14ac:dyDescent="0.2">
      <c r="A420" s="35" t="s">
        <v>21</v>
      </c>
      <c r="B420" s="35" t="s">
        <v>40</v>
      </c>
      <c r="C420" s="35" t="s">
        <v>23</v>
      </c>
      <c r="D420" s="35" t="s">
        <v>41</v>
      </c>
      <c r="E420" s="35" t="s">
        <v>49</v>
      </c>
      <c r="F420" s="35" t="s">
        <v>51</v>
      </c>
      <c r="G420" s="35" t="s">
        <v>25</v>
      </c>
      <c r="H420" s="35" t="s">
        <v>25</v>
      </c>
      <c r="I420" s="54">
        <v>44378</v>
      </c>
      <c r="J420" s="55">
        <f>EFEITO!$J$420*EFEITO!$Y$277</f>
        <v>0</v>
      </c>
      <c r="K420" s="55">
        <f ca="1">EFEITO!$L$420*EFEITO!$Z$277</f>
        <v>271.24848664522045</v>
      </c>
      <c r="L420" s="55">
        <f>EFEITO!$N$420*EFEITO!$AA$277</f>
        <v>140.07001953518389</v>
      </c>
      <c r="M420" s="55">
        <f>$J$420-EFEITO!$K$420*EFEITO!$Y$420</f>
        <v>0</v>
      </c>
      <c r="N420" s="55">
        <f ca="1">$K$420-EFEITO!$M$420*EFEITO!$Z$420</f>
        <v>169.25905566661757</v>
      </c>
      <c r="O420" s="55">
        <f>$L$420-EFEITO!$O$420*EFEITO!$AA$420</f>
        <v>87.403692189954754</v>
      </c>
      <c r="P420" s="39"/>
      <c r="Q420" s="39"/>
      <c r="R420" s="39"/>
      <c r="S420" s="39"/>
      <c r="T420" s="39"/>
      <c r="U420" s="39"/>
      <c r="V420" s="39"/>
      <c r="W420" s="39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1.25" customHeight="1" x14ac:dyDescent="0.2">
      <c r="A421" s="35" t="s">
        <v>28</v>
      </c>
      <c r="B421" s="35" t="s">
        <v>40</v>
      </c>
      <c r="C421" s="35" t="s">
        <v>23</v>
      </c>
      <c r="D421" s="35" t="s">
        <v>41</v>
      </c>
      <c r="E421" s="35" t="s">
        <v>49</v>
      </c>
      <c r="F421" s="35" t="s">
        <v>51</v>
      </c>
      <c r="G421" s="35" t="s">
        <v>25</v>
      </c>
      <c r="H421" s="35" t="s">
        <v>25</v>
      </c>
      <c r="I421" s="54">
        <v>44378</v>
      </c>
      <c r="J421" s="55">
        <f>EFEITO!$J$421*EFEITO!$Y$277</f>
        <v>0</v>
      </c>
      <c r="K421" s="55">
        <f ca="1">EFEITO!$L$421*EFEITO!$Z$277</f>
        <v>120.50067662116808</v>
      </c>
      <c r="L421" s="55">
        <f>EFEITO!$N$421*EFEITO!$AA$277</f>
        <v>62.225350405018737</v>
      </c>
      <c r="M421" s="55">
        <f>$J$421-EFEITO!$K$421*EFEITO!$Y$421</f>
        <v>0</v>
      </c>
      <c r="N421" s="55">
        <f ca="1">$K$421-EFEITO!$M$421*EFEITO!$Z$421</f>
        <v>7.2300405972700901</v>
      </c>
      <c r="O421" s="55">
        <f>$L$421-EFEITO!$O$421*EFEITO!$AA$421</f>
        <v>3.7335210243011261</v>
      </c>
      <c r="P421" s="39"/>
      <c r="Q421" s="39"/>
      <c r="R421" s="39"/>
      <c r="S421" s="39"/>
      <c r="T421" s="39"/>
      <c r="U421" s="39"/>
      <c r="V421" s="39"/>
      <c r="W421" s="39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1.25" customHeight="1" x14ac:dyDescent="0.2">
      <c r="A422" s="35" t="s">
        <v>21</v>
      </c>
      <c r="B422" s="35" t="s">
        <v>40</v>
      </c>
      <c r="C422" s="35" t="s">
        <v>23</v>
      </c>
      <c r="D422" s="35" t="s">
        <v>41</v>
      </c>
      <c r="E422" s="35" t="s">
        <v>49</v>
      </c>
      <c r="F422" s="35" t="s">
        <v>51</v>
      </c>
      <c r="G422" s="35" t="s">
        <v>25</v>
      </c>
      <c r="H422" s="35" t="s">
        <v>25</v>
      </c>
      <c r="I422" s="54">
        <v>44409</v>
      </c>
      <c r="J422" s="55">
        <f>EFEITO!$J$422*EFEITO!$Y$277</f>
        <v>0</v>
      </c>
      <c r="K422" s="55">
        <f ca="1">EFEITO!$L$422*EFEITO!$Z$277</f>
        <v>567.37767979926514</v>
      </c>
      <c r="L422" s="55">
        <f>EFEITO!$N$422*EFEITO!$AA$277</f>
        <v>292.98818834427851</v>
      </c>
      <c r="M422" s="55">
        <f>$J$422-EFEITO!$K$422*EFEITO!$Y$422</f>
        <v>0</v>
      </c>
      <c r="N422" s="55">
        <f ca="1">$K$422-EFEITO!$M$422*EFEITO!$Z$422</f>
        <v>354.04367219474148</v>
      </c>
      <c r="O422" s="55">
        <f>$L$422-EFEITO!$O$422*EFEITO!$AA$422</f>
        <v>182.8246295268298</v>
      </c>
      <c r="P422" s="39"/>
      <c r="Q422" s="39"/>
      <c r="R422" s="39"/>
      <c r="S422" s="39"/>
      <c r="T422" s="39"/>
      <c r="U422" s="39"/>
      <c r="V422" s="39"/>
      <c r="W422" s="39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1.25" customHeight="1" x14ac:dyDescent="0.2">
      <c r="A423" s="35" t="s">
        <v>28</v>
      </c>
      <c r="B423" s="35" t="s">
        <v>40</v>
      </c>
      <c r="C423" s="35" t="s">
        <v>23</v>
      </c>
      <c r="D423" s="35" t="s">
        <v>41</v>
      </c>
      <c r="E423" s="35" t="s">
        <v>49</v>
      </c>
      <c r="F423" s="35" t="s">
        <v>51</v>
      </c>
      <c r="G423" s="35" t="s">
        <v>25</v>
      </c>
      <c r="H423" s="35" t="s">
        <v>25</v>
      </c>
      <c r="I423" s="54">
        <v>44409</v>
      </c>
      <c r="J423" s="55">
        <f>EFEITO!$J$423*EFEITO!$Y$277</f>
        <v>0</v>
      </c>
      <c r="K423" s="55">
        <f ca="1">EFEITO!$L$423*EFEITO!$Z$277</f>
        <v>154.65066594700519</v>
      </c>
      <c r="L423" s="55">
        <f>EFEITO!$N$423*EFEITO!$AA$277</f>
        <v>79.860065094700161</v>
      </c>
      <c r="M423" s="55">
        <f>$J$423-EFEITO!$K$423*EFEITO!$Y$423</f>
        <v>0</v>
      </c>
      <c r="N423" s="55">
        <f ca="1">$K$423-EFEITO!$M$423*EFEITO!$Z$423</f>
        <v>9.279039956820327</v>
      </c>
      <c r="O423" s="55">
        <f>$L$423-EFEITO!$O$423*EFEITO!$AA$423</f>
        <v>4.7916039056820097</v>
      </c>
      <c r="P423" s="39"/>
      <c r="Q423" s="39"/>
      <c r="R423" s="39"/>
      <c r="S423" s="39"/>
      <c r="T423" s="39"/>
      <c r="U423" s="39"/>
      <c r="V423" s="39"/>
      <c r="W423" s="39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1.25" customHeight="1" x14ac:dyDescent="0.2">
      <c r="A424" s="35" t="s">
        <v>21</v>
      </c>
      <c r="B424" s="35" t="s">
        <v>40</v>
      </c>
      <c r="C424" s="35" t="s">
        <v>23</v>
      </c>
      <c r="D424" s="35" t="s">
        <v>41</v>
      </c>
      <c r="E424" s="35" t="s">
        <v>49</v>
      </c>
      <c r="F424" s="35" t="s">
        <v>51</v>
      </c>
      <c r="G424" s="35" t="s">
        <v>25</v>
      </c>
      <c r="H424" s="35" t="s">
        <v>25</v>
      </c>
      <c r="I424" s="54">
        <v>44440</v>
      </c>
      <c r="J424" s="55">
        <f>EFEITO!$J$424*EFEITO!$Y$277</f>
        <v>0</v>
      </c>
      <c r="K424" s="55">
        <f ca="1">EFEITO!$L$424*EFEITO!$Z$277</f>
        <v>2799.3234107379049</v>
      </c>
      <c r="L424" s="55">
        <f>EFEITO!$N$424*EFEITO!$AA$277</f>
        <v>1445.5427555627432</v>
      </c>
      <c r="M424" s="55">
        <f>$J$424-EFEITO!$K$424*EFEITO!$Y$424</f>
        <v>0</v>
      </c>
      <c r="N424" s="55">
        <f ca="1">$K$424-EFEITO!$M$424*EFEITO!$Z$424</f>
        <v>1746.7778083004528</v>
      </c>
      <c r="O424" s="55">
        <f>$L$424-EFEITO!$O$424*EFEITO!$AA$424</f>
        <v>902.01867947115193</v>
      </c>
      <c r="P424" s="39"/>
      <c r="Q424" s="39"/>
      <c r="R424" s="39"/>
      <c r="S424" s="39"/>
      <c r="T424" s="39"/>
      <c r="U424" s="39"/>
      <c r="V424" s="39"/>
      <c r="W424" s="39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1.25" customHeight="1" x14ac:dyDescent="0.2">
      <c r="A425" s="35" t="s">
        <v>28</v>
      </c>
      <c r="B425" s="35" t="s">
        <v>40</v>
      </c>
      <c r="C425" s="35" t="s">
        <v>23</v>
      </c>
      <c r="D425" s="35" t="s">
        <v>41</v>
      </c>
      <c r="E425" s="35" t="s">
        <v>49</v>
      </c>
      <c r="F425" s="35" t="s">
        <v>51</v>
      </c>
      <c r="G425" s="35" t="s">
        <v>25</v>
      </c>
      <c r="H425" s="35" t="s">
        <v>25</v>
      </c>
      <c r="I425" s="54">
        <v>44440</v>
      </c>
      <c r="J425" s="55">
        <f>EFEITO!$J$425*EFEITO!$Y$277</f>
        <v>0</v>
      </c>
      <c r="K425" s="55">
        <f ca="1">EFEITO!$L$425*EFEITO!$Z$277</f>
        <v>561.03553892446678</v>
      </c>
      <c r="L425" s="55">
        <f>EFEITO!$N$425*EFEITO!$AA$277</f>
        <v>289.71316990190905</v>
      </c>
      <c r="M425" s="55">
        <f>$J$425-EFEITO!$K$425*EFEITO!$Y$425</f>
        <v>0</v>
      </c>
      <c r="N425" s="55">
        <f ca="1">$K$425-EFEITO!$M$425*EFEITO!$Z$425</f>
        <v>33.662132335468073</v>
      </c>
      <c r="O425" s="55">
        <f>$L$425-EFEITO!$O$425*EFEITO!$AA$425</f>
        <v>17.382790194114534</v>
      </c>
      <c r="P425" s="39"/>
      <c r="Q425" s="39"/>
      <c r="R425" s="39"/>
      <c r="S425" s="39"/>
      <c r="T425" s="39"/>
      <c r="U425" s="39"/>
      <c r="V425" s="39"/>
      <c r="W425" s="39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1.25" customHeight="1" x14ac:dyDescent="0.2">
      <c r="A426" s="35" t="s">
        <v>21</v>
      </c>
      <c r="B426" s="35" t="s">
        <v>40</v>
      </c>
      <c r="C426" s="35" t="s">
        <v>23</v>
      </c>
      <c r="D426" s="35" t="s">
        <v>41</v>
      </c>
      <c r="E426" s="35" t="s">
        <v>49</v>
      </c>
      <c r="F426" s="35" t="s">
        <v>51</v>
      </c>
      <c r="G426" s="35" t="s">
        <v>25</v>
      </c>
      <c r="H426" s="35" t="s">
        <v>25</v>
      </c>
      <c r="I426" s="54">
        <v>44470</v>
      </c>
      <c r="J426" s="55">
        <f>EFEITO!$J$426*EFEITO!$Y$277</f>
        <v>0</v>
      </c>
      <c r="K426" s="55">
        <f ca="1">EFEITO!$L$426*EFEITO!$Z$277</f>
        <v>9558.5820123018057</v>
      </c>
      <c r="L426" s="55">
        <f>EFEITO!$N$426*EFEITO!$AA$277</f>
        <v>4935.9566416418302</v>
      </c>
      <c r="M426" s="55">
        <f>$J$426-EFEITO!$K$426*EFEITO!$Y$426</f>
        <v>0</v>
      </c>
      <c r="N426" s="55">
        <f ca="1">$K$426-EFEITO!$M$426*EFEITO!$Z$426</f>
        <v>5964.5551756763271</v>
      </c>
      <c r="O426" s="55">
        <f>$L$426-EFEITO!$O$426*EFEITO!$AA$426</f>
        <v>3080.036944384502</v>
      </c>
      <c r="P426" s="39"/>
      <c r="Q426" s="39"/>
      <c r="R426" s="39"/>
      <c r="S426" s="39"/>
      <c r="T426" s="39"/>
      <c r="U426" s="39"/>
      <c r="V426" s="39"/>
      <c r="W426" s="39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1.25" customHeight="1" x14ac:dyDescent="0.2">
      <c r="A427" s="35" t="s">
        <v>28</v>
      </c>
      <c r="B427" s="35" t="s">
        <v>40</v>
      </c>
      <c r="C427" s="35" t="s">
        <v>23</v>
      </c>
      <c r="D427" s="35" t="s">
        <v>41</v>
      </c>
      <c r="E427" s="35" t="s">
        <v>49</v>
      </c>
      <c r="F427" s="35" t="s">
        <v>51</v>
      </c>
      <c r="G427" s="35" t="s">
        <v>25</v>
      </c>
      <c r="H427" s="35" t="s">
        <v>25</v>
      </c>
      <c r="I427" s="54">
        <v>44470</v>
      </c>
      <c r="J427" s="55">
        <f>EFEITO!$J$427*EFEITO!$Y$277</f>
        <v>0</v>
      </c>
      <c r="K427" s="55">
        <f ca="1">EFEITO!$L$427*EFEITO!$Z$277</f>
        <v>4.8785699036910151</v>
      </c>
      <c r="L427" s="55">
        <f>EFEITO!$N$427*EFEITO!$AA$277</f>
        <v>2.5192449556687748</v>
      </c>
      <c r="M427" s="55">
        <f>$J$427-EFEITO!$K$427*EFEITO!$Y$427</f>
        <v>0</v>
      </c>
      <c r="N427" s="55">
        <f ca="1">$K$427-EFEITO!$M$427*EFEITO!$Z$427</f>
        <v>0.29271419422146039</v>
      </c>
      <c r="O427" s="55">
        <f>$L$427-EFEITO!$O$427*EFEITO!$AA$427</f>
        <v>0.15115469734012654</v>
      </c>
      <c r="P427" s="39"/>
      <c r="Q427" s="39"/>
      <c r="R427" s="39"/>
      <c r="S427" s="39"/>
      <c r="T427" s="39"/>
      <c r="U427" s="39"/>
      <c r="V427" s="39"/>
      <c r="W427" s="39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1.25" customHeight="1" x14ac:dyDescent="0.2">
      <c r="A428" s="35" t="s">
        <v>21</v>
      </c>
      <c r="B428" s="35" t="s">
        <v>40</v>
      </c>
      <c r="C428" s="35" t="s">
        <v>23</v>
      </c>
      <c r="D428" s="35" t="s">
        <v>41</v>
      </c>
      <c r="E428" s="35" t="s">
        <v>49</v>
      </c>
      <c r="F428" s="35" t="s">
        <v>51</v>
      </c>
      <c r="G428" s="35" t="s">
        <v>25</v>
      </c>
      <c r="H428" s="35" t="s">
        <v>25</v>
      </c>
      <c r="I428" s="54">
        <v>44501</v>
      </c>
      <c r="J428" s="55">
        <f>EFEITO!$J$428*EFEITO!$Y$277</f>
        <v>0</v>
      </c>
      <c r="K428" s="55">
        <f ca="1">EFEITO!$L$428*EFEITO!$Z$277</f>
        <v>50628.822746524624</v>
      </c>
      <c r="L428" s="55">
        <f>EFEITO!$N$428*EFEITO!$AA$277</f>
        <v>26144.220300939414</v>
      </c>
      <c r="M428" s="55">
        <f>$J$428-EFEITO!$K$428*EFEITO!$Y$428</f>
        <v>0</v>
      </c>
      <c r="N428" s="55">
        <f ca="1">$K$428-EFEITO!$M$428*EFEITO!$Z$428</f>
        <v>31592.385393831366</v>
      </c>
      <c r="O428" s="55">
        <f>$L$428-EFEITO!$O$428*EFEITO!$AA$428</f>
        <v>16313.993467786197</v>
      </c>
      <c r="P428" s="39"/>
      <c r="Q428" s="39"/>
      <c r="R428" s="39"/>
      <c r="S428" s="39"/>
      <c r="T428" s="39"/>
      <c r="U428" s="39"/>
      <c r="V428" s="39"/>
      <c r="W428" s="39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1.25" customHeight="1" x14ac:dyDescent="0.2">
      <c r="A429" s="35" t="s">
        <v>27</v>
      </c>
      <c r="B429" s="35" t="s">
        <v>40</v>
      </c>
      <c r="C429" s="35" t="s">
        <v>23</v>
      </c>
      <c r="D429" s="35" t="s">
        <v>41</v>
      </c>
      <c r="E429" s="35" t="s">
        <v>49</v>
      </c>
      <c r="F429" s="35" t="s">
        <v>51</v>
      </c>
      <c r="G429" s="35" t="s">
        <v>25</v>
      </c>
      <c r="H429" s="35" t="s">
        <v>25</v>
      </c>
      <c r="I429" s="54">
        <v>44501</v>
      </c>
      <c r="J429" s="55">
        <f>EFEITO!$J$429*EFEITO!$Y$277</f>
        <v>0</v>
      </c>
      <c r="K429" s="55">
        <f ca="1">EFEITO!$L$429*EFEITO!$Z$277</f>
        <v>-6029.9124009620946</v>
      </c>
      <c r="L429" s="55">
        <f>EFEITO!$N$429*EFEITO!$AA$277</f>
        <v>-3113.7867652066057</v>
      </c>
      <c r="M429" s="55">
        <f>$J$429-EFEITO!$K$429*EFEITO!$Y$429</f>
        <v>0</v>
      </c>
      <c r="N429" s="55">
        <f ca="1">$K$429-EFEITO!$M$429*EFEITO!$Z$429</f>
        <v>-3762.6653382003469</v>
      </c>
      <c r="O429" s="55">
        <f>$L$429-EFEITO!$O$429*EFEITO!$AA$429</f>
        <v>-1943.002941488922</v>
      </c>
      <c r="P429" s="39"/>
      <c r="Q429" s="39"/>
      <c r="R429" s="39"/>
      <c r="S429" s="39"/>
      <c r="T429" s="39"/>
      <c r="U429" s="39"/>
      <c r="V429" s="39"/>
      <c r="W429" s="39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1.25" customHeight="1" x14ac:dyDescent="0.2">
      <c r="A430" s="35" t="s">
        <v>28</v>
      </c>
      <c r="B430" s="35" t="s">
        <v>40</v>
      </c>
      <c r="C430" s="35" t="s">
        <v>23</v>
      </c>
      <c r="D430" s="35" t="s">
        <v>41</v>
      </c>
      <c r="E430" s="35" t="s">
        <v>49</v>
      </c>
      <c r="F430" s="35" t="s">
        <v>51</v>
      </c>
      <c r="G430" s="35" t="s">
        <v>25</v>
      </c>
      <c r="H430" s="35" t="s">
        <v>25</v>
      </c>
      <c r="I430" s="54">
        <v>44501</v>
      </c>
      <c r="J430" s="55">
        <f>EFEITO!$J$430*EFEITO!$Y$277</f>
        <v>0</v>
      </c>
      <c r="K430" s="55">
        <f ca="1">EFEITO!$L$430*EFEITO!$Z$277</f>
        <v>4039.4558802561605</v>
      </c>
      <c r="L430" s="55">
        <f>EFEITO!$N$430*EFEITO!$AA$277</f>
        <v>2085.9348232937455</v>
      </c>
      <c r="M430" s="55">
        <f>$J$430-EFEITO!$K$430*EFEITO!$Y$430</f>
        <v>0</v>
      </c>
      <c r="N430" s="55">
        <f ca="1">$K$430-EFEITO!$M$430*EFEITO!$Z$430</f>
        <v>242.36735281536994</v>
      </c>
      <c r="O430" s="55">
        <f>$L$430-EFEITO!$O$430*EFEITO!$AA$430</f>
        <v>125.15608939762501</v>
      </c>
      <c r="P430" s="39"/>
      <c r="Q430" s="39"/>
      <c r="R430" s="39"/>
      <c r="S430" s="39"/>
      <c r="T430" s="39"/>
      <c r="U430" s="39"/>
      <c r="V430" s="39"/>
      <c r="W430" s="39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1.25" customHeight="1" x14ac:dyDescent="0.2">
      <c r="A431" s="35" t="s">
        <v>21</v>
      </c>
      <c r="B431" s="35" t="s">
        <v>40</v>
      </c>
      <c r="C431" s="35" t="s">
        <v>23</v>
      </c>
      <c r="D431" s="35" t="s">
        <v>41</v>
      </c>
      <c r="E431" s="35" t="s">
        <v>49</v>
      </c>
      <c r="F431" s="35" t="s">
        <v>51</v>
      </c>
      <c r="G431" s="35" t="s">
        <v>25</v>
      </c>
      <c r="H431" s="35" t="s">
        <v>25</v>
      </c>
      <c r="I431" s="54">
        <v>44531</v>
      </c>
      <c r="J431" s="55">
        <f>EFEITO!$J$431*EFEITO!$Y$277</f>
        <v>0</v>
      </c>
      <c r="K431" s="55">
        <f ca="1">EFEITO!$L$431*EFEITO!$Z$277</f>
        <v>128232.23420453761</v>
      </c>
      <c r="L431" s="55">
        <f>EFEITO!$N$431*EFEITO!$AA$277</f>
        <v>66217.849810762622</v>
      </c>
      <c r="M431" s="55">
        <f>$J$431-EFEITO!$K$431*EFEITO!$Y$431</f>
        <v>0</v>
      </c>
      <c r="N431" s="55">
        <f ca="1">$K$431-EFEITO!$M$431*EFEITO!$Z$431</f>
        <v>80016.914143631468</v>
      </c>
      <c r="O431" s="55">
        <f>$L$431-EFEITO!$O$431*EFEITO!$AA$431</f>
        <v>41319.938281915878</v>
      </c>
      <c r="P431" s="39"/>
      <c r="Q431" s="39"/>
      <c r="R431" s="39"/>
      <c r="S431" s="39"/>
      <c r="T431" s="39"/>
      <c r="U431" s="39"/>
      <c r="V431" s="39"/>
      <c r="W431" s="39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1.25" customHeight="1" x14ac:dyDescent="0.2">
      <c r="A432" s="35" t="s">
        <v>28</v>
      </c>
      <c r="B432" s="35" t="s">
        <v>40</v>
      </c>
      <c r="C432" s="35" t="s">
        <v>23</v>
      </c>
      <c r="D432" s="35" t="s">
        <v>41</v>
      </c>
      <c r="E432" s="35" t="s">
        <v>49</v>
      </c>
      <c r="F432" s="35" t="s">
        <v>51</v>
      </c>
      <c r="G432" s="35" t="s">
        <v>25</v>
      </c>
      <c r="H432" s="35" t="s">
        <v>25</v>
      </c>
      <c r="I432" s="54">
        <v>44531</v>
      </c>
      <c r="J432" s="55">
        <f>EFEITO!$J$432*EFEITO!$Y$277</f>
        <v>0</v>
      </c>
      <c r="K432" s="55">
        <f ca="1">EFEITO!$L$432*EFEITO!$Z$277</f>
        <v>8465.2944968846496</v>
      </c>
      <c r="L432" s="55">
        <f>EFEITO!$N$432*EFEITO!$AA$277</f>
        <v>4371.3938470764579</v>
      </c>
      <c r="M432" s="55">
        <f>$J$432-EFEITO!$K$432*EFEITO!$Y$432</f>
        <v>0</v>
      </c>
      <c r="N432" s="55">
        <f ca="1">$K$432-EFEITO!$M$432*EFEITO!$Z$432</f>
        <v>507.91766981307865</v>
      </c>
      <c r="O432" s="55">
        <f>$L$432-EFEITO!$O$432*EFEITO!$AA$432</f>
        <v>262.28363082458782</v>
      </c>
      <c r="P432" s="39"/>
      <c r="Q432" s="39"/>
      <c r="R432" s="39"/>
      <c r="S432" s="39"/>
      <c r="T432" s="39"/>
      <c r="U432" s="39"/>
      <c r="V432" s="39"/>
      <c r="W432" s="39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1.25" customHeight="1" x14ac:dyDescent="0.2">
      <c r="A433" s="35" t="s">
        <v>21</v>
      </c>
      <c r="B433" s="35" t="s">
        <v>40</v>
      </c>
      <c r="C433" s="35" t="s">
        <v>23</v>
      </c>
      <c r="D433" s="35" t="s">
        <v>41</v>
      </c>
      <c r="E433" s="35" t="s">
        <v>49</v>
      </c>
      <c r="F433" s="35" t="s">
        <v>51</v>
      </c>
      <c r="G433" s="35" t="s">
        <v>25</v>
      </c>
      <c r="H433" s="35" t="s">
        <v>25</v>
      </c>
      <c r="I433" s="54">
        <v>44562</v>
      </c>
      <c r="J433" s="55">
        <f>EFEITO!$J$433*EFEITO!$Y$277</f>
        <v>0</v>
      </c>
      <c r="K433" s="55">
        <f ca="1">EFEITO!$L$433*EFEITO!$Z$277</f>
        <v>133538.65468878232</v>
      </c>
      <c r="L433" s="55">
        <f>EFEITO!$N$433*EFEITO!$AA$277</f>
        <v>68958.03254904355</v>
      </c>
      <c r="M433" s="55">
        <f>$J$433-EFEITO!$K$433*EFEITO!$Y$433</f>
        <v>0</v>
      </c>
      <c r="N433" s="55">
        <f ca="1">$K$433-EFEITO!$M$433*EFEITO!$Z$433</f>
        <v>83328.120525800172</v>
      </c>
      <c r="O433" s="55">
        <f>$L$433-EFEITO!$O$433*EFEITO!$AA$433</f>
        <v>43029.812310603185</v>
      </c>
      <c r="P433" s="39"/>
      <c r="Q433" s="39"/>
      <c r="R433" s="39"/>
      <c r="S433" s="39"/>
      <c r="T433" s="39"/>
      <c r="U433" s="39"/>
      <c r="V433" s="39"/>
      <c r="W433" s="39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1.25" customHeight="1" x14ac:dyDescent="0.2">
      <c r="A434" s="35" t="s">
        <v>28</v>
      </c>
      <c r="B434" s="35" t="s">
        <v>40</v>
      </c>
      <c r="C434" s="35" t="s">
        <v>23</v>
      </c>
      <c r="D434" s="35" t="s">
        <v>41</v>
      </c>
      <c r="E434" s="35" t="s">
        <v>49</v>
      </c>
      <c r="F434" s="35" t="s">
        <v>51</v>
      </c>
      <c r="G434" s="35" t="s">
        <v>25</v>
      </c>
      <c r="H434" s="35" t="s">
        <v>25</v>
      </c>
      <c r="I434" s="54">
        <v>44562</v>
      </c>
      <c r="J434" s="55">
        <f>EFEITO!$J$434*EFEITO!$Y$277</f>
        <v>0</v>
      </c>
      <c r="K434" s="55">
        <f ca="1">EFEITO!$L$434*EFEITO!$Z$277</f>
        <v>12868.203834965791</v>
      </c>
      <c r="L434" s="55">
        <f>EFEITO!$N$434*EFEITO!$AA$277</f>
        <v>6645.0124195675271</v>
      </c>
      <c r="M434" s="55">
        <f>$J$434-EFEITO!$K$434*EFEITO!$Y$434</f>
        <v>0</v>
      </c>
      <c r="N434" s="55">
        <f ca="1">$K$434-EFEITO!$M$434*EFEITO!$Z$434</f>
        <v>772.09223009794732</v>
      </c>
      <c r="O434" s="55">
        <f>$L$434-EFEITO!$O$434*EFEITO!$AA$434</f>
        <v>398.70074517405192</v>
      </c>
      <c r="P434" s="39"/>
      <c r="Q434" s="39"/>
      <c r="R434" s="39"/>
      <c r="S434" s="39"/>
      <c r="T434" s="39"/>
      <c r="U434" s="39"/>
      <c r="V434" s="39"/>
      <c r="W434" s="39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1.25" customHeight="1" x14ac:dyDescent="0.2">
      <c r="A435" s="35" t="s">
        <v>21</v>
      </c>
      <c r="B435" s="35" t="s">
        <v>40</v>
      </c>
      <c r="C435" s="35" t="s">
        <v>23</v>
      </c>
      <c r="D435" s="35" t="s">
        <v>41</v>
      </c>
      <c r="E435" s="35" t="s">
        <v>49</v>
      </c>
      <c r="F435" s="35" t="s">
        <v>51</v>
      </c>
      <c r="G435" s="35" t="s">
        <v>25</v>
      </c>
      <c r="H435" s="35" t="s">
        <v>25</v>
      </c>
      <c r="I435" s="54">
        <v>44593</v>
      </c>
      <c r="J435" s="55">
        <f>EFEITO!$J$435*EFEITO!$Y$277</f>
        <v>0</v>
      </c>
      <c r="K435" s="55">
        <f ca="1">EFEITO!$L$435*EFEITO!$Z$277</f>
        <v>49475.528821292064</v>
      </c>
      <c r="L435" s="55">
        <f>EFEITO!$N$435*EFEITO!$AA$277</f>
        <v>25548.670793419315</v>
      </c>
      <c r="M435" s="55">
        <f>$J$435-EFEITO!$K$435*EFEITO!$Y$435</f>
        <v>0</v>
      </c>
      <c r="N435" s="55">
        <f ca="1">$K$435-EFEITO!$M$435*EFEITO!$Z$435</f>
        <v>30872.729984486246</v>
      </c>
      <c r="O435" s="55">
        <f>$L$435-EFEITO!$O$435*EFEITO!$AA$435</f>
        <v>15942.370575093653</v>
      </c>
      <c r="P435" s="39"/>
      <c r="Q435" s="39"/>
      <c r="R435" s="39"/>
      <c r="S435" s="39"/>
      <c r="T435" s="39"/>
      <c r="U435" s="39"/>
      <c r="V435" s="39"/>
      <c r="W435" s="39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1.25" customHeight="1" x14ac:dyDescent="0.2">
      <c r="A436" s="35" t="s">
        <v>21</v>
      </c>
      <c r="B436" s="35" t="s">
        <v>40</v>
      </c>
      <c r="C436" s="35" t="s">
        <v>23</v>
      </c>
      <c r="D436" s="35" t="s">
        <v>41</v>
      </c>
      <c r="E436" s="35" t="s">
        <v>49</v>
      </c>
      <c r="F436" s="35" t="s">
        <v>51</v>
      </c>
      <c r="G436" s="35" t="s">
        <v>25</v>
      </c>
      <c r="H436" s="35" t="s">
        <v>25</v>
      </c>
      <c r="I436" s="54">
        <v>44621</v>
      </c>
      <c r="J436" s="55">
        <f>EFEITO!$J$436*EFEITO!$Y$277</f>
        <v>0</v>
      </c>
      <c r="K436" s="55">
        <f ca="1">EFEITO!$L$436*EFEITO!$Z$277</f>
        <v>32866.925441166371</v>
      </c>
      <c r="L436" s="55">
        <f>EFEITO!$N$436*EFEITO!$AA$277</f>
        <v>16972.153266340538</v>
      </c>
      <c r="M436" s="55">
        <f>$J$436-EFEITO!$K$436*EFEITO!$Y$436</f>
        <v>0</v>
      </c>
      <c r="N436" s="55">
        <f ca="1">$K$436-EFEITO!$M$436*EFEITO!$Z$436</f>
        <v>20508.961475287815</v>
      </c>
      <c r="O436" s="55">
        <f>$L$436-EFEITO!$O$436*EFEITO!$AA$436</f>
        <v>10590.623638196495</v>
      </c>
      <c r="P436" s="39"/>
      <c r="Q436" s="39"/>
      <c r="R436" s="39"/>
      <c r="S436" s="39"/>
      <c r="T436" s="39"/>
      <c r="U436" s="39"/>
      <c r="V436" s="39"/>
      <c r="W436" s="39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1.25" customHeight="1" x14ac:dyDescent="0.2">
      <c r="A437" s="35" t="s">
        <v>28</v>
      </c>
      <c r="B437" s="35" t="s">
        <v>40</v>
      </c>
      <c r="C437" s="35" t="s">
        <v>23</v>
      </c>
      <c r="D437" s="35" t="s">
        <v>41</v>
      </c>
      <c r="E437" s="35" t="s">
        <v>49</v>
      </c>
      <c r="F437" s="35" t="s">
        <v>51</v>
      </c>
      <c r="G437" s="35" t="s">
        <v>25</v>
      </c>
      <c r="H437" s="35" t="s">
        <v>25</v>
      </c>
      <c r="I437" s="54">
        <v>44621</v>
      </c>
      <c r="J437" s="55">
        <f>EFEITO!$J$437*EFEITO!$Y$277</f>
        <v>0</v>
      </c>
      <c r="K437" s="55">
        <f ca="1">EFEITO!$L$437*EFEITO!$Z$277</f>
        <v>3132.5297351600011</v>
      </c>
      <c r="L437" s="55">
        <f>EFEITO!$N$437*EFEITO!$AA$277</f>
        <v>1617.6071860349205</v>
      </c>
      <c r="M437" s="55">
        <f>$J$437-EFEITO!$K$437*EFEITO!$Y$437</f>
        <v>0</v>
      </c>
      <c r="N437" s="55">
        <f ca="1">$K$437-EFEITO!$M$437*EFEITO!$Z$437</f>
        <v>187.95178410959988</v>
      </c>
      <c r="O437" s="55">
        <f>$L$437-EFEITO!$O$437*EFEITO!$AA$437</f>
        <v>97.05643116209535</v>
      </c>
      <c r="P437" s="39"/>
      <c r="Q437" s="39"/>
      <c r="R437" s="39"/>
      <c r="S437" s="39"/>
      <c r="T437" s="39"/>
      <c r="U437" s="39"/>
      <c r="V437" s="39"/>
      <c r="W437" s="39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1.25" customHeight="1" x14ac:dyDescent="0.2">
      <c r="A438" s="35" t="s">
        <v>21</v>
      </c>
      <c r="B438" s="35" t="s">
        <v>40</v>
      </c>
      <c r="C438" s="35" t="s">
        <v>23</v>
      </c>
      <c r="D438" s="35" t="s">
        <v>41</v>
      </c>
      <c r="E438" s="35" t="s">
        <v>49</v>
      </c>
      <c r="F438" s="35" t="s">
        <v>51</v>
      </c>
      <c r="G438" s="35" t="s">
        <v>25</v>
      </c>
      <c r="H438" s="35" t="s">
        <v>25</v>
      </c>
      <c r="I438" s="54">
        <v>44652</v>
      </c>
      <c r="J438" s="55">
        <f>EFEITO!$J$438*EFEITO!$Y$277</f>
        <v>0</v>
      </c>
      <c r="K438" s="55">
        <f ca="1">EFEITO!$L$438*EFEITO!$Z$277</f>
        <v>12894.060255455353</v>
      </c>
      <c r="L438" s="55">
        <f>EFEITO!$N$438*EFEITO!$AA$277</f>
        <v>6658.3644178325721</v>
      </c>
      <c r="M438" s="55">
        <f>$J$438-EFEITO!$K$438*EFEITO!$Y$438</f>
        <v>0</v>
      </c>
      <c r="N438" s="55">
        <f ca="1">$K$438-EFEITO!$M$438*EFEITO!$Z$438</f>
        <v>8045.8935994041412</v>
      </c>
      <c r="O438" s="55">
        <f>$L$438-EFEITO!$O$438*EFEITO!$AA$438</f>
        <v>4154.8193967275256</v>
      </c>
      <c r="P438" s="39"/>
      <c r="Q438" s="39"/>
      <c r="R438" s="39"/>
      <c r="S438" s="39"/>
      <c r="T438" s="39"/>
      <c r="U438" s="39"/>
      <c r="V438" s="39"/>
      <c r="W438" s="39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1.25" customHeight="1" x14ac:dyDescent="0.2">
      <c r="A439" s="35" t="s">
        <v>28</v>
      </c>
      <c r="B439" s="35" t="s">
        <v>40</v>
      </c>
      <c r="C439" s="35" t="s">
        <v>23</v>
      </c>
      <c r="D439" s="35" t="s">
        <v>41</v>
      </c>
      <c r="E439" s="35" t="s">
        <v>49</v>
      </c>
      <c r="F439" s="35" t="s">
        <v>51</v>
      </c>
      <c r="G439" s="35" t="s">
        <v>25</v>
      </c>
      <c r="H439" s="35" t="s">
        <v>25</v>
      </c>
      <c r="I439" s="54">
        <v>44652</v>
      </c>
      <c r="J439" s="55">
        <f>EFEITO!$J$439*EFEITO!$Y$277</f>
        <v>0</v>
      </c>
      <c r="K439" s="55">
        <f ca="1">EFEITO!$L$439*EFEITO!$Z$277</f>
        <v>97.571398073820319</v>
      </c>
      <c r="L439" s="55">
        <f>EFEITO!$N$439*EFEITO!$AA$277</f>
        <v>50.384899113375496</v>
      </c>
      <c r="M439" s="55">
        <f>$J$439-EFEITO!$K$439*EFEITO!$Y$439</f>
        <v>0</v>
      </c>
      <c r="N439" s="55">
        <f ca="1">$K$439-EFEITO!$M$439*EFEITO!$Z$439</f>
        <v>5.854283884429222</v>
      </c>
      <c r="O439" s="55">
        <f>$L$439-EFEITO!$O$439*EFEITO!$AA$439</f>
        <v>3.0230939468025326</v>
      </c>
      <c r="P439" s="39"/>
      <c r="Q439" s="39"/>
      <c r="R439" s="39"/>
      <c r="S439" s="39"/>
      <c r="T439" s="39"/>
      <c r="U439" s="39"/>
      <c r="V439" s="39"/>
      <c r="W439" s="39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1.25" customHeight="1" x14ac:dyDescent="0.2">
      <c r="A440" s="35" t="s">
        <v>21</v>
      </c>
      <c r="B440" s="35" t="s">
        <v>40</v>
      </c>
      <c r="C440" s="35" t="s">
        <v>23</v>
      </c>
      <c r="D440" s="35" t="s">
        <v>41</v>
      </c>
      <c r="E440" s="35" t="s">
        <v>49</v>
      </c>
      <c r="F440" s="35" t="s">
        <v>51</v>
      </c>
      <c r="G440" s="35" t="s">
        <v>25</v>
      </c>
      <c r="H440" s="35" t="s">
        <v>25</v>
      </c>
      <c r="I440" s="54">
        <v>44682</v>
      </c>
      <c r="J440" s="55">
        <f>EFEITO!$J$440*EFEITO!$Y$277</f>
        <v>0</v>
      </c>
      <c r="K440" s="55">
        <f ca="1">EFEITO!$L$440*EFEITO!$Z$277</f>
        <v>1122.0710778489336</v>
      </c>
      <c r="L440" s="55">
        <f>EFEITO!$N$440*EFEITO!$AA$277</f>
        <v>579.42633980381811</v>
      </c>
      <c r="M440" s="55">
        <f>$J$440-EFEITO!$K$440*EFEITO!$Y$440</f>
        <v>0</v>
      </c>
      <c r="N440" s="55">
        <f ca="1">$K$440-EFEITO!$M$440*EFEITO!$Z$440</f>
        <v>700.1723525777345</v>
      </c>
      <c r="O440" s="55">
        <f>$L$440-EFEITO!$O$440*EFEITO!$AA$440</f>
        <v>361.56203603758246</v>
      </c>
      <c r="P440" s="39"/>
      <c r="Q440" s="39"/>
      <c r="R440" s="39"/>
      <c r="S440" s="39"/>
      <c r="T440" s="39"/>
      <c r="U440" s="39"/>
      <c r="V440" s="39"/>
      <c r="W440" s="39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1.25" customHeight="1" x14ac:dyDescent="0.2">
      <c r="A441" s="35" t="s">
        <v>27</v>
      </c>
      <c r="B441" s="35" t="s">
        <v>40</v>
      </c>
      <c r="C441" s="35" t="s">
        <v>23</v>
      </c>
      <c r="D441" s="35" t="s">
        <v>41</v>
      </c>
      <c r="E441" s="35" t="s">
        <v>49</v>
      </c>
      <c r="F441" s="35" t="s">
        <v>51</v>
      </c>
      <c r="G441" s="35" t="s">
        <v>25</v>
      </c>
      <c r="H441" s="35" t="s">
        <v>25</v>
      </c>
      <c r="I441" s="54">
        <v>44682</v>
      </c>
      <c r="J441" s="55">
        <f>EFEITO!$J$441*EFEITO!$Y$277</f>
        <v>0</v>
      </c>
      <c r="K441" s="55">
        <f ca="1">EFEITO!$L$441*EFEITO!$Z$277</f>
        <v>-1513.3323841249528</v>
      </c>
      <c r="L441" s="55">
        <f>EFEITO!$N$441*EFEITO!$AA$277</f>
        <v>-781.46978524845395</v>
      </c>
      <c r="M441" s="55">
        <f>$J$441-EFEITO!$K$441*EFEITO!$Y$441</f>
        <v>0</v>
      </c>
      <c r="N441" s="55">
        <f ca="1">$K$441-EFEITO!$M$441*EFEITO!$Z$441</f>
        <v>-944.31940769397056</v>
      </c>
      <c r="O441" s="55">
        <f>$L$441-EFEITO!$O$441*EFEITO!$AA$441</f>
        <v>-487.63714599503533</v>
      </c>
      <c r="P441" s="39"/>
      <c r="Q441" s="39"/>
      <c r="R441" s="39"/>
      <c r="S441" s="39"/>
      <c r="T441" s="39"/>
      <c r="U441" s="39"/>
      <c r="V441" s="39"/>
      <c r="W441" s="39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1.25" customHeight="1" x14ac:dyDescent="0.2">
      <c r="A442" s="35" t="s">
        <v>28</v>
      </c>
      <c r="B442" s="35" t="s">
        <v>40</v>
      </c>
      <c r="C442" s="35" t="s">
        <v>23</v>
      </c>
      <c r="D442" s="35" t="s">
        <v>41</v>
      </c>
      <c r="E442" s="35" t="s">
        <v>49</v>
      </c>
      <c r="F442" s="35" t="s">
        <v>51</v>
      </c>
      <c r="G442" s="35" t="s">
        <v>25</v>
      </c>
      <c r="H442" s="35" t="s">
        <v>25</v>
      </c>
      <c r="I442" s="54">
        <v>44682</v>
      </c>
      <c r="J442" s="55">
        <f>EFEITO!$J$442*EFEITO!$Y$277</f>
        <v>0</v>
      </c>
      <c r="K442" s="55">
        <f ca="1">EFEITO!$L$442*EFEITO!$Z$277</f>
        <v>19.51427961476406</v>
      </c>
      <c r="L442" s="55">
        <f>EFEITO!$N$442*EFEITO!$AA$277</f>
        <v>10.076979822675099</v>
      </c>
      <c r="M442" s="55">
        <f>$J$442-EFEITO!$K$442*EFEITO!$Y$442</f>
        <v>0</v>
      </c>
      <c r="N442" s="55">
        <f ca="1">$K$442-EFEITO!$M$442*EFEITO!$Z$442</f>
        <v>1.1708567768858416</v>
      </c>
      <c r="O442" s="55">
        <f>$L$442-EFEITO!$O$442*EFEITO!$AA$442</f>
        <v>0.60461878936050617</v>
      </c>
      <c r="P442" s="39"/>
      <c r="Q442" s="39"/>
      <c r="R442" s="39"/>
      <c r="S442" s="39"/>
      <c r="T442" s="39"/>
      <c r="U442" s="39"/>
      <c r="V442" s="39"/>
      <c r="W442" s="39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1.25" customHeight="1" x14ac:dyDescent="0.2">
      <c r="A443" s="35" t="s">
        <v>21</v>
      </c>
      <c r="B443" s="35" t="s">
        <v>40</v>
      </c>
      <c r="C443" s="35" t="s">
        <v>23</v>
      </c>
      <c r="D443" s="35" t="s">
        <v>41</v>
      </c>
      <c r="E443" s="35" t="s">
        <v>49</v>
      </c>
      <c r="F443" s="35" t="s">
        <v>51</v>
      </c>
      <c r="G443" s="35" t="s">
        <v>25</v>
      </c>
      <c r="H443" s="35" t="s">
        <v>25</v>
      </c>
      <c r="I443" s="54">
        <v>44713</v>
      </c>
      <c r="J443" s="55">
        <f>EFEITO!$J$443*EFEITO!$Y$277</f>
        <v>0</v>
      </c>
      <c r="K443" s="55">
        <f ca="1">EFEITO!$L$443*EFEITO!$Z$277</f>
        <v>204.89993595502264</v>
      </c>
      <c r="L443" s="55">
        <f>EFEITO!$N$443*EFEITO!$AA$277</f>
        <v>105.80828813808854</v>
      </c>
      <c r="M443" s="55">
        <f>$J$443-EFEITO!$K$443*EFEITO!$Y$443</f>
        <v>0</v>
      </c>
      <c r="N443" s="55">
        <f ca="1">$K$443-EFEITO!$M$443*EFEITO!$Z$443</f>
        <v>127.85756003593413</v>
      </c>
      <c r="O443" s="55">
        <f>$L$443-EFEITO!$O$443*EFEITO!$AA$443</f>
        <v>66.024371798167252</v>
      </c>
      <c r="P443" s="39"/>
      <c r="Q443" s="39"/>
      <c r="R443" s="39"/>
      <c r="S443" s="39"/>
      <c r="T443" s="39"/>
      <c r="U443" s="39"/>
      <c r="V443" s="39"/>
      <c r="W443" s="39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1.25" customHeight="1" x14ac:dyDescent="0.2">
      <c r="A444" s="35" t="s">
        <v>28</v>
      </c>
      <c r="B444" s="35" t="s">
        <v>40</v>
      </c>
      <c r="C444" s="35" t="s">
        <v>23</v>
      </c>
      <c r="D444" s="35" t="s">
        <v>41</v>
      </c>
      <c r="E444" s="35" t="s">
        <v>49</v>
      </c>
      <c r="F444" s="35" t="s">
        <v>51</v>
      </c>
      <c r="G444" s="35" t="s">
        <v>25</v>
      </c>
      <c r="H444" s="35" t="s">
        <v>25</v>
      </c>
      <c r="I444" s="54">
        <v>44713</v>
      </c>
      <c r="J444" s="55">
        <f>EFEITO!$J$444*EFEITO!$Y$277</f>
        <v>0</v>
      </c>
      <c r="K444" s="55">
        <f ca="1">EFEITO!$L$444*EFEITO!$Z$277</f>
        <v>19.51427961476406</v>
      </c>
      <c r="L444" s="55">
        <f>EFEITO!$N$444*EFEITO!$AA$277</f>
        <v>10.076979822675099</v>
      </c>
      <c r="M444" s="55">
        <f>$J$444-EFEITO!$K$444*EFEITO!$Y$444</f>
        <v>0</v>
      </c>
      <c r="N444" s="55">
        <f ca="1">$K$444-EFEITO!$M$444*EFEITO!$Z$444</f>
        <v>12.176910479612772</v>
      </c>
      <c r="O444" s="55">
        <f>$L$444-EFEITO!$O$444*EFEITO!$AA$444</f>
        <v>6.2880354093492627</v>
      </c>
      <c r="P444" s="39"/>
      <c r="Q444" s="39"/>
      <c r="R444" s="39"/>
      <c r="S444" s="39"/>
      <c r="T444" s="39"/>
      <c r="U444" s="39"/>
      <c r="V444" s="39"/>
      <c r="W444" s="39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1.25" customHeight="1" x14ac:dyDescent="0.2">
      <c r="A445" s="35" t="s">
        <v>21</v>
      </c>
      <c r="B445" s="35" t="s">
        <v>40</v>
      </c>
      <c r="C445" s="35" t="s">
        <v>23</v>
      </c>
      <c r="D445" s="35" t="s">
        <v>41</v>
      </c>
      <c r="E445" s="35" t="s">
        <v>25</v>
      </c>
      <c r="F445" s="35" t="s">
        <v>25</v>
      </c>
      <c r="G445" s="35" t="s">
        <v>25</v>
      </c>
      <c r="H445" s="35" t="s">
        <v>25</v>
      </c>
      <c r="I445" s="54">
        <v>44378</v>
      </c>
      <c r="J445" s="55">
        <f>EFEITO!$J$445*EFEITO!$Y$277</f>
        <v>0</v>
      </c>
      <c r="K445" s="55">
        <f ca="1">EFEITO!$L$445*EFEITO!$Z$277</f>
        <v>1188528.9085049741</v>
      </c>
      <c r="L445" s="55">
        <f>EFEITO!$N$445*EFEITO!$AA$277</f>
        <v>613744.50228792056</v>
      </c>
      <c r="M445" s="55">
        <f>$J$445-EFEITO!$K$445*EFEITO!$Y$445</f>
        <v>0</v>
      </c>
      <c r="N445" s="55">
        <f ca="1">$K$445-EFEITO!$M$445*EFEITO!$Z$445</f>
        <v>71311.734510298353</v>
      </c>
      <c r="O445" s="55">
        <f>$L$445-EFEITO!$O$445*EFEITO!$AA$445</f>
        <v>36824.670137275243</v>
      </c>
      <c r="P445" s="39"/>
      <c r="Q445" s="39"/>
      <c r="R445" s="39"/>
      <c r="S445" s="39"/>
      <c r="T445" s="39"/>
      <c r="U445" s="39"/>
      <c r="V445" s="39"/>
      <c r="W445" s="39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1.25" customHeight="1" x14ac:dyDescent="0.2">
      <c r="A446" s="35" t="s">
        <v>27</v>
      </c>
      <c r="B446" s="35" t="s">
        <v>40</v>
      </c>
      <c r="C446" s="35" t="s">
        <v>23</v>
      </c>
      <c r="D446" s="35" t="s">
        <v>41</v>
      </c>
      <c r="E446" s="35" t="s">
        <v>25</v>
      </c>
      <c r="F446" s="35" t="s">
        <v>25</v>
      </c>
      <c r="G446" s="35" t="s">
        <v>25</v>
      </c>
      <c r="H446" s="35" t="s">
        <v>25</v>
      </c>
      <c r="I446" s="54">
        <v>44378</v>
      </c>
      <c r="J446" s="55">
        <f>EFEITO!$J$446*EFEITO!$Y$277</f>
        <v>0</v>
      </c>
      <c r="K446" s="55">
        <f ca="1">EFEITO!$L$446*EFEITO!$Z$277</f>
        <v>-4045.3101641405897</v>
      </c>
      <c r="L446" s="55">
        <f>EFEITO!$N$446*EFEITO!$AA$277</f>
        <v>-2088.9579172405479</v>
      </c>
      <c r="M446" s="55">
        <f>$J$446-EFEITO!$K$446*EFEITO!$Y$446</f>
        <v>0</v>
      </c>
      <c r="N446" s="55">
        <f ca="1">$K$446-EFEITO!$M$446*EFEITO!$Z$446</f>
        <v>-242.71860984843534</v>
      </c>
      <c r="O446" s="55">
        <f>$L$446-EFEITO!$O$446*EFEITO!$AA$446</f>
        <v>-125.33747503443283</v>
      </c>
      <c r="P446" s="39"/>
      <c r="Q446" s="39"/>
      <c r="R446" s="39"/>
      <c r="S446" s="39"/>
      <c r="T446" s="39"/>
      <c r="U446" s="39"/>
      <c r="V446" s="39"/>
      <c r="W446" s="39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1.25" customHeight="1" x14ac:dyDescent="0.2">
      <c r="A447" s="35" t="s">
        <v>28</v>
      </c>
      <c r="B447" s="35" t="s">
        <v>40</v>
      </c>
      <c r="C447" s="35" t="s">
        <v>23</v>
      </c>
      <c r="D447" s="35" t="s">
        <v>41</v>
      </c>
      <c r="E447" s="35" t="s">
        <v>25</v>
      </c>
      <c r="F447" s="35" t="s">
        <v>25</v>
      </c>
      <c r="G447" s="35" t="s">
        <v>25</v>
      </c>
      <c r="H447" s="35" t="s">
        <v>25</v>
      </c>
      <c r="I447" s="54">
        <v>44378</v>
      </c>
      <c r="J447" s="55">
        <f>EFEITO!$J$447*EFEITO!$Y$277</f>
        <v>0</v>
      </c>
      <c r="K447" s="55">
        <f ca="1">EFEITO!$L$447*EFEITO!$Z$277</f>
        <v>58343.793192221594</v>
      </c>
      <c r="L447" s="55">
        <f>EFEITO!$N$447*EFEITO!$AA$277</f>
        <v>30128.15427383401</v>
      </c>
      <c r="M447" s="55">
        <f>$J$447-EFEITO!$K$447*EFEITO!$Y$447</f>
        <v>0</v>
      </c>
      <c r="N447" s="55">
        <f ca="1">$K$447-EFEITO!$M$447*EFEITO!$Z$447</f>
        <v>3500.6275915333026</v>
      </c>
      <c r="O447" s="55">
        <f>$L$447-EFEITO!$O$447*EFEITO!$AA$447</f>
        <v>1807.6892564300397</v>
      </c>
      <c r="P447" s="39"/>
      <c r="Q447" s="39"/>
      <c r="R447" s="39"/>
      <c r="S447" s="39"/>
      <c r="T447" s="39"/>
      <c r="U447" s="39"/>
      <c r="V447" s="39"/>
      <c r="W447" s="39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1.25" customHeight="1" x14ac:dyDescent="0.2">
      <c r="A448" s="35" t="s">
        <v>21</v>
      </c>
      <c r="B448" s="35" t="s">
        <v>40</v>
      </c>
      <c r="C448" s="35" t="s">
        <v>23</v>
      </c>
      <c r="D448" s="35" t="s">
        <v>41</v>
      </c>
      <c r="E448" s="35" t="s">
        <v>25</v>
      </c>
      <c r="F448" s="35" t="s">
        <v>25</v>
      </c>
      <c r="G448" s="35" t="s">
        <v>25</v>
      </c>
      <c r="H448" s="35" t="s">
        <v>25</v>
      </c>
      <c r="I448" s="54">
        <v>44409</v>
      </c>
      <c r="J448" s="55">
        <f>EFEITO!$J$448*EFEITO!$Y$277</f>
        <v>0</v>
      </c>
      <c r="K448" s="55">
        <f ca="1">EFEITO!$L$448*EFEITO!$Z$277</f>
        <v>1249169.0445508631</v>
      </c>
      <c r="L448" s="55">
        <f>EFEITO!$N$448*EFEITO!$AA$277</f>
        <v>645058.46516238782</v>
      </c>
      <c r="M448" s="55">
        <f>$J$448-EFEITO!$K$448*EFEITO!$Y$448</f>
        <v>0</v>
      </c>
      <c r="N448" s="55">
        <f ca="1">$K$448-EFEITO!$M$448*EFEITO!$Z$448</f>
        <v>74950.142673051916</v>
      </c>
      <c r="O448" s="55">
        <f>$L$448-EFEITO!$O$448*EFEITO!$AA$448</f>
        <v>38703.507909743232</v>
      </c>
      <c r="P448" s="39"/>
      <c r="Q448" s="39"/>
      <c r="R448" s="39"/>
      <c r="S448" s="39"/>
      <c r="T448" s="39"/>
      <c r="U448" s="39"/>
      <c r="V448" s="39"/>
      <c r="W448" s="39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1.25" customHeight="1" x14ac:dyDescent="0.2">
      <c r="A449" s="35" t="s">
        <v>27</v>
      </c>
      <c r="B449" s="35" t="s">
        <v>40</v>
      </c>
      <c r="C449" s="35" t="s">
        <v>23</v>
      </c>
      <c r="D449" s="35" t="s">
        <v>41</v>
      </c>
      <c r="E449" s="35" t="s">
        <v>25</v>
      </c>
      <c r="F449" s="35" t="s">
        <v>25</v>
      </c>
      <c r="G449" s="35" t="s">
        <v>25</v>
      </c>
      <c r="H449" s="35" t="s">
        <v>25</v>
      </c>
      <c r="I449" s="54">
        <v>44409</v>
      </c>
      <c r="J449" s="55">
        <f>EFEITO!$J$449*EFEITO!$Y$277</f>
        <v>0</v>
      </c>
      <c r="K449" s="55">
        <f ca="1">EFEITO!$L$449*EFEITO!$Z$277</f>
        <v>-1048.4046723031993</v>
      </c>
      <c r="L449" s="55">
        <f>EFEITO!$N$449*EFEITO!$AA$277</f>
        <v>-541.38574097321975</v>
      </c>
      <c r="M449" s="55">
        <f>$J$449-EFEITO!$K$449*EFEITO!$Y$449</f>
        <v>0</v>
      </c>
      <c r="N449" s="55">
        <f ca="1">$K$449-EFEITO!$M$449*EFEITO!$Z$449</f>
        <v>-62.904280338192052</v>
      </c>
      <c r="O449" s="55">
        <f>$L$449-EFEITO!$O$449*EFEITO!$AA$449</f>
        <v>-32.483144458393269</v>
      </c>
      <c r="P449" s="39"/>
      <c r="Q449" s="39"/>
      <c r="R449" s="39"/>
      <c r="S449" s="39"/>
      <c r="T449" s="39"/>
      <c r="U449" s="39"/>
      <c r="V449" s="39"/>
      <c r="W449" s="39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1.25" customHeight="1" x14ac:dyDescent="0.2">
      <c r="A450" s="35" t="s">
        <v>28</v>
      </c>
      <c r="B450" s="35" t="s">
        <v>40</v>
      </c>
      <c r="C450" s="35" t="s">
        <v>23</v>
      </c>
      <c r="D450" s="35" t="s">
        <v>41</v>
      </c>
      <c r="E450" s="35" t="s">
        <v>25</v>
      </c>
      <c r="F450" s="35" t="s">
        <v>25</v>
      </c>
      <c r="G450" s="35" t="s">
        <v>25</v>
      </c>
      <c r="H450" s="35" t="s">
        <v>25</v>
      </c>
      <c r="I450" s="54">
        <v>44409</v>
      </c>
      <c r="J450" s="55">
        <f>EFEITO!$J$450*EFEITO!$Y$277</f>
        <v>0</v>
      </c>
      <c r="K450" s="55">
        <f ca="1">EFEITO!$L$450*EFEITO!$Z$277</f>
        <v>49882.889408250259</v>
      </c>
      <c r="L450" s="55">
        <f>EFEITO!$N$450*EFEITO!$AA$277</f>
        <v>25759.027747217653</v>
      </c>
      <c r="M450" s="55">
        <f>$J$450-EFEITO!$K$450*EFEITO!$Y$450</f>
        <v>0</v>
      </c>
      <c r="N450" s="55">
        <f ca="1">$K$450-EFEITO!$M$450*EFEITO!$Z$450</f>
        <v>2992.9733644950174</v>
      </c>
      <c r="O450" s="55">
        <f>$L$450-EFEITO!$O$450*EFEITO!$AA$450</f>
        <v>1545.5416648330611</v>
      </c>
      <c r="P450" s="39"/>
      <c r="Q450" s="39"/>
      <c r="R450" s="39"/>
      <c r="S450" s="39"/>
      <c r="T450" s="39"/>
      <c r="U450" s="39"/>
      <c r="V450" s="39"/>
      <c r="W450" s="39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1.25" customHeight="1" x14ac:dyDescent="0.2">
      <c r="A451" s="35" t="s">
        <v>28</v>
      </c>
      <c r="B451" s="35" t="s">
        <v>40</v>
      </c>
      <c r="C451" s="35" t="s">
        <v>23</v>
      </c>
      <c r="D451" s="35" t="s">
        <v>41</v>
      </c>
      <c r="E451" s="35" t="s">
        <v>25</v>
      </c>
      <c r="F451" s="35" t="s">
        <v>25</v>
      </c>
      <c r="G451" s="35" t="s">
        <v>25</v>
      </c>
      <c r="H451" s="35" t="s">
        <v>25</v>
      </c>
      <c r="I451" s="54">
        <v>44409</v>
      </c>
      <c r="J451" s="55">
        <f>EFEITO!$J$451*EFEITO!$Y$277</f>
        <v>0</v>
      </c>
      <c r="K451" s="55">
        <f ca="1">EFEITO!$L$451*EFEITO!$Z$277</f>
        <v>-417.11772676558178</v>
      </c>
      <c r="L451" s="55">
        <f>EFEITO!$N$451*EFEITO!$AA$277</f>
        <v>-215.39544370968025</v>
      </c>
      <c r="M451" s="55">
        <f>$J$451-EFEITO!$K$451*EFEITO!$Y$451</f>
        <v>0</v>
      </c>
      <c r="N451" s="55">
        <f ca="1">$K$451-EFEITO!$M$451*EFEITO!$Z$451</f>
        <v>-25.02706360593487</v>
      </c>
      <c r="O451" s="55">
        <f>$L$451-EFEITO!$O$451*EFEITO!$AA$451</f>
        <v>-12.92372662258083</v>
      </c>
      <c r="P451" s="39"/>
      <c r="Q451" s="39"/>
      <c r="R451" s="39"/>
      <c r="S451" s="39"/>
      <c r="T451" s="39"/>
      <c r="U451" s="39"/>
      <c r="V451" s="39"/>
      <c r="W451" s="39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1.25" customHeight="1" x14ac:dyDescent="0.2">
      <c r="A452" s="35" t="s">
        <v>21</v>
      </c>
      <c r="B452" s="35" t="s">
        <v>40</v>
      </c>
      <c r="C452" s="35" t="s">
        <v>23</v>
      </c>
      <c r="D452" s="35" t="s">
        <v>41</v>
      </c>
      <c r="E452" s="35" t="s">
        <v>25</v>
      </c>
      <c r="F452" s="35" t="s">
        <v>25</v>
      </c>
      <c r="G452" s="35" t="s">
        <v>25</v>
      </c>
      <c r="H452" s="35" t="s">
        <v>25</v>
      </c>
      <c r="I452" s="54">
        <v>44440</v>
      </c>
      <c r="J452" s="55">
        <f>EFEITO!$J$452*EFEITO!$Y$277</f>
        <v>0</v>
      </c>
      <c r="K452" s="55">
        <f ca="1">EFEITO!$L$452*EFEITO!$Z$277</f>
        <v>1244229.0046663855</v>
      </c>
      <c r="L452" s="55">
        <f>EFEITO!$N$452*EFEITO!$AA$277</f>
        <v>642507.47772027762</v>
      </c>
      <c r="M452" s="55">
        <f>$J$452-EFEITO!$K$452*EFEITO!$Y$452</f>
        <v>0</v>
      </c>
      <c r="N452" s="55">
        <f ca="1">$K$452-EFEITO!$M$452*EFEITO!$Z$452</f>
        <v>74653.740279983263</v>
      </c>
      <c r="O452" s="55">
        <f>$L$452-EFEITO!$O$452*EFEITO!$AA$452</f>
        <v>38550.448663216666</v>
      </c>
      <c r="P452" s="39"/>
      <c r="Q452" s="39"/>
      <c r="R452" s="39"/>
      <c r="S452" s="39"/>
      <c r="T452" s="39"/>
      <c r="U452" s="39"/>
      <c r="V452" s="39"/>
      <c r="W452" s="39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1.25" customHeight="1" x14ac:dyDescent="0.2">
      <c r="A453" s="35" t="s">
        <v>27</v>
      </c>
      <c r="B453" s="35" t="s">
        <v>40</v>
      </c>
      <c r="C453" s="35" t="s">
        <v>23</v>
      </c>
      <c r="D453" s="35" t="s">
        <v>41</v>
      </c>
      <c r="E453" s="35" t="s">
        <v>25</v>
      </c>
      <c r="F453" s="35" t="s">
        <v>25</v>
      </c>
      <c r="G453" s="35" t="s">
        <v>25</v>
      </c>
      <c r="H453" s="35" t="s">
        <v>25</v>
      </c>
      <c r="I453" s="54">
        <v>44440</v>
      </c>
      <c r="J453" s="55">
        <f>EFEITO!$J$453*EFEITO!$Y$277</f>
        <v>0</v>
      </c>
      <c r="K453" s="55">
        <f ca="1">EFEITO!$L$453*EFEITO!$Z$277</f>
        <v>-428.33843754407116</v>
      </c>
      <c r="L453" s="55">
        <f>EFEITO!$N$453*EFEITO!$AA$277</f>
        <v>-221.18970710771842</v>
      </c>
      <c r="M453" s="55">
        <f>$J$453-EFEITO!$K$453*EFEITO!$Y$453</f>
        <v>0</v>
      </c>
      <c r="N453" s="55">
        <f ca="1">$K$453-EFEITO!$M$453*EFEITO!$Z$453</f>
        <v>-25.700306252644282</v>
      </c>
      <c r="O453" s="55">
        <f>$L$453-EFEITO!$O$453*EFEITO!$AA$453</f>
        <v>-13.271382426463106</v>
      </c>
      <c r="P453" s="39"/>
      <c r="Q453" s="39"/>
      <c r="R453" s="39"/>
      <c r="S453" s="39"/>
      <c r="T453" s="39"/>
      <c r="U453" s="39"/>
      <c r="V453" s="39"/>
      <c r="W453" s="39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1.25" customHeight="1" x14ac:dyDescent="0.2">
      <c r="A454" s="35" t="s">
        <v>28</v>
      </c>
      <c r="B454" s="35" t="s">
        <v>40</v>
      </c>
      <c r="C454" s="35" t="s">
        <v>23</v>
      </c>
      <c r="D454" s="35" t="s">
        <v>41</v>
      </c>
      <c r="E454" s="35" t="s">
        <v>25</v>
      </c>
      <c r="F454" s="35" t="s">
        <v>25</v>
      </c>
      <c r="G454" s="35" t="s">
        <v>25</v>
      </c>
      <c r="H454" s="35" t="s">
        <v>25</v>
      </c>
      <c r="I454" s="54">
        <v>44440</v>
      </c>
      <c r="J454" s="55">
        <f>EFEITO!$J$454*EFEITO!$Y$277</f>
        <v>0</v>
      </c>
      <c r="K454" s="55">
        <f ca="1">EFEITO!$L$454*EFEITO!$Z$277</f>
        <v>47027.462443619916</v>
      </c>
      <c r="L454" s="55">
        <f>EFEITO!$N$454*EFEITO!$AA$277</f>
        <v>24284.513674664722</v>
      </c>
      <c r="M454" s="55">
        <f>$J$454-EFEITO!$K$454*EFEITO!$Y$454</f>
        <v>0</v>
      </c>
      <c r="N454" s="55">
        <f ca="1">$K$454-EFEITO!$M$454*EFEITO!$Z$454</f>
        <v>2821.6477466172</v>
      </c>
      <c r="O454" s="55">
        <f>$L$454-EFEITO!$O$454*EFEITO!$AA$454</f>
        <v>1457.0708204798866</v>
      </c>
      <c r="P454" s="39"/>
      <c r="Q454" s="39"/>
      <c r="R454" s="39"/>
      <c r="S454" s="39"/>
      <c r="T454" s="39"/>
      <c r="U454" s="39"/>
      <c r="V454" s="39"/>
      <c r="W454" s="39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1.25" customHeight="1" x14ac:dyDescent="0.2">
      <c r="A455" s="35" t="s">
        <v>28</v>
      </c>
      <c r="B455" s="35" t="s">
        <v>40</v>
      </c>
      <c r="C455" s="35" t="s">
        <v>23</v>
      </c>
      <c r="D455" s="35" t="s">
        <v>41</v>
      </c>
      <c r="E455" s="35" t="s">
        <v>25</v>
      </c>
      <c r="F455" s="35" t="s">
        <v>25</v>
      </c>
      <c r="G455" s="35" t="s">
        <v>25</v>
      </c>
      <c r="H455" s="35" t="s">
        <v>25</v>
      </c>
      <c r="I455" s="54">
        <v>44440</v>
      </c>
      <c r="J455" s="55">
        <f>EFEITO!$J$455*EFEITO!$Y$277</f>
        <v>0</v>
      </c>
      <c r="K455" s="55">
        <f ca="1">EFEITO!$L$455*EFEITO!$Z$277</f>
        <v>-346.86632015243117</v>
      </c>
      <c r="L455" s="55">
        <f>EFEITO!$N$455*EFEITO!$AA$277</f>
        <v>-179.11831634804989</v>
      </c>
      <c r="M455" s="55">
        <f>$J$455-EFEITO!$K$455*EFEITO!$Y$455</f>
        <v>0</v>
      </c>
      <c r="N455" s="55">
        <f ca="1">$K$455-EFEITO!$M$455*EFEITO!$Z$455</f>
        <v>-20.811979209145875</v>
      </c>
      <c r="O455" s="55">
        <f>$L$455-EFEITO!$O$455*EFEITO!$AA$455</f>
        <v>-10.74709898088301</v>
      </c>
      <c r="P455" s="39"/>
      <c r="Q455" s="39"/>
      <c r="R455" s="39"/>
      <c r="S455" s="39"/>
      <c r="T455" s="39"/>
      <c r="U455" s="39"/>
      <c r="V455" s="39"/>
      <c r="W455" s="39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1.25" customHeight="1" x14ac:dyDescent="0.2">
      <c r="A456" s="35" t="s">
        <v>21</v>
      </c>
      <c r="B456" s="35" t="s">
        <v>40</v>
      </c>
      <c r="C456" s="35" t="s">
        <v>23</v>
      </c>
      <c r="D456" s="35" t="s">
        <v>41</v>
      </c>
      <c r="E456" s="35" t="s">
        <v>25</v>
      </c>
      <c r="F456" s="35" t="s">
        <v>25</v>
      </c>
      <c r="G456" s="35" t="s">
        <v>25</v>
      </c>
      <c r="H456" s="35" t="s">
        <v>25</v>
      </c>
      <c r="I456" s="54">
        <v>44470</v>
      </c>
      <c r="J456" s="55">
        <f>EFEITO!$J$456*EFEITO!$Y$277</f>
        <v>0</v>
      </c>
      <c r="K456" s="55">
        <f ca="1">EFEITO!$L$456*EFEITO!$Z$277</f>
        <v>1308678.3280930764</v>
      </c>
      <c r="L456" s="55">
        <f>EFEITO!$N$456*EFEITO!$AA$277</f>
        <v>675788.46705613111</v>
      </c>
      <c r="M456" s="55">
        <f>$J$456-EFEITO!$K$456*EFEITO!$Y$456</f>
        <v>0</v>
      </c>
      <c r="N456" s="55">
        <f ca="1">$K$456-EFEITO!$M$456*EFEITO!$Z$456</f>
        <v>78520.699685584754</v>
      </c>
      <c r="O456" s="55">
        <f>$L$456-EFEITO!$O$456*EFEITO!$AA$456</f>
        <v>40547.308023367892</v>
      </c>
      <c r="P456" s="39"/>
      <c r="Q456" s="39"/>
      <c r="R456" s="39"/>
      <c r="S456" s="39"/>
      <c r="T456" s="39"/>
      <c r="U456" s="39"/>
      <c r="V456" s="39"/>
      <c r="W456" s="39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1.25" customHeight="1" x14ac:dyDescent="0.2">
      <c r="A457" s="35" t="s">
        <v>27</v>
      </c>
      <c r="B457" s="35" t="s">
        <v>40</v>
      </c>
      <c r="C457" s="35" t="s">
        <v>23</v>
      </c>
      <c r="D457" s="35" t="s">
        <v>41</v>
      </c>
      <c r="E457" s="35" t="s">
        <v>25</v>
      </c>
      <c r="F457" s="35" t="s">
        <v>25</v>
      </c>
      <c r="G457" s="35" t="s">
        <v>25</v>
      </c>
      <c r="H457" s="35" t="s">
        <v>25</v>
      </c>
      <c r="I457" s="54">
        <v>44470</v>
      </c>
      <c r="J457" s="55">
        <f>EFEITO!$J$457*EFEITO!$Y$277</f>
        <v>0</v>
      </c>
      <c r="K457" s="55">
        <f ca="1">EFEITO!$L$457*EFEITO!$Z$277</f>
        <v>-1502.5995303368327</v>
      </c>
      <c r="L457" s="55">
        <f>EFEITO!$N$457*EFEITO!$AA$277</f>
        <v>-775.92744634598262</v>
      </c>
      <c r="M457" s="55">
        <f>$J$457-EFEITO!$K$457*EFEITO!$Y$457</f>
        <v>0</v>
      </c>
      <c r="N457" s="55">
        <f ca="1">$K$457-EFEITO!$M$457*EFEITO!$Z$457</f>
        <v>-90.15597182020997</v>
      </c>
      <c r="O457" s="55">
        <f>$L$457-EFEITO!$O$457*EFEITO!$AA$457</f>
        <v>-46.555646780758934</v>
      </c>
      <c r="P457" s="39"/>
      <c r="Q457" s="39"/>
      <c r="R457" s="39"/>
      <c r="S457" s="39"/>
      <c r="T457" s="39"/>
      <c r="U457" s="39"/>
      <c r="V457" s="39"/>
      <c r="W457" s="39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1.25" customHeight="1" x14ac:dyDescent="0.2">
      <c r="A458" s="35" t="s">
        <v>28</v>
      </c>
      <c r="B458" s="35" t="s">
        <v>40</v>
      </c>
      <c r="C458" s="35" t="s">
        <v>23</v>
      </c>
      <c r="D458" s="35" t="s">
        <v>41</v>
      </c>
      <c r="E458" s="35" t="s">
        <v>25</v>
      </c>
      <c r="F458" s="35" t="s">
        <v>25</v>
      </c>
      <c r="G458" s="35" t="s">
        <v>25</v>
      </c>
      <c r="H458" s="35" t="s">
        <v>25</v>
      </c>
      <c r="I458" s="54">
        <v>44470</v>
      </c>
      <c r="J458" s="55">
        <f>EFEITO!$J$458*EFEITO!$Y$277</f>
        <v>0</v>
      </c>
      <c r="K458" s="55">
        <f ca="1">EFEITO!$L$458*EFEITO!$Z$277</f>
        <v>40844.850804672285</v>
      </c>
      <c r="L458" s="55">
        <f>EFEITO!$N$458*EFEITO!$AA$277</f>
        <v>21091.874542345682</v>
      </c>
      <c r="M458" s="55">
        <f>$J$458-EFEITO!$K$458*EFEITO!$Y$458</f>
        <v>0</v>
      </c>
      <c r="N458" s="55">
        <f ca="1">$K$458-EFEITO!$M$458*EFEITO!$Z$458</f>
        <v>2450.691048280336</v>
      </c>
      <c r="O458" s="55">
        <f>$L$458-EFEITO!$O$458*EFEITO!$AA$458</f>
        <v>1265.5124725407404</v>
      </c>
      <c r="P458" s="39"/>
      <c r="Q458" s="39"/>
      <c r="R458" s="39"/>
      <c r="S458" s="39"/>
      <c r="T458" s="39"/>
      <c r="U458" s="39"/>
      <c r="V458" s="39"/>
      <c r="W458" s="39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1.25" customHeight="1" x14ac:dyDescent="0.2">
      <c r="A459" s="35" t="s">
        <v>21</v>
      </c>
      <c r="B459" s="35" t="s">
        <v>40</v>
      </c>
      <c r="C459" s="35" t="s">
        <v>23</v>
      </c>
      <c r="D459" s="35" t="s">
        <v>41</v>
      </c>
      <c r="E459" s="35" t="s">
        <v>25</v>
      </c>
      <c r="F459" s="35" t="s">
        <v>25</v>
      </c>
      <c r="G459" s="35" t="s">
        <v>25</v>
      </c>
      <c r="H459" s="35" t="s">
        <v>25</v>
      </c>
      <c r="I459" s="54">
        <v>44501</v>
      </c>
      <c r="J459" s="55">
        <f>EFEITO!$J$459*EFEITO!$Y$277</f>
        <v>0</v>
      </c>
      <c r="K459" s="55">
        <f ca="1">EFEITO!$L$459*EFEITO!$Z$277</f>
        <v>1851517.289133766</v>
      </c>
      <c r="L459" s="55">
        <f>EFEITO!$N$459*EFEITO!$AA$277</f>
        <v>956105.10519789124</v>
      </c>
      <c r="M459" s="55">
        <f>$J$459-EFEITO!$K$459*EFEITO!$Y$459</f>
        <v>0</v>
      </c>
      <c r="N459" s="55">
        <f ca="1">$K$459-EFEITO!$M$459*EFEITO!$Z$459</f>
        <v>111091.03734802594</v>
      </c>
      <c r="O459" s="55">
        <f>$L$459-EFEITO!$O$459*EFEITO!$AA$459</f>
        <v>57366.306311873486</v>
      </c>
      <c r="P459" s="39"/>
      <c r="Q459" s="39"/>
      <c r="R459" s="39"/>
      <c r="S459" s="39"/>
      <c r="T459" s="39"/>
      <c r="U459" s="39"/>
      <c r="V459" s="39"/>
      <c r="W459" s="39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1.25" customHeight="1" x14ac:dyDescent="0.2">
      <c r="A460" s="35" t="s">
        <v>27</v>
      </c>
      <c r="B460" s="35" t="s">
        <v>40</v>
      </c>
      <c r="C460" s="35" t="s">
        <v>23</v>
      </c>
      <c r="D460" s="35" t="s">
        <v>41</v>
      </c>
      <c r="E460" s="35" t="s">
        <v>25</v>
      </c>
      <c r="F460" s="35" t="s">
        <v>25</v>
      </c>
      <c r="G460" s="35" t="s">
        <v>25</v>
      </c>
      <c r="H460" s="35" t="s">
        <v>25</v>
      </c>
      <c r="I460" s="54">
        <v>44501</v>
      </c>
      <c r="J460" s="55">
        <f>EFEITO!$J$460*EFEITO!$Y$277</f>
        <v>0</v>
      </c>
      <c r="K460" s="55">
        <f ca="1">EFEITO!$L$460*EFEITO!$Z$277</f>
        <v>-3957.4959058741515</v>
      </c>
      <c r="L460" s="55">
        <f>EFEITO!$N$460*EFEITO!$AA$277</f>
        <v>-2043.6115080385102</v>
      </c>
      <c r="M460" s="55">
        <f>$J$460-EFEITO!$K$460*EFEITO!$Y$460</f>
        <v>0</v>
      </c>
      <c r="N460" s="55">
        <f ca="1">$K$460-EFEITO!$M$460*EFEITO!$Z$460</f>
        <v>-237.44975435244896</v>
      </c>
      <c r="O460" s="55">
        <f>$L$460-EFEITO!$O$460*EFEITO!$AA$460</f>
        <v>-122.61669048231079</v>
      </c>
      <c r="P460" s="39"/>
      <c r="Q460" s="39"/>
      <c r="R460" s="39"/>
      <c r="S460" s="39"/>
      <c r="T460" s="39"/>
      <c r="U460" s="39"/>
      <c r="V460" s="39"/>
      <c r="W460" s="39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1.25" customHeight="1" x14ac:dyDescent="0.2">
      <c r="A461" s="35" t="s">
        <v>28</v>
      </c>
      <c r="B461" s="35" t="s">
        <v>40</v>
      </c>
      <c r="C461" s="35" t="s">
        <v>23</v>
      </c>
      <c r="D461" s="35" t="s">
        <v>41</v>
      </c>
      <c r="E461" s="35" t="s">
        <v>25</v>
      </c>
      <c r="F461" s="35" t="s">
        <v>25</v>
      </c>
      <c r="G461" s="35" t="s">
        <v>25</v>
      </c>
      <c r="H461" s="35" t="s">
        <v>25</v>
      </c>
      <c r="I461" s="54">
        <v>44501</v>
      </c>
      <c r="J461" s="55">
        <f>EFEITO!$J$461*EFEITO!$Y$277</f>
        <v>0</v>
      </c>
      <c r="K461" s="55">
        <f ca="1">EFEITO!$L$461*EFEITO!$Z$277</f>
        <v>52692.457815785914</v>
      </c>
      <c r="L461" s="55">
        <f>EFEITO!$N$461*EFEITO!$AA$277</f>
        <v>27209.860917187303</v>
      </c>
      <c r="M461" s="55">
        <f>$J$461-EFEITO!$K$461*EFEITO!$Y$461</f>
        <v>0</v>
      </c>
      <c r="N461" s="55">
        <f ca="1">$K$461-EFEITO!$M$461*EFEITO!$Z$461</f>
        <v>3161.5474689471521</v>
      </c>
      <c r="O461" s="55">
        <f>$L$461-EFEITO!$O$461*EFEITO!$AA$461</f>
        <v>1632.5916550312395</v>
      </c>
      <c r="P461" s="39"/>
      <c r="Q461" s="39"/>
      <c r="R461" s="39"/>
      <c r="S461" s="39"/>
      <c r="T461" s="39"/>
      <c r="U461" s="39"/>
      <c r="V461" s="39"/>
      <c r="W461" s="39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1.25" customHeight="1" x14ac:dyDescent="0.2">
      <c r="A462" s="35" t="s">
        <v>21</v>
      </c>
      <c r="B462" s="35" t="s">
        <v>40</v>
      </c>
      <c r="C462" s="35" t="s">
        <v>23</v>
      </c>
      <c r="D462" s="35" t="s">
        <v>41</v>
      </c>
      <c r="E462" s="35" t="s">
        <v>25</v>
      </c>
      <c r="F462" s="35" t="s">
        <v>25</v>
      </c>
      <c r="G462" s="35" t="s">
        <v>25</v>
      </c>
      <c r="H462" s="35" t="s">
        <v>25</v>
      </c>
      <c r="I462" s="54">
        <v>44531</v>
      </c>
      <c r="J462" s="55">
        <f>EFEITO!$J$462*EFEITO!$Y$277</f>
        <v>0</v>
      </c>
      <c r="K462" s="55">
        <f ca="1">EFEITO!$L$462*EFEITO!$Z$277</f>
        <v>2288555.1925300993</v>
      </c>
      <c r="L462" s="55">
        <f>EFEITO!$N$462*EFEITO!$AA$277</f>
        <v>1181787.1299105582</v>
      </c>
      <c r="M462" s="55">
        <f>$J$462-EFEITO!$K$462*EFEITO!$Y$462</f>
        <v>0</v>
      </c>
      <c r="N462" s="55">
        <f ca="1">$K$462-EFEITO!$M$462*EFEITO!$Z$462</f>
        <v>137313.31155180605</v>
      </c>
      <c r="O462" s="55">
        <f>$L$462-EFEITO!$O$462*EFEITO!$AA$462</f>
        <v>70907.22779463348</v>
      </c>
      <c r="P462" s="39"/>
      <c r="Q462" s="39"/>
      <c r="R462" s="39"/>
      <c r="S462" s="39"/>
      <c r="T462" s="39"/>
      <c r="U462" s="39"/>
      <c r="V462" s="39"/>
      <c r="W462" s="39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1.25" customHeight="1" x14ac:dyDescent="0.2">
      <c r="A463" s="35" t="s">
        <v>27</v>
      </c>
      <c r="B463" s="35" t="s">
        <v>40</v>
      </c>
      <c r="C463" s="35" t="s">
        <v>23</v>
      </c>
      <c r="D463" s="35" t="s">
        <v>41</v>
      </c>
      <c r="E463" s="35" t="s">
        <v>25</v>
      </c>
      <c r="F463" s="35" t="s">
        <v>25</v>
      </c>
      <c r="G463" s="35" t="s">
        <v>25</v>
      </c>
      <c r="H463" s="35" t="s">
        <v>25</v>
      </c>
      <c r="I463" s="54">
        <v>44531</v>
      </c>
      <c r="J463" s="55">
        <f>EFEITO!$J$463*EFEITO!$Y$277</f>
        <v>0</v>
      </c>
      <c r="K463" s="55">
        <f ca="1">EFEITO!$L$463*EFEITO!$Z$277</f>
        <v>-989.37397646853788</v>
      </c>
      <c r="L463" s="55">
        <f>EFEITO!$N$463*EFEITO!$AA$277</f>
        <v>-510.90287700962756</v>
      </c>
      <c r="M463" s="55">
        <f>$J$463-EFEITO!$K$463*EFEITO!$Y$463</f>
        <v>0</v>
      </c>
      <c r="N463" s="55">
        <f ca="1">$K$463-EFEITO!$M$463*EFEITO!$Z$463</f>
        <v>-59.362438588112241</v>
      </c>
      <c r="O463" s="55">
        <f>$L$463-EFEITO!$O$463*EFEITO!$AA$463</f>
        <v>-30.654172620577697</v>
      </c>
      <c r="P463" s="39"/>
      <c r="Q463" s="39"/>
      <c r="R463" s="39"/>
      <c r="S463" s="39"/>
      <c r="T463" s="39"/>
      <c r="U463" s="39"/>
      <c r="V463" s="39"/>
      <c r="W463" s="39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1.25" customHeight="1" x14ac:dyDescent="0.2">
      <c r="A464" s="35" t="s">
        <v>28</v>
      </c>
      <c r="B464" s="35" t="s">
        <v>40</v>
      </c>
      <c r="C464" s="35" t="s">
        <v>23</v>
      </c>
      <c r="D464" s="35" t="s">
        <v>41</v>
      </c>
      <c r="E464" s="35" t="s">
        <v>25</v>
      </c>
      <c r="F464" s="35" t="s">
        <v>25</v>
      </c>
      <c r="G464" s="35" t="s">
        <v>25</v>
      </c>
      <c r="H464" s="35" t="s">
        <v>25</v>
      </c>
      <c r="I464" s="54">
        <v>44531</v>
      </c>
      <c r="J464" s="55">
        <f>EFEITO!$J$464*EFEITO!$Y$277</f>
        <v>0</v>
      </c>
      <c r="K464" s="55">
        <f ca="1">EFEITO!$L$464*EFEITO!$Z$277</f>
        <v>79245.050230605004</v>
      </c>
      <c r="L464" s="55">
        <f>EFEITO!$N$464*EFEITO!$AA$277</f>
        <v>40921.355437405742</v>
      </c>
      <c r="M464" s="55">
        <f>$J$464-EFEITO!$K$464*EFEITO!$Y$464</f>
        <v>0</v>
      </c>
      <c r="N464" s="55">
        <f ca="1">$K$464-EFEITO!$M$464*EFEITO!$Z$464</f>
        <v>4754.7030138362898</v>
      </c>
      <c r="O464" s="55">
        <f>$L$464-EFEITO!$O$464*EFEITO!$AA$464</f>
        <v>2455.2813262443451</v>
      </c>
      <c r="P464" s="39"/>
      <c r="Q464" s="39"/>
      <c r="R464" s="39"/>
      <c r="S464" s="39"/>
      <c r="T464" s="39"/>
      <c r="U464" s="39"/>
      <c r="V464" s="39"/>
      <c r="W464" s="39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1.25" customHeight="1" x14ac:dyDescent="0.2">
      <c r="A465" s="35" t="s">
        <v>21</v>
      </c>
      <c r="B465" s="35" t="s">
        <v>40</v>
      </c>
      <c r="C465" s="35" t="s">
        <v>23</v>
      </c>
      <c r="D465" s="35" t="s">
        <v>41</v>
      </c>
      <c r="E465" s="35" t="s">
        <v>25</v>
      </c>
      <c r="F465" s="35" t="s">
        <v>25</v>
      </c>
      <c r="G465" s="35" t="s">
        <v>25</v>
      </c>
      <c r="H465" s="35" t="s">
        <v>25</v>
      </c>
      <c r="I465" s="54">
        <v>44562</v>
      </c>
      <c r="J465" s="55">
        <f>EFEITO!$J$465*EFEITO!$Y$277</f>
        <v>0</v>
      </c>
      <c r="K465" s="55">
        <f ca="1">EFEITO!$L$465*EFEITO!$Z$277</f>
        <v>2984030.94586155</v>
      </c>
      <c r="L465" s="55">
        <f>EFEITO!$N$465*EFEITO!$AA$277</f>
        <v>1540923.8888293183</v>
      </c>
      <c r="M465" s="55">
        <f>$J$465-EFEITO!$K$465*EFEITO!$Y$465</f>
        <v>0</v>
      </c>
      <c r="N465" s="55">
        <f ca="1">$K$465-EFEITO!$M$465*EFEITO!$Z$465</f>
        <v>179041.85675169295</v>
      </c>
      <c r="O465" s="55">
        <f>$L$465-EFEITO!$O$465*EFEITO!$AA$465</f>
        <v>92455.433329759166</v>
      </c>
      <c r="P465" s="39"/>
      <c r="Q465" s="39"/>
      <c r="R465" s="39"/>
      <c r="S465" s="39"/>
      <c r="T465" s="39"/>
      <c r="U465" s="39"/>
      <c r="V465" s="39"/>
      <c r="W465" s="39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1.25" customHeight="1" x14ac:dyDescent="0.2">
      <c r="A466" s="35" t="s">
        <v>27</v>
      </c>
      <c r="B466" s="35" t="s">
        <v>40</v>
      </c>
      <c r="C466" s="35" t="s">
        <v>23</v>
      </c>
      <c r="D466" s="35" t="s">
        <v>41</v>
      </c>
      <c r="E466" s="35" t="s">
        <v>25</v>
      </c>
      <c r="F466" s="35" t="s">
        <v>25</v>
      </c>
      <c r="G466" s="35" t="s">
        <v>25</v>
      </c>
      <c r="H466" s="35" t="s">
        <v>25</v>
      </c>
      <c r="I466" s="54">
        <v>44562</v>
      </c>
      <c r="J466" s="55">
        <f>EFEITO!$J$466*EFEITO!$Y$277</f>
        <v>0</v>
      </c>
      <c r="K466" s="55">
        <f ca="1">EFEITO!$L$466*EFEITO!$Z$277</f>
        <v>-103.42568195824953</v>
      </c>
      <c r="L466" s="55">
        <f>EFEITO!$N$466*EFEITO!$AA$277</f>
        <v>-53.407993060178022</v>
      </c>
      <c r="M466" s="55">
        <f>$J$466-EFEITO!$K$466*EFEITO!$Y$466</f>
        <v>0</v>
      </c>
      <c r="N466" s="55">
        <f ca="1">$K$466-EFEITO!$M$466*EFEITO!$Z$466</f>
        <v>-6.2055409174949716</v>
      </c>
      <c r="O466" s="55">
        <f>$L$466-EFEITO!$O$466*EFEITO!$AA$466</f>
        <v>-3.2044795836106843</v>
      </c>
      <c r="P466" s="39"/>
      <c r="Q466" s="39"/>
      <c r="R466" s="39"/>
      <c r="S466" s="39"/>
      <c r="T466" s="39"/>
      <c r="U466" s="39"/>
      <c r="V466" s="39"/>
      <c r="W466" s="39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1.25" customHeight="1" x14ac:dyDescent="0.2">
      <c r="A467" s="35" t="s">
        <v>28</v>
      </c>
      <c r="B467" s="35" t="s">
        <v>40</v>
      </c>
      <c r="C467" s="35" t="s">
        <v>23</v>
      </c>
      <c r="D467" s="35" t="s">
        <v>41</v>
      </c>
      <c r="E467" s="35" t="s">
        <v>25</v>
      </c>
      <c r="F467" s="35" t="s">
        <v>25</v>
      </c>
      <c r="G467" s="35" t="s">
        <v>25</v>
      </c>
      <c r="H467" s="35" t="s">
        <v>25</v>
      </c>
      <c r="I467" s="54">
        <v>44562</v>
      </c>
      <c r="J467" s="55">
        <f>EFEITO!$J$467*EFEITO!$Y$277</f>
        <v>0</v>
      </c>
      <c r="K467" s="55">
        <f ca="1">EFEITO!$L$467*EFEITO!$Z$277</f>
        <v>111202.122384733</v>
      </c>
      <c r="L467" s="55">
        <f>EFEITO!$N$467*EFEITO!$AA$277</f>
        <v>57423.669519514049</v>
      </c>
      <c r="M467" s="55">
        <f>$J$467-EFEITO!$K$467*EFEITO!$Y$467</f>
        <v>0</v>
      </c>
      <c r="N467" s="55">
        <f ca="1">$K$467-EFEITO!$M$467*EFEITO!$Z$467</f>
        <v>6672.1273430839792</v>
      </c>
      <c r="O467" s="55">
        <f>$L$467-EFEITO!$O$467*EFEITO!$AA$467</f>
        <v>3445.4201711708447</v>
      </c>
      <c r="P467" s="39"/>
      <c r="Q467" s="39"/>
      <c r="R467" s="39"/>
      <c r="S467" s="39"/>
      <c r="T467" s="39"/>
      <c r="U467" s="39"/>
      <c r="V467" s="39"/>
      <c r="W467" s="39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1.25" customHeight="1" x14ac:dyDescent="0.2">
      <c r="A468" s="35" t="s">
        <v>21</v>
      </c>
      <c r="B468" s="35" t="s">
        <v>40</v>
      </c>
      <c r="C468" s="35" t="s">
        <v>23</v>
      </c>
      <c r="D468" s="35" t="s">
        <v>41</v>
      </c>
      <c r="E468" s="35" t="s">
        <v>25</v>
      </c>
      <c r="F468" s="35" t="s">
        <v>25</v>
      </c>
      <c r="G468" s="35" t="s">
        <v>25</v>
      </c>
      <c r="H468" s="35" t="s">
        <v>25</v>
      </c>
      <c r="I468" s="54">
        <v>44593</v>
      </c>
      <c r="J468" s="55">
        <f>EFEITO!$J$468*EFEITO!$Y$277</f>
        <v>0</v>
      </c>
      <c r="K468" s="55">
        <f ca="1">EFEITO!$L$468*EFEITO!$Z$277</f>
        <v>2723679.7208102043</v>
      </c>
      <c r="L468" s="55">
        <f>EFEITO!$N$468*EFEITO!$AA$277</f>
        <v>1406481.1067516119</v>
      </c>
      <c r="M468" s="55">
        <f>$J$468-EFEITO!$K$468*EFEITO!$Y$468</f>
        <v>0</v>
      </c>
      <c r="N468" s="55">
        <f ca="1">$K$468-EFEITO!$M$468*EFEITO!$Z$468</f>
        <v>163420.78324861219</v>
      </c>
      <c r="O468" s="55">
        <f>$L$468-EFEITO!$O$468*EFEITO!$AA$468</f>
        <v>84388.866405096836</v>
      </c>
      <c r="P468" s="39"/>
      <c r="Q468" s="39"/>
      <c r="R468" s="39"/>
      <c r="S468" s="39"/>
      <c r="T468" s="39"/>
      <c r="U468" s="39"/>
      <c r="V468" s="39"/>
      <c r="W468" s="39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1.25" customHeight="1" x14ac:dyDescent="0.2">
      <c r="A469" s="35" t="s">
        <v>28</v>
      </c>
      <c r="B469" s="35" t="s">
        <v>40</v>
      </c>
      <c r="C469" s="35" t="s">
        <v>23</v>
      </c>
      <c r="D469" s="35" t="s">
        <v>41</v>
      </c>
      <c r="E469" s="35" t="s">
        <v>25</v>
      </c>
      <c r="F469" s="35" t="s">
        <v>25</v>
      </c>
      <c r="G469" s="35" t="s">
        <v>25</v>
      </c>
      <c r="H469" s="35" t="s">
        <v>25</v>
      </c>
      <c r="I469" s="54">
        <v>44593</v>
      </c>
      <c r="J469" s="55">
        <f>EFEITO!$J$469*EFEITO!$Y$277</f>
        <v>0</v>
      </c>
      <c r="K469" s="55">
        <f ca="1">EFEITO!$L$469*EFEITO!$Z$277</f>
        <v>81910.212968991415</v>
      </c>
      <c r="L469" s="55">
        <f>EFEITO!$N$469*EFEITO!$AA$277</f>
        <v>42297.618956687591</v>
      </c>
      <c r="M469" s="55">
        <f>$J$469-EFEITO!$K$469*EFEITO!$Y$469</f>
        <v>0</v>
      </c>
      <c r="N469" s="55">
        <f ca="1">$K$469-EFEITO!$M$469*EFEITO!$Z$469</f>
        <v>4914.6127781394898</v>
      </c>
      <c r="O469" s="55">
        <f>$L$469-EFEITO!$O$469*EFEITO!$AA$469</f>
        <v>2537.8571374012536</v>
      </c>
      <c r="P469" s="39"/>
      <c r="Q469" s="39"/>
      <c r="R469" s="39"/>
      <c r="S469" s="39"/>
      <c r="T469" s="39"/>
      <c r="U469" s="39"/>
      <c r="V469" s="39"/>
      <c r="W469" s="39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1.25" customHeight="1" x14ac:dyDescent="0.2">
      <c r="A470" s="35" t="s">
        <v>21</v>
      </c>
      <c r="B470" s="35" t="s">
        <v>40</v>
      </c>
      <c r="C470" s="35" t="s">
        <v>23</v>
      </c>
      <c r="D470" s="35" t="s">
        <v>41</v>
      </c>
      <c r="E470" s="35" t="s">
        <v>25</v>
      </c>
      <c r="F470" s="35" t="s">
        <v>25</v>
      </c>
      <c r="G470" s="35" t="s">
        <v>25</v>
      </c>
      <c r="H470" s="35" t="s">
        <v>25</v>
      </c>
      <c r="I470" s="54">
        <v>44621</v>
      </c>
      <c r="J470" s="55">
        <f>EFEITO!$J$470*EFEITO!$Y$277</f>
        <v>0</v>
      </c>
      <c r="K470" s="55">
        <f ca="1">EFEITO!$L$470*EFEITO!$Z$277</f>
        <v>2183132.2240532786</v>
      </c>
      <c r="L470" s="55">
        <f>EFEITO!$N$470*EFEITO!$AA$277</f>
        <v>1127347.7579655296</v>
      </c>
      <c r="M470" s="55">
        <f>$J$470-EFEITO!$K$470*EFEITO!$Y$470</f>
        <v>0</v>
      </c>
      <c r="N470" s="55">
        <f ca="1">$K$470-EFEITO!$M$470*EFEITO!$Z$470</f>
        <v>130987.93344319682</v>
      </c>
      <c r="O470" s="55">
        <f>$L$470-EFEITO!$O$470*EFEITO!$AA$470</f>
        <v>67640.865477931919</v>
      </c>
      <c r="P470" s="39"/>
      <c r="Q470" s="39"/>
      <c r="R470" s="39"/>
      <c r="S470" s="39"/>
      <c r="T470" s="39"/>
      <c r="U470" s="39"/>
      <c r="V470" s="39"/>
      <c r="W470" s="39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1.25" customHeight="1" x14ac:dyDescent="0.2">
      <c r="A471" s="35" t="s">
        <v>27</v>
      </c>
      <c r="B471" s="35" t="s">
        <v>40</v>
      </c>
      <c r="C471" s="35" t="s">
        <v>23</v>
      </c>
      <c r="D471" s="35" t="s">
        <v>41</v>
      </c>
      <c r="E471" s="35" t="s">
        <v>25</v>
      </c>
      <c r="F471" s="35" t="s">
        <v>25</v>
      </c>
      <c r="G471" s="35" t="s">
        <v>25</v>
      </c>
      <c r="H471" s="35" t="s">
        <v>25</v>
      </c>
      <c r="I471" s="54">
        <v>44621</v>
      </c>
      <c r="J471" s="55">
        <f>EFEITO!$J$471*EFEITO!$Y$277</f>
        <v>0</v>
      </c>
      <c r="K471" s="55">
        <f ca="1">EFEITO!$L$471*EFEITO!$Z$277</f>
        <v>7613.0083347098298</v>
      </c>
      <c r="L471" s="55">
        <f>EFEITO!$N$471*EFEITO!$AA$277</f>
        <v>3931.2817533211232</v>
      </c>
      <c r="M471" s="55">
        <f>$J$471-EFEITO!$K$471*EFEITO!$Y$471</f>
        <v>0</v>
      </c>
      <c r="N471" s="55">
        <f ca="1">$K$471-EFEITO!$M$471*EFEITO!$Z$471</f>
        <v>456.78050008259015</v>
      </c>
      <c r="O471" s="55">
        <f>$L$471-EFEITO!$O$471*EFEITO!$AA$471</f>
        <v>235.87690519926764</v>
      </c>
      <c r="P471" s="39"/>
      <c r="Q471" s="39"/>
      <c r="R471" s="39"/>
      <c r="S471" s="39"/>
      <c r="T471" s="39"/>
      <c r="U471" s="39"/>
      <c r="V471" s="39"/>
      <c r="W471" s="39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1.25" customHeight="1" x14ac:dyDescent="0.2">
      <c r="A472" s="35" t="s">
        <v>28</v>
      </c>
      <c r="B472" s="35" t="s">
        <v>40</v>
      </c>
      <c r="C472" s="35" t="s">
        <v>23</v>
      </c>
      <c r="D472" s="35" t="s">
        <v>41</v>
      </c>
      <c r="E472" s="35" t="s">
        <v>25</v>
      </c>
      <c r="F472" s="35" t="s">
        <v>25</v>
      </c>
      <c r="G472" s="35" t="s">
        <v>25</v>
      </c>
      <c r="H472" s="35" t="s">
        <v>25</v>
      </c>
      <c r="I472" s="54">
        <v>44621</v>
      </c>
      <c r="J472" s="55">
        <f>EFEITO!$J$472*EFEITO!$Y$277</f>
        <v>0</v>
      </c>
      <c r="K472" s="55">
        <f ca="1">EFEITO!$L$472*EFEITO!$Z$277</f>
        <v>95017.466729238047</v>
      </c>
      <c r="L472" s="55">
        <f>EFEITO!$N$472*EFEITO!$AA$277</f>
        <v>49066.074379082893</v>
      </c>
      <c r="M472" s="55">
        <f>$J$472-EFEITO!$K$472*EFEITO!$Y$472</f>
        <v>0</v>
      </c>
      <c r="N472" s="55">
        <f ca="1">$K$472-EFEITO!$M$472*EFEITO!$Z$472</f>
        <v>5701.0480037542729</v>
      </c>
      <c r="O472" s="55">
        <f>$L$472-EFEITO!$O$472*EFEITO!$AA$472</f>
        <v>2943.9644627449816</v>
      </c>
      <c r="P472" s="39"/>
      <c r="Q472" s="39"/>
      <c r="R472" s="39"/>
      <c r="S472" s="39"/>
      <c r="T472" s="39"/>
      <c r="U472" s="39"/>
      <c r="V472" s="39"/>
      <c r="W472" s="39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1.25" customHeight="1" x14ac:dyDescent="0.2">
      <c r="A473" s="35" t="s">
        <v>28</v>
      </c>
      <c r="B473" s="35" t="s">
        <v>40</v>
      </c>
      <c r="C473" s="35" t="s">
        <v>23</v>
      </c>
      <c r="D473" s="35" t="s">
        <v>41</v>
      </c>
      <c r="E473" s="35" t="s">
        <v>25</v>
      </c>
      <c r="F473" s="35" t="s">
        <v>25</v>
      </c>
      <c r="G473" s="35" t="s">
        <v>25</v>
      </c>
      <c r="H473" s="35" t="s">
        <v>25</v>
      </c>
      <c r="I473" s="54">
        <v>44621</v>
      </c>
      <c r="J473" s="55">
        <f>EFEITO!$J$473*EFEITO!$Y$277</f>
        <v>0</v>
      </c>
      <c r="K473" s="55">
        <f ca="1">EFEITO!$L$473*EFEITO!$Z$277</f>
        <v>41984.972591164878</v>
      </c>
      <c r="L473" s="55">
        <f>EFEITO!$N$473*EFEITO!$AA$277</f>
        <v>21680.622088485477</v>
      </c>
      <c r="M473" s="55">
        <f>$J$473-EFEITO!$K$473*EFEITO!$Y$473</f>
        <v>0</v>
      </c>
      <c r="N473" s="55">
        <f ca="1">$K$473-EFEITO!$M$473*EFEITO!$Z$473</f>
        <v>2519.0983554698905</v>
      </c>
      <c r="O473" s="55">
        <f>$L$473-EFEITO!$O$473*EFEITO!$AA$473</f>
        <v>1300.8373253091304</v>
      </c>
      <c r="P473" s="39"/>
      <c r="Q473" s="39"/>
      <c r="R473" s="39"/>
      <c r="S473" s="39"/>
      <c r="T473" s="39"/>
      <c r="U473" s="39"/>
      <c r="V473" s="39"/>
      <c r="W473" s="39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1.25" customHeight="1" x14ac:dyDescent="0.2">
      <c r="A474" s="35" t="s">
        <v>21</v>
      </c>
      <c r="B474" s="35" t="s">
        <v>40</v>
      </c>
      <c r="C474" s="35" t="s">
        <v>23</v>
      </c>
      <c r="D474" s="35" t="s">
        <v>41</v>
      </c>
      <c r="E474" s="35" t="s">
        <v>25</v>
      </c>
      <c r="F474" s="35" t="s">
        <v>25</v>
      </c>
      <c r="G474" s="35" t="s">
        <v>25</v>
      </c>
      <c r="H474" s="35" t="s">
        <v>25</v>
      </c>
      <c r="I474" s="54">
        <v>44652</v>
      </c>
      <c r="J474" s="55">
        <f>EFEITO!$J$474*EFEITO!$Y$277</f>
        <v>0</v>
      </c>
      <c r="K474" s="55">
        <f ca="1">EFEITO!$L$474*EFEITO!$Z$277</f>
        <v>1711146.1972948643</v>
      </c>
      <c r="L474" s="55">
        <f>EFEITO!$N$474*EFEITO!$AA$277</f>
        <v>883618.87008843361</v>
      </c>
      <c r="M474" s="55">
        <f>$J$474-EFEITO!$K$474*EFEITO!$Y$474</f>
        <v>0</v>
      </c>
      <c r="N474" s="55">
        <f ca="1">$K$474-EFEITO!$M$474*EFEITO!$Z$474</f>
        <v>102668.77183769178</v>
      </c>
      <c r="O474" s="55">
        <f>$L$474-EFEITO!$O$474*EFEITO!$AA$474</f>
        <v>53017.132205306087</v>
      </c>
      <c r="P474" s="39"/>
      <c r="Q474" s="39"/>
      <c r="R474" s="39"/>
      <c r="S474" s="39"/>
      <c r="T474" s="39"/>
      <c r="U474" s="39"/>
      <c r="V474" s="39"/>
      <c r="W474" s="39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1.25" customHeight="1" x14ac:dyDescent="0.2">
      <c r="A475" s="35" t="s">
        <v>27</v>
      </c>
      <c r="B475" s="35" t="s">
        <v>40</v>
      </c>
      <c r="C475" s="35" t="s">
        <v>23</v>
      </c>
      <c r="D475" s="35" t="s">
        <v>41</v>
      </c>
      <c r="E475" s="35" t="s">
        <v>25</v>
      </c>
      <c r="F475" s="35" t="s">
        <v>25</v>
      </c>
      <c r="G475" s="35" t="s">
        <v>25</v>
      </c>
      <c r="H475" s="35" t="s">
        <v>25</v>
      </c>
      <c r="I475" s="54">
        <v>44652</v>
      </c>
      <c r="J475" s="55">
        <f>EFEITO!$J$475*EFEITO!$Y$277</f>
        <v>0</v>
      </c>
      <c r="K475" s="55">
        <f ca="1">EFEITO!$L$475*EFEITO!$Z$277</f>
        <v>-2523.1963541889932</v>
      </c>
      <c r="L475" s="55">
        <f>EFEITO!$N$475*EFEITO!$AA$277</f>
        <v>-1302.9534910718903</v>
      </c>
      <c r="M475" s="55">
        <f>$J$475-EFEITO!$K$475*EFEITO!$Y$475</f>
        <v>0</v>
      </c>
      <c r="N475" s="55">
        <f ca="1">$K$475-EFEITO!$M$475*EFEITO!$Z$475</f>
        <v>-151.39178125133958</v>
      </c>
      <c r="O475" s="55">
        <f>$L$475-EFEITO!$O$475*EFEITO!$AA$475</f>
        <v>-78.177209464313592</v>
      </c>
      <c r="P475" s="39"/>
      <c r="Q475" s="39"/>
      <c r="R475" s="39"/>
      <c r="S475" s="39"/>
      <c r="T475" s="39"/>
      <c r="U475" s="39"/>
      <c r="V475" s="39"/>
      <c r="W475" s="39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1.25" customHeight="1" x14ac:dyDescent="0.2">
      <c r="A476" s="35" t="s">
        <v>28</v>
      </c>
      <c r="B476" s="35" t="s">
        <v>40</v>
      </c>
      <c r="C476" s="35" t="s">
        <v>23</v>
      </c>
      <c r="D476" s="35" t="s">
        <v>41</v>
      </c>
      <c r="E476" s="35" t="s">
        <v>25</v>
      </c>
      <c r="F476" s="35" t="s">
        <v>25</v>
      </c>
      <c r="G476" s="35" t="s">
        <v>25</v>
      </c>
      <c r="H476" s="35" t="s">
        <v>25</v>
      </c>
      <c r="I476" s="54">
        <v>44652</v>
      </c>
      <c r="J476" s="55">
        <f>EFEITO!$J$476*EFEITO!$Y$277</f>
        <v>0</v>
      </c>
      <c r="K476" s="55">
        <f ca="1">EFEITO!$L$476*EFEITO!$Z$277</f>
        <v>86895.135696582904</v>
      </c>
      <c r="L476" s="55">
        <f>EFEITO!$N$476*EFEITO!$AA$277</f>
        <v>44871.783452389951</v>
      </c>
      <c r="M476" s="55">
        <f>$J$476-EFEITO!$K$476*EFEITO!$Y$476</f>
        <v>0</v>
      </c>
      <c r="N476" s="55">
        <f ca="1">$K$476-EFEITO!$M$476*EFEITO!$Z$476</f>
        <v>5213.7081417949812</v>
      </c>
      <c r="O476" s="55">
        <f>$L$476-EFEITO!$O$476*EFEITO!$AA$476</f>
        <v>2692.3070071433976</v>
      </c>
      <c r="P476" s="39"/>
      <c r="Q476" s="39"/>
      <c r="R476" s="39"/>
      <c r="S476" s="39"/>
      <c r="T476" s="39"/>
      <c r="U476" s="39"/>
      <c r="V476" s="39"/>
      <c r="W476" s="39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1.25" customHeight="1" x14ac:dyDescent="0.2">
      <c r="A477" s="35" t="s">
        <v>28</v>
      </c>
      <c r="B477" s="35" t="s">
        <v>40</v>
      </c>
      <c r="C477" s="35" t="s">
        <v>23</v>
      </c>
      <c r="D477" s="35" t="s">
        <v>41</v>
      </c>
      <c r="E477" s="35" t="s">
        <v>25</v>
      </c>
      <c r="F477" s="35" t="s">
        <v>25</v>
      </c>
      <c r="G477" s="35" t="s">
        <v>25</v>
      </c>
      <c r="H477" s="35" t="s">
        <v>25</v>
      </c>
      <c r="I477" s="54">
        <v>44652</v>
      </c>
      <c r="J477" s="55">
        <f>EFEITO!$J$477*EFEITO!$Y$277</f>
        <v>0</v>
      </c>
      <c r="K477" s="55">
        <f ca="1">EFEITO!$L$477*EFEITO!$Z$277</f>
        <v>-214.16921877203558</v>
      </c>
      <c r="L477" s="55">
        <f>EFEITO!$N$477*EFEITO!$AA$277</f>
        <v>-110.59485355385921</v>
      </c>
      <c r="M477" s="55">
        <f>$J$477-EFEITO!$K$477*EFEITO!$Y$477</f>
        <v>0</v>
      </c>
      <c r="N477" s="55">
        <f ca="1">$K$477-EFEITO!$M$477*EFEITO!$Z$477</f>
        <v>-12.850153126322141</v>
      </c>
      <c r="O477" s="55">
        <f>$L$477-EFEITO!$O$477*EFEITO!$AA$477</f>
        <v>-6.6356912132315529</v>
      </c>
      <c r="P477" s="39"/>
      <c r="Q477" s="39"/>
      <c r="R477" s="39"/>
      <c r="S477" s="39"/>
      <c r="T477" s="39"/>
      <c r="U477" s="39"/>
      <c r="V477" s="39"/>
      <c r="W477" s="39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1.25" customHeight="1" x14ac:dyDescent="0.2">
      <c r="A478" s="35" t="s">
        <v>21</v>
      </c>
      <c r="B478" s="35" t="s">
        <v>40</v>
      </c>
      <c r="C478" s="35" t="s">
        <v>23</v>
      </c>
      <c r="D478" s="35" t="s">
        <v>41</v>
      </c>
      <c r="E478" s="35" t="s">
        <v>25</v>
      </c>
      <c r="F478" s="35" t="s">
        <v>25</v>
      </c>
      <c r="G478" s="35" t="s">
        <v>25</v>
      </c>
      <c r="H478" s="35" t="s">
        <v>25</v>
      </c>
      <c r="I478" s="54">
        <v>44682</v>
      </c>
      <c r="J478" s="55">
        <f>EFEITO!$J$478*EFEITO!$Y$277</f>
        <v>0</v>
      </c>
      <c r="K478" s="55">
        <f ca="1">EFEITO!$L$478*EFEITO!$Z$277</f>
        <v>1462975.7855790544</v>
      </c>
      <c r="L478" s="55">
        <f>EFEITO!$N$478*EFEITO!$AA$277</f>
        <v>755466.13881604094</v>
      </c>
      <c r="M478" s="55">
        <f>$J$478-EFEITO!$K$478*EFEITO!$Y$478</f>
        <v>0</v>
      </c>
      <c r="N478" s="55">
        <f ca="1">$K$478-EFEITO!$M$478*EFEITO!$Z$478</f>
        <v>87778.547134743305</v>
      </c>
      <c r="O478" s="55">
        <f>$L$478-EFEITO!$O$478*EFEITO!$AA$478</f>
        <v>45327.968328962568</v>
      </c>
      <c r="P478" s="39"/>
      <c r="Q478" s="39"/>
      <c r="R478" s="39"/>
      <c r="S478" s="39"/>
      <c r="T478" s="39"/>
      <c r="U478" s="39"/>
      <c r="V478" s="39"/>
      <c r="W478" s="39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1.25" customHeight="1" x14ac:dyDescent="0.2">
      <c r="A479" s="35" t="s">
        <v>27</v>
      </c>
      <c r="B479" s="35" t="s">
        <v>40</v>
      </c>
      <c r="C479" s="35" t="s">
        <v>23</v>
      </c>
      <c r="D479" s="35" t="s">
        <v>41</v>
      </c>
      <c r="E479" s="35" t="s">
        <v>25</v>
      </c>
      <c r="F479" s="35" t="s">
        <v>25</v>
      </c>
      <c r="G479" s="35" t="s">
        <v>25</v>
      </c>
      <c r="H479" s="35" t="s">
        <v>25</v>
      </c>
      <c r="I479" s="54">
        <v>44682</v>
      </c>
      <c r="J479" s="55">
        <f>EFEITO!$J$479*EFEITO!$Y$277</f>
        <v>0</v>
      </c>
      <c r="K479" s="55">
        <f ca="1">EFEITO!$L$479*EFEITO!$Z$277</f>
        <v>-1555.2880852966957</v>
      </c>
      <c r="L479" s="55">
        <f>EFEITO!$N$479*EFEITO!$AA$277</f>
        <v>-803.13529186720541</v>
      </c>
      <c r="M479" s="55">
        <f>$J$479-EFEITO!$K$479*EFEITO!$Y$479</f>
        <v>0</v>
      </c>
      <c r="N479" s="55">
        <f ca="1">$K$479-EFEITO!$M$479*EFEITO!$Z$479</f>
        <v>-93.317285117801703</v>
      </c>
      <c r="O479" s="55">
        <f>$L$479-EFEITO!$O$479*EFEITO!$AA$479</f>
        <v>-48.188117512032363</v>
      </c>
      <c r="P479" s="39"/>
      <c r="Q479" s="39"/>
      <c r="R479" s="39"/>
      <c r="S479" s="39"/>
      <c r="T479" s="39"/>
      <c r="U479" s="39"/>
      <c r="V479" s="39"/>
      <c r="W479" s="39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1.25" customHeight="1" x14ac:dyDescent="0.2">
      <c r="A480" s="35" t="s">
        <v>28</v>
      </c>
      <c r="B480" s="35" t="s">
        <v>40</v>
      </c>
      <c r="C480" s="35" t="s">
        <v>23</v>
      </c>
      <c r="D480" s="35" t="s">
        <v>41</v>
      </c>
      <c r="E480" s="35" t="s">
        <v>25</v>
      </c>
      <c r="F480" s="35" t="s">
        <v>25</v>
      </c>
      <c r="G480" s="35" t="s">
        <v>25</v>
      </c>
      <c r="H480" s="35" t="s">
        <v>25</v>
      </c>
      <c r="I480" s="54">
        <v>44682</v>
      </c>
      <c r="J480" s="55">
        <f>EFEITO!$J$480*EFEITO!$Y$277</f>
        <v>0</v>
      </c>
      <c r="K480" s="55">
        <f ca="1">EFEITO!$L$480*EFEITO!$Z$277</f>
        <v>82098.525767273881</v>
      </c>
      <c r="L480" s="55">
        <f>EFEITO!$N$480*EFEITO!$AA$277</f>
        <v>42394.861811976407</v>
      </c>
      <c r="M480" s="55">
        <f>$J$480-EFEITO!$K$480*EFEITO!$Y$480</f>
        <v>0</v>
      </c>
      <c r="N480" s="55">
        <f ca="1">$K$480-EFEITO!$M$480*EFEITO!$Z$480</f>
        <v>4925.911546036441</v>
      </c>
      <c r="O480" s="55">
        <f>$L$480-EFEITO!$O$480*EFEITO!$AA$480</f>
        <v>2543.6917087185866</v>
      </c>
      <c r="P480" s="39"/>
      <c r="Q480" s="39"/>
      <c r="R480" s="39"/>
      <c r="S480" s="39"/>
      <c r="T480" s="39"/>
      <c r="U480" s="39"/>
      <c r="V480" s="39"/>
      <c r="W480" s="39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1.25" customHeight="1" x14ac:dyDescent="0.2">
      <c r="A481" s="35" t="s">
        <v>28</v>
      </c>
      <c r="B481" s="35" t="s">
        <v>40</v>
      </c>
      <c r="C481" s="35" t="s">
        <v>23</v>
      </c>
      <c r="D481" s="35" t="s">
        <v>41</v>
      </c>
      <c r="E481" s="35" t="s">
        <v>25</v>
      </c>
      <c r="F481" s="35" t="s">
        <v>25</v>
      </c>
      <c r="G481" s="35" t="s">
        <v>25</v>
      </c>
      <c r="H481" s="35" t="s">
        <v>25</v>
      </c>
      <c r="I481" s="54">
        <v>44682</v>
      </c>
      <c r="J481" s="55">
        <f>EFEITO!$J$481*EFEITO!$Y$277</f>
        <v>0</v>
      </c>
      <c r="K481" s="55">
        <f ca="1">EFEITO!$L$481*EFEITO!$Z$277</f>
        <v>-300.03204907699745</v>
      </c>
      <c r="L481" s="55">
        <f>EFEITO!$N$481*EFEITO!$AA$277</f>
        <v>-154.93356477362966</v>
      </c>
      <c r="M481" s="55">
        <f>$J$481-EFEITO!$K$481*EFEITO!$Y$481</f>
        <v>0</v>
      </c>
      <c r="N481" s="55">
        <f ca="1">$K$481-EFEITO!$M$481*EFEITO!$Z$481</f>
        <v>-18.001922944619878</v>
      </c>
      <c r="O481" s="55">
        <f>$L$481-EFEITO!$O$481*EFEITO!$AA$481</f>
        <v>-9.2960138864177964</v>
      </c>
      <c r="P481" s="39"/>
      <c r="Q481" s="39"/>
      <c r="R481" s="39"/>
      <c r="S481" s="39"/>
      <c r="T481" s="39"/>
      <c r="U481" s="39"/>
      <c r="V481" s="39"/>
      <c r="W481" s="39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1.25" customHeight="1" x14ac:dyDescent="0.2">
      <c r="A482" s="35" t="s">
        <v>21</v>
      </c>
      <c r="B482" s="35" t="s">
        <v>40</v>
      </c>
      <c r="C482" s="35" t="s">
        <v>23</v>
      </c>
      <c r="D482" s="35" t="s">
        <v>41</v>
      </c>
      <c r="E482" s="35" t="s">
        <v>25</v>
      </c>
      <c r="F482" s="35" t="s">
        <v>25</v>
      </c>
      <c r="G482" s="35" t="s">
        <v>25</v>
      </c>
      <c r="H482" s="35" t="s">
        <v>25</v>
      </c>
      <c r="I482" s="54">
        <v>44713</v>
      </c>
      <c r="J482" s="55">
        <f>EFEITO!$J$482*EFEITO!$Y$277</f>
        <v>0</v>
      </c>
      <c r="K482" s="55">
        <f ca="1">EFEITO!$L$482*EFEITO!$Z$277</f>
        <v>1288900.1178465227</v>
      </c>
      <c r="L482" s="55">
        <f>EFEITO!$N$482*EFEITO!$AA$277</f>
        <v>665575.1960813544</v>
      </c>
      <c r="M482" s="55">
        <f>$J$482-EFEITO!$K$482*EFEITO!$Y$482</f>
        <v>0</v>
      </c>
      <c r="N482" s="55">
        <f ca="1">$K$482-EFEITO!$M$482*EFEITO!$Z$482</f>
        <v>77334.007070791442</v>
      </c>
      <c r="O482" s="55">
        <f>$L$482-EFEITO!$O$482*EFEITO!$AA$482</f>
        <v>39934.511764881318</v>
      </c>
      <c r="P482" s="39"/>
      <c r="Q482" s="39"/>
      <c r="R482" s="39"/>
      <c r="S482" s="39"/>
      <c r="T482" s="39"/>
      <c r="U482" s="39"/>
      <c r="V482" s="39"/>
      <c r="W482" s="39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1.25" customHeight="1" x14ac:dyDescent="0.2">
      <c r="A483" s="35" t="s">
        <v>27</v>
      </c>
      <c r="B483" s="35" t="s">
        <v>40</v>
      </c>
      <c r="C483" s="35" t="s">
        <v>23</v>
      </c>
      <c r="D483" s="35" t="s">
        <v>41</v>
      </c>
      <c r="E483" s="35" t="s">
        <v>25</v>
      </c>
      <c r="F483" s="35" t="s">
        <v>25</v>
      </c>
      <c r="G483" s="35" t="s">
        <v>25</v>
      </c>
      <c r="H483" s="35" t="s">
        <v>25</v>
      </c>
      <c r="I483" s="54">
        <v>44713</v>
      </c>
      <c r="J483" s="55">
        <f>EFEITO!$J$483*EFEITO!$Y$277</f>
        <v>0</v>
      </c>
      <c r="K483" s="55">
        <f ca="1">EFEITO!$L$483*EFEITO!$Z$277</f>
        <v>-350.2813190850149</v>
      </c>
      <c r="L483" s="55">
        <f>EFEITO!$N$483*EFEITO!$AA$277</f>
        <v>-180.88178781701802</v>
      </c>
      <c r="M483" s="55">
        <f>$J$483-EFEITO!$K$483*EFEITO!$Y$483</f>
        <v>0</v>
      </c>
      <c r="N483" s="55">
        <f ca="1">$K$483-EFEITO!$M$483*EFEITO!$Z$483</f>
        <v>-21.016879145100916</v>
      </c>
      <c r="O483" s="55">
        <f>$L$483-EFEITO!$O$483*EFEITO!$AA$483</f>
        <v>-10.852907269021102</v>
      </c>
      <c r="P483" s="39"/>
      <c r="Q483" s="39"/>
      <c r="R483" s="39"/>
      <c r="S483" s="39"/>
      <c r="T483" s="39"/>
      <c r="U483" s="39"/>
      <c r="V483" s="39"/>
      <c r="W483" s="39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1.25" customHeight="1" x14ac:dyDescent="0.2">
      <c r="A484" s="35" t="s">
        <v>28</v>
      </c>
      <c r="B484" s="35" t="s">
        <v>40</v>
      </c>
      <c r="C484" s="35" t="s">
        <v>23</v>
      </c>
      <c r="D484" s="35" t="s">
        <v>41</v>
      </c>
      <c r="E484" s="35" t="s">
        <v>25</v>
      </c>
      <c r="F484" s="35" t="s">
        <v>25</v>
      </c>
      <c r="G484" s="35" t="s">
        <v>25</v>
      </c>
      <c r="H484" s="35" t="s">
        <v>25</v>
      </c>
      <c r="I484" s="54">
        <v>44713</v>
      </c>
      <c r="J484" s="55">
        <f>EFEITO!$J$484*EFEITO!$Y$277</f>
        <v>0</v>
      </c>
      <c r="K484" s="55">
        <f ca="1">EFEITO!$L$484*EFEITO!$Z$277</f>
        <v>92527.444650394173</v>
      </c>
      <c r="L484" s="55">
        <f>EFEITO!$N$484*EFEITO!$AA$277</f>
        <v>47780.251753709548</v>
      </c>
      <c r="M484" s="55">
        <f>$J$484-EFEITO!$K$484*EFEITO!$Y$484</f>
        <v>0</v>
      </c>
      <c r="N484" s="55">
        <f ca="1">$K$484-EFEITO!$M$484*EFEITO!$Z$484</f>
        <v>5551.6466790236591</v>
      </c>
      <c r="O484" s="55">
        <f>$L$484-EFEITO!$O$484*EFEITO!$AA$484</f>
        <v>2866.815105222573</v>
      </c>
      <c r="P484" s="39"/>
      <c r="Q484" s="39"/>
      <c r="R484" s="39"/>
      <c r="S484" s="39"/>
      <c r="T484" s="39"/>
      <c r="U484" s="39"/>
      <c r="V484" s="39"/>
      <c r="W484" s="39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1.25" customHeight="1" x14ac:dyDescent="0.2">
      <c r="A485" s="35" t="s">
        <v>28</v>
      </c>
      <c r="B485" s="35" t="s">
        <v>40</v>
      </c>
      <c r="C485" s="35" t="s">
        <v>23</v>
      </c>
      <c r="D485" s="35" t="s">
        <v>41</v>
      </c>
      <c r="E485" s="35" t="s">
        <v>25</v>
      </c>
      <c r="F485" s="35" t="s">
        <v>25</v>
      </c>
      <c r="G485" s="35" t="s">
        <v>25</v>
      </c>
      <c r="H485" s="35" t="s">
        <v>25</v>
      </c>
      <c r="I485" s="54">
        <v>44713</v>
      </c>
      <c r="J485" s="55">
        <f>EFEITO!$J$485*EFEITO!$Y$277</f>
        <v>0</v>
      </c>
      <c r="K485" s="55">
        <f ca="1">EFEITO!$L$485*EFEITO!$Z$277</f>
        <v>-1150.3667832903416</v>
      </c>
      <c r="L485" s="55">
        <f>EFEITO!$N$485*EFEITO!$AA$277</f>
        <v>-594.03796054669715</v>
      </c>
      <c r="M485" s="55">
        <f>$J$485-EFEITO!$K$485*EFEITO!$Y$485</f>
        <v>0</v>
      </c>
      <c r="N485" s="55">
        <f ca="1">$K$485-EFEITO!$M$485*EFEITO!$Z$485</f>
        <v>-69.022006997420704</v>
      </c>
      <c r="O485" s="55">
        <f>$L$485-EFEITO!$O$485*EFEITO!$AA$485</f>
        <v>-35.642277632801893</v>
      </c>
      <c r="P485" s="39"/>
      <c r="Q485" s="39"/>
      <c r="R485" s="39"/>
      <c r="S485" s="39"/>
      <c r="T485" s="39"/>
      <c r="U485" s="39"/>
      <c r="V485" s="39"/>
      <c r="W485" s="39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1.25" customHeight="1" x14ac:dyDescent="0.2">
      <c r="A486" s="35" t="s">
        <v>21</v>
      </c>
      <c r="B486" s="35" t="s">
        <v>33</v>
      </c>
      <c r="C486" s="35" t="s">
        <v>23</v>
      </c>
      <c r="D486" s="35" t="s">
        <v>39</v>
      </c>
      <c r="E486" s="35" t="s">
        <v>25</v>
      </c>
      <c r="F486" s="35" t="s">
        <v>25</v>
      </c>
      <c r="G486" s="35" t="s">
        <v>25</v>
      </c>
      <c r="H486" s="35" t="s">
        <v>25</v>
      </c>
      <c r="I486" s="54">
        <v>44378</v>
      </c>
      <c r="J486" s="55">
        <f>EFEITO!$J$486*EFEITO!$Y$486</f>
        <v>0</v>
      </c>
      <c r="K486" s="55">
        <f ca="1">EFEITO!$L$486*EFEITO!$Z$486</f>
        <v>166139.69807019754</v>
      </c>
      <c r="L486" s="55">
        <f>EFEITO!$N$486*EFEITO!$AA$486</f>
        <v>85792.886965300131</v>
      </c>
      <c r="M486" s="55">
        <f>$J$486-EFEITO!$K$486*EFEITO!$Y$486</f>
        <v>0</v>
      </c>
      <c r="N486" s="55">
        <f ca="1">$K$486-EFEITO!$M$486*EFEITO!$Z$486</f>
        <v>0</v>
      </c>
      <c r="O486" s="55">
        <f>$L$486-EFEITO!$O$486*EFEITO!$AA$486</f>
        <v>0</v>
      </c>
      <c r="P486" s="39"/>
      <c r="Q486" s="39"/>
      <c r="R486" s="39"/>
      <c r="S486" s="39"/>
      <c r="T486" s="39"/>
      <c r="U486" s="39"/>
      <c r="V486" s="39"/>
      <c r="W486" s="39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1.25" customHeight="1" x14ac:dyDescent="0.2">
      <c r="A487" s="35" t="s">
        <v>28</v>
      </c>
      <c r="B487" s="35" t="s">
        <v>33</v>
      </c>
      <c r="C487" s="35" t="s">
        <v>23</v>
      </c>
      <c r="D487" s="35" t="s">
        <v>39</v>
      </c>
      <c r="E487" s="35" t="s">
        <v>25</v>
      </c>
      <c r="F487" s="35" t="s">
        <v>25</v>
      </c>
      <c r="G487" s="35" t="s">
        <v>25</v>
      </c>
      <c r="H487" s="35" t="s">
        <v>25</v>
      </c>
      <c r="I487" s="54">
        <v>44378</v>
      </c>
      <c r="J487" s="55">
        <f>EFEITO!$J$487*EFEITO!$Y$487</f>
        <v>0</v>
      </c>
      <c r="K487" s="55">
        <f ca="1">EFEITO!$L$487*EFEITO!$Z$487</f>
        <v>30611.562574690015</v>
      </c>
      <c r="L487" s="55">
        <f>EFEITO!$N$487*EFEITO!$AA$487</f>
        <v>15807.506323334861</v>
      </c>
      <c r="M487" s="55">
        <f>$J$487-EFEITO!$K$487*EFEITO!$Y$487</f>
        <v>0</v>
      </c>
      <c r="N487" s="55">
        <f ca="1">$K$487-EFEITO!$M$487*EFEITO!$Z$487</f>
        <v>0</v>
      </c>
      <c r="O487" s="55">
        <f>$L$487-EFEITO!$O$487*EFEITO!$AA$487</f>
        <v>0</v>
      </c>
      <c r="P487" s="39"/>
      <c r="Q487" s="39"/>
      <c r="R487" s="39"/>
      <c r="S487" s="39"/>
      <c r="T487" s="39"/>
      <c r="U487" s="39"/>
      <c r="V487" s="39"/>
      <c r="W487" s="39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1.25" customHeight="1" x14ac:dyDescent="0.2">
      <c r="A488" s="35" t="s">
        <v>21</v>
      </c>
      <c r="B488" s="35" t="s">
        <v>33</v>
      </c>
      <c r="C488" s="35" t="s">
        <v>23</v>
      </c>
      <c r="D488" s="35" t="s">
        <v>39</v>
      </c>
      <c r="E488" s="35" t="s">
        <v>25</v>
      </c>
      <c r="F488" s="35" t="s">
        <v>25</v>
      </c>
      <c r="G488" s="35" t="s">
        <v>25</v>
      </c>
      <c r="H488" s="35" t="s">
        <v>25</v>
      </c>
      <c r="I488" s="54">
        <v>44409</v>
      </c>
      <c r="J488" s="55">
        <f>EFEITO!$J$488*EFEITO!$Y$488</f>
        <v>0</v>
      </c>
      <c r="K488" s="55">
        <f ca="1">EFEITO!$L$488*EFEITO!$Z$488</f>
        <v>167704.7432953016</v>
      </c>
      <c r="L488" s="55">
        <f>EFEITO!$N$488*EFEITO!$AA$488</f>
        <v>86601.060747078664</v>
      </c>
      <c r="M488" s="55">
        <f>$J$488-EFEITO!$K$488*EFEITO!$Y$488</f>
        <v>0</v>
      </c>
      <c r="N488" s="55">
        <f ca="1">$K$488-EFEITO!$M$488*EFEITO!$Z$488</f>
        <v>0</v>
      </c>
      <c r="O488" s="55">
        <f>$L$488-EFEITO!$O$488*EFEITO!$AA$488</f>
        <v>0</v>
      </c>
      <c r="P488" s="39"/>
      <c r="Q488" s="39"/>
      <c r="R488" s="39"/>
      <c r="S488" s="39"/>
      <c r="T488" s="39"/>
      <c r="U488" s="39"/>
      <c r="V488" s="39"/>
      <c r="W488" s="39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1.25" customHeight="1" x14ac:dyDescent="0.2">
      <c r="A489" s="35" t="s">
        <v>28</v>
      </c>
      <c r="B489" s="35" t="s">
        <v>33</v>
      </c>
      <c r="C489" s="35" t="s">
        <v>23</v>
      </c>
      <c r="D489" s="35" t="s">
        <v>39</v>
      </c>
      <c r="E489" s="35" t="s">
        <v>25</v>
      </c>
      <c r="F489" s="35" t="s">
        <v>25</v>
      </c>
      <c r="G489" s="35" t="s">
        <v>25</v>
      </c>
      <c r="H489" s="35" t="s">
        <v>25</v>
      </c>
      <c r="I489" s="54">
        <v>44409</v>
      </c>
      <c r="J489" s="55">
        <f>EFEITO!$J$489*EFEITO!$Y$489</f>
        <v>0</v>
      </c>
      <c r="K489" s="55">
        <f ca="1">EFEITO!$L$489*EFEITO!$Z$489</f>
        <v>25185.617127804868</v>
      </c>
      <c r="L489" s="55">
        <f>EFEITO!$N$489*EFEITO!$AA$489</f>
        <v>13005.602083640049</v>
      </c>
      <c r="M489" s="55">
        <f>$J$489-EFEITO!$K$489*EFEITO!$Y$489</f>
        <v>0</v>
      </c>
      <c r="N489" s="55">
        <f ca="1">$K$489-EFEITO!$M$489*EFEITO!$Z$489</f>
        <v>0</v>
      </c>
      <c r="O489" s="55">
        <f>$L$489-EFEITO!$O$489*EFEITO!$AA$489</f>
        <v>0</v>
      </c>
      <c r="P489" s="39"/>
      <c r="Q489" s="39"/>
      <c r="R489" s="39"/>
      <c r="S489" s="39"/>
      <c r="T489" s="39"/>
      <c r="U489" s="39"/>
      <c r="V489" s="39"/>
      <c r="W489" s="39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1.25" customHeight="1" x14ac:dyDescent="0.2">
      <c r="A490" s="35" t="s">
        <v>21</v>
      </c>
      <c r="B490" s="35" t="s">
        <v>33</v>
      </c>
      <c r="C490" s="35" t="s">
        <v>23</v>
      </c>
      <c r="D490" s="35" t="s">
        <v>39</v>
      </c>
      <c r="E490" s="35" t="s">
        <v>25</v>
      </c>
      <c r="F490" s="35" t="s">
        <v>25</v>
      </c>
      <c r="G490" s="35" t="s">
        <v>25</v>
      </c>
      <c r="H490" s="35" t="s">
        <v>25</v>
      </c>
      <c r="I490" s="54">
        <v>44440</v>
      </c>
      <c r="J490" s="55">
        <f>EFEITO!$J$490*EFEITO!$Y$490</f>
        <v>0</v>
      </c>
      <c r="K490" s="55">
        <f ca="1">EFEITO!$L$490*EFEITO!$Z$490</f>
        <v>175730.96650085406</v>
      </c>
      <c r="L490" s="55">
        <f>EFEITO!$N$490*EFEITO!$AA$490</f>
        <v>90745.722548144928</v>
      </c>
      <c r="M490" s="55">
        <f>$J$490-EFEITO!$K$490*EFEITO!$Y$490</f>
        <v>0</v>
      </c>
      <c r="N490" s="55">
        <f ca="1">$K$490-EFEITO!$M$490*EFEITO!$Z$490</f>
        <v>0</v>
      </c>
      <c r="O490" s="55">
        <f>$L$490-EFEITO!$O$490*EFEITO!$AA$490</f>
        <v>0</v>
      </c>
      <c r="P490" s="39"/>
      <c r="Q490" s="39"/>
      <c r="R490" s="39"/>
      <c r="S490" s="39"/>
      <c r="T490" s="39"/>
      <c r="U490" s="39"/>
      <c r="V490" s="39"/>
      <c r="W490" s="39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1.25" customHeight="1" x14ac:dyDescent="0.2">
      <c r="A491" s="35" t="s">
        <v>28</v>
      </c>
      <c r="B491" s="35" t="s">
        <v>33</v>
      </c>
      <c r="C491" s="35" t="s">
        <v>23</v>
      </c>
      <c r="D491" s="35" t="s">
        <v>39</v>
      </c>
      <c r="E491" s="35" t="s">
        <v>25</v>
      </c>
      <c r="F491" s="35" t="s">
        <v>25</v>
      </c>
      <c r="G491" s="35" t="s">
        <v>25</v>
      </c>
      <c r="H491" s="35" t="s">
        <v>25</v>
      </c>
      <c r="I491" s="54">
        <v>44440</v>
      </c>
      <c r="J491" s="55">
        <f>EFEITO!$J$491*EFEITO!$Y$491</f>
        <v>0</v>
      </c>
      <c r="K491" s="55">
        <f ca="1">EFEITO!$L$491*EFEITO!$Z$491</f>
        <v>29057.250203374057</v>
      </c>
      <c r="L491" s="55">
        <f>EFEITO!$N$491*EFEITO!$AA$491</f>
        <v>15004.87488045879</v>
      </c>
      <c r="M491" s="55">
        <f>$J$491-EFEITO!$K$491*EFEITO!$Y$491</f>
        <v>0</v>
      </c>
      <c r="N491" s="55">
        <f ca="1">$K$491-EFEITO!$M$491*EFEITO!$Z$491</f>
        <v>0</v>
      </c>
      <c r="O491" s="55">
        <f>$L$491-EFEITO!$O$491*EFEITO!$AA$491</f>
        <v>0</v>
      </c>
      <c r="P491" s="39"/>
      <c r="Q491" s="39"/>
      <c r="R491" s="39"/>
      <c r="S491" s="39"/>
      <c r="T491" s="39"/>
      <c r="U491" s="39"/>
      <c r="V491" s="39"/>
      <c r="W491" s="39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1.25" customHeight="1" x14ac:dyDescent="0.2">
      <c r="A492" s="35" t="s">
        <v>21</v>
      </c>
      <c r="B492" s="35" t="s">
        <v>33</v>
      </c>
      <c r="C492" s="35" t="s">
        <v>23</v>
      </c>
      <c r="D492" s="35" t="s">
        <v>39</v>
      </c>
      <c r="E492" s="35" t="s">
        <v>25</v>
      </c>
      <c r="F492" s="35" t="s">
        <v>25</v>
      </c>
      <c r="G492" s="35" t="s">
        <v>25</v>
      </c>
      <c r="H492" s="35" t="s">
        <v>25</v>
      </c>
      <c r="I492" s="54">
        <v>44470</v>
      </c>
      <c r="J492" s="55">
        <f>EFEITO!$J$492*EFEITO!$Y$492</f>
        <v>0</v>
      </c>
      <c r="K492" s="55">
        <f ca="1">EFEITO!$L$492*EFEITO!$Z$492</f>
        <v>173479.01863331028</v>
      </c>
      <c r="L492" s="55">
        <f>EFEITO!$N$492*EFEITO!$AA$492</f>
        <v>89582.83907660823</v>
      </c>
      <c r="M492" s="55">
        <f>$J$492-EFEITO!$K$492*EFEITO!$Y$492</f>
        <v>0</v>
      </c>
      <c r="N492" s="55">
        <f ca="1">$K$492-EFEITO!$M$492*EFEITO!$Z$492</f>
        <v>0</v>
      </c>
      <c r="O492" s="55">
        <f>$L$492-EFEITO!$O$492*EFEITO!$AA$492</f>
        <v>0</v>
      </c>
      <c r="P492" s="39"/>
      <c r="Q492" s="39"/>
      <c r="R492" s="39"/>
      <c r="S492" s="39"/>
      <c r="T492" s="39"/>
      <c r="U492" s="39"/>
      <c r="V492" s="39"/>
      <c r="W492" s="39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1.25" customHeight="1" x14ac:dyDescent="0.2">
      <c r="A493" s="35" t="s">
        <v>28</v>
      </c>
      <c r="B493" s="35" t="s">
        <v>33</v>
      </c>
      <c r="C493" s="35" t="s">
        <v>23</v>
      </c>
      <c r="D493" s="35" t="s">
        <v>39</v>
      </c>
      <c r="E493" s="35" t="s">
        <v>25</v>
      </c>
      <c r="F493" s="35" t="s">
        <v>25</v>
      </c>
      <c r="G493" s="35" t="s">
        <v>25</v>
      </c>
      <c r="H493" s="35" t="s">
        <v>25</v>
      </c>
      <c r="I493" s="54">
        <v>44470</v>
      </c>
      <c r="J493" s="55">
        <f>EFEITO!$J$493*EFEITO!$Y$493</f>
        <v>0</v>
      </c>
      <c r="K493" s="55">
        <f ca="1">EFEITO!$L$493*EFEITO!$Z$493</f>
        <v>22782.921450237041</v>
      </c>
      <c r="L493" s="55">
        <f>EFEITO!$N$493*EFEITO!$AA$493</f>
        <v>11764.87394297318</v>
      </c>
      <c r="M493" s="55">
        <f>$J$493-EFEITO!$K$493*EFEITO!$Y$493</f>
        <v>0</v>
      </c>
      <c r="N493" s="55">
        <f ca="1">$K$493-EFEITO!$M$493*EFEITO!$Z$493</f>
        <v>0</v>
      </c>
      <c r="O493" s="55">
        <f>$L$493-EFEITO!$O$493*EFEITO!$AA$493</f>
        <v>0</v>
      </c>
      <c r="P493" s="39"/>
      <c r="Q493" s="39"/>
      <c r="R493" s="39"/>
      <c r="S493" s="39"/>
      <c r="T493" s="39"/>
      <c r="U493" s="39"/>
      <c r="V493" s="39"/>
      <c r="W493" s="39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1.25" customHeight="1" x14ac:dyDescent="0.2">
      <c r="A494" s="35" t="s">
        <v>21</v>
      </c>
      <c r="B494" s="35" t="s">
        <v>33</v>
      </c>
      <c r="C494" s="35" t="s">
        <v>23</v>
      </c>
      <c r="D494" s="35" t="s">
        <v>39</v>
      </c>
      <c r="E494" s="35" t="s">
        <v>25</v>
      </c>
      <c r="F494" s="35" t="s">
        <v>25</v>
      </c>
      <c r="G494" s="35" t="s">
        <v>25</v>
      </c>
      <c r="H494" s="35" t="s">
        <v>25</v>
      </c>
      <c r="I494" s="54">
        <v>44501</v>
      </c>
      <c r="J494" s="55">
        <f>EFEITO!$J$494*EFEITO!$Y$494</f>
        <v>0</v>
      </c>
      <c r="K494" s="55">
        <f ca="1">EFEITO!$L$494*EFEITO!$Z$494</f>
        <v>194596.39631842723</v>
      </c>
      <c r="L494" s="55">
        <f>EFEITO!$N$494*EFEITO!$AA$494</f>
        <v>100487.64279171609</v>
      </c>
      <c r="M494" s="55">
        <f>$J$494-EFEITO!$K$494*EFEITO!$Y$494</f>
        <v>0</v>
      </c>
      <c r="N494" s="55">
        <f ca="1">$K$494-EFEITO!$M$494*EFEITO!$Z$494</f>
        <v>0</v>
      </c>
      <c r="O494" s="55">
        <f>$L$494-EFEITO!$O$494*EFEITO!$AA$494</f>
        <v>0</v>
      </c>
      <c r="P494" s="39"/>
      <c r="Q494" s="39"/>
      <c r="R494" s="39"/>
      <c r="S494" s="39"/>
      <c r="T494" s="39"/>
      <c r="U494" s="39"/>
      <c r="V494" s="39"/>
      <c r="W494" s="39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1.25" customHeight="1" x14ac:dyDescent="0.2">
      <c r="A495" s="35" t="s">
        <v>28</v>
      </c>
      <c r="B495" s="35" t="s">
        <v>33</v>
      </c>
      <c r="C495" s="35" t="s">
        <v>23</v>
      </c>
      <c r="D495" s="35" t="s">
        <v>39</v>
      </c>
      <c r="E495" s="35" t="s">
        <v>25</v>
      </c>
      <c r="F495" s="35" t="s">
        <v>25</v>
      </c>
      <c r="G495" s="35" t="s">
        <v>25</v>
      </c>
      <c r="H495" s="35" t="s">
        <v>25</v>
      </c>
      <c r="I495" s="54">
        <v>44501</v>
      </c>
      <c r="J495" s="55">
        <f>EFEITO!$J$495*EFEITO!$Y$495</f>
        <v>0</v>
      </c>
      <c r="K495" s="55">
        <f ca="1">EFEITO!$L$495*EFEITO!$Z$495</f>
        <v>21105.181260357702</v>
      </c>
      <c r="L495" s="55">
        <f>EFEITO!$N$495*EFEITO!$AA$495</f>
        <v>10898.505602718687</v>
      </c>
      <c r="M495" s="55">
        <f>$J$495-EFEITO!$K$495*EFEITO!$Y$495</f>
        <v>0</v>
      </c>
      <c r="N495" s="55">
        <f ca="1">$K$495-EFEITO!$M$495*EFEITO!$Z$495</f>
        <v>0</v>
      </c>
      <c r="O495" s="55">
        <f>$L$495-EFEITO!$O$495*EFEITO!$AA$495</f>
        <v>0</v>
      </c>
      <c r="P495" s="39"/>
      <c r="Q495" s="39"/>
      <c r="R495" s="39"/>
      <c r="S495" s="39"/>
      <c r="T495" s="39"/>
      <c r="U495" s="39"/>
      <c r="V495" s="39"/>
      <c r="W495" s="39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1.25" customHeight="1" x14ac:dyDescent="0.2">
      <c r="A496" s="35" t="s">
        <v>21</v>
      </c>
      <c r="B496" s="35" t="s">
        <v>33</v>
      </c>
      <c r="C496" s="35" t="s">
        <v>23</v>
      </c>
      <c r="D496" s="35" t="s">
        <v>39</v>
      </c>
      <c r="E496" s="35" t="s">
        <v>25</v>
      </c>
      <c r="F496" s="35" t="s">
        <v>25</v>
      </c>
      <c r="G496" s="35" t="s">
        <v>25</v>
      </c>
      <c r="H496" s="35" t="s">
        <v>25</v>
      </c>
      <c r="I496" s="54">
        <v>44531</v>
      </c>
      <c r="J496" s="55">
        <f>EFEITO!$J$496*EFEITO!$Y$496</f>
        <v>0</v>
      </c>
      <c r="K496" s="55">
        <f ca="1">EFEITO!$L$496*EFEITO!$Z$496</f>
        <v>192931.34041029747</v>
      </c>
      <c r="L496" s="55">
        <f>EFEITO!$N$496*EFEITO!$AA$496</f>
        <v>99627.824488346334</v>
      </c>
      <c r="M496" s="55">
        <f>$J$496-EFEITO!$K$496*EFEITO!$Y$496</f>
        <v>0</v>
      </c>
      <c r="N496" s="55">
        <f ca="1">$K$496-EFEITO!$M$496*EFEITO!$Z$496</f>
        <v>0</v>
      </c>
      <c r="O496" s="55">
        <f>$L$496-EFEITO!$O$496*EFEITO!$AA$496</f>
        <v>0</v>
      </c>
      <c r="P496" s="39"/>
      <c r="Q496" s="39"/>
      <c r="R496" s="39"/>
      <c r="S496" s="39"/>
      <c r="T496" s="39"/>
      <c r="U496" s="39"/>
      <c r="V496" s="39"/>
      <c r="W496" s="39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1.25" customHeight="1" x14ac:dyDescent="0.2">
      <c r="A497" s="35" t="s">
        <v>27</v>
      </c>
      <c r="B497" s="35" t="s">
        <v>33</v>
      </c>
      <c r="C497" s="35" t="s">
        <v>23</v>
      </c>
      <c r="D497" s="35" t="s">
        <v>39</v>
      </c>
      <c r="E497" s="35" t="s">
        <v>25</v>
      </c>
      <c r="F497" s="35" t="s">
        <v>25</v>
      </c>
      <c r="G497" s="35" t="s">
        <v>25</v>
      </c>
      <c r="H497" s="35" t="s">
        <v>25</v>
      </c>
      <c r="I497" s="54">
        <v>44531</v>
      </c>
      <c r="J497" s="55">
        <f>EFEITO!$J$497*EFEITO!$Y$497</f>
        <v>0</v>
      </c>
      <c r="K497" s="55">
        <f ca="1">EFEITO!$L$497*EFEITO!$Z$497</f>
        <v>-118.54924865969167</v>
      </c>
      <c r="L497" s="55">
        <f>EFEITO!$N$497*EFEITO!$AA$497</f>
        <v>-61.217652422751229</v>
      </c>
      <c r="M497" s="55">
        <f>$J$497-EFEITO!$K$497*EFEITO!$Y$497</f>
        <v>0</v>
      </c>
      <c r="N497" s="55">
        <f ca="1">$K$497-EFEITO!$M$497*EFEITO!$Z$497</f>
        <v>0</v>
      </c>
      <c r="O497" s="55">
        <f>$L$497-EFEITO!$O$497*EFEITO!$AA$497</f>
        <v>0</v>
      </c>
      <c r="P497" s="39"/>
      <c r="Q497" s="39"/>
      <c r="R497" s="39"/>
      <c r="S497" s="39"/>
      <c r="T497" s="39"/>
      <c r="U497" s="39"/>
      <c r="V497" s="39"/>
      <c r="W497" s="39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1.25" customHeight="1" x14ac:dyDescent="0.2">
      <c r="A498" s="35" t="s">
        <v>28</v>
      </c>
      <c r="B498" s="35" t="s">
        <v>33</v>
      </c>
      <c r="C498" s="35" t="s">
        <v>23</v>
      </c>
      <c r="D498" s="35" t="s">
        <v>39</v>
      </c>
      <c r="E498" s="35" t="s">
        <v>25</v>
      </c>
      <c r="F498" s="35" t="s">
        <v>25</v>
      </c>
      <c r="G498" s="35" t="s">
        <v>25</v>
      </c>
      <c r="H498" s="35" t="s">
        <v>25</v>
      </c>
      <c r="I498" s="54">
        <v>44531</v>
      </c>
      <c r="J498" s="55">
        <f>EFEITO!$J$498*EFEITO!$Y$498</f>
        <v>0</v>
      </c>
      <c r="K498" s="55">
        <f ca="1">EFEITO!$L$498*EFEITO!$Z$498</f>
        <v>23248.824876039533</v>
      </c>
      <c r="L498" s="55">
        <f>EFEITO!$N$498*EFEITO!$AA$498</f>
        <v>12005.461836239547</v>
      </c>
      <c r="M498" s="55">
        <f>$J$498-EFEITO!$K$498*EFEITO!$Y$498</f>
        <v>0</v>
      </c>
      <c r="N498" s="55">
        <f ca="1">$K$498-EFEITO!$M$498*EFEITO!$Z$498</f>
        <v>0</v>
      </c>
      <c r="O498" s="55">
        <f>$L$498-EFEITO!$O$498*EFEITO!$AA$498</f>
        <v>0</v>
      </c>
      <c r="P498" s="39"/>
      <c r="Q498" s="39"/>
      <c r="R498" s="39"/>
      <c r="S498" s="39"/>
      <c r="T498" s="39"/>
      <c r="U498" s="39"/>
      <c r="V498" s="39"/>
      <c r="W498" s="39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1.25" customHeight="1" x14ac:dyDescent="0.2">
      <c r="A499" s="35" t="s">
        <v>21</v>
      </c>
      <c r="B499" s="35" t="s">
        <v>33</v>
      </c>
      <c r="C499" s="35" t="s">
        <v>23</v>
      </c>
      <c r="D499" s="35" t="s">
        <v>39</v>
      </c>
      <c r="E499" s="35" t="s">
        <v>25</v>
      </c>
      <c r="F499" s="35" t="s">
        <v>25</v>
      </c>
      <c r="G499" s="35" t="s">
        <v>25</v>
      </c>
      <c r="H499" s="35" t="s">
        <v>25</v>
      </c>
      <c r="I499" s="54">
        <v>44562</v>
      </c>
      <c r="J499" s="55">
        <f>EFEITO!$J$499*EFEITO!$Y$499</f>
        <v>0</v>
      </c>
      <c r="K499" s="55">
        <f ca="1">EFEITO!$L$499*EFEITO!$Z$499</f>
        <v>222852.58534361521</v>
      </c>
      <c r="L499" s="55">
        <f>EFEITO!$N$499*EFEITO!$AA$499</f>
        <v>115078.85765045405</v>
      </c>
      <c r="M499" s="55">
        <f>$J$499-EFEITO!$K$499*EFEITO!$Y$499</f>
        <v>0</v>
      </c>
      <c r="N499" s="55">
        <f ca="1">$K$499-EFEITO!$M$499*EFEITO!$Z$499</f>
        <v>0</v>
      </c>
      <c r="O499" s="55">
        <f>$L$499-EFEITO!$O$499*EFEITO!$AA$499</f>
        <v>0</v>
      </c>
      <c r="P499" s="39"/>
      <c r="Q499" s="39"/>
      <c r="R499" s="39"/>
      <c r="S499" s="39"/>
      <c r="T499" s="39"/>
      <c r="U499" s="39"/>
      <c r="V499" s="39"/>
      <c r="W499" s="39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1.25" customHeight="1" x14ac:dyDescent="0.2">
      <c r="A500" s="35" t="s">
        <v>27</v>
      </c>
      <c r="B500" s="35" t="s">
        <v>33</v>
      </c>
      <c r="C500" s="35" t="s">
        <v>23</v>
      </c>
      <c r="D500" s="35" t="s">
        <v>39</v>
      </c>
      <c r="E500" s="35" t="s">
        <v>25</v>
      </c>
      <c r="F500" s="35" t="s">
        <v>25</v>
      </c>
      <c r="G500" s="35" t="s">
        <v>25</v>
      </c>
      <c r="H500" s="35" t="s">
        <v>25</v>
      </c>
      <c r="I500" s="54">
        <v>44562</v>
      </c>
      <c r="J500" s="55">
        <f>EFEITO!$J$500*EFEITO!$Y$500</f>
        <v>0</v>
      </c>
      <c r="K500" s="55">
        <f ca="1">EFEITO!$L$500*EFEITO!$Z$500</f>
        <v>2141.6921877203554</v>
      </c>
      <c r="L500" s="55">
        <f>EFEITO!$N$500*EFEITO!$AA$500</f>
        <v>1105.9485355385921</v>
      </c>
      <c r="M500" s="55">
        <f>$J$500-EFEITO!$K$500*EFEITO!$Y$500</f>
        <v>0</v>
      </c>
      <c r="N500" s="55">
        <f ca="1">$K$500-EFEITO!$M$500*EFEITO!$Z$500</f>
        <v>0</v>
      </c>
      <c r="O500" s="55">
        <f>$L$500-EFEITO!$O$500*EFEITO!$AA$500</f>
        <v>0</v>
      </c>
      <c r="P500" s="39"/>
      <c r="Q500" s="39"/>
      <c r="R500" s="39"/>
      <c r="S500" s="39"/>
      <c r="T500" s="39"/>
      <c r="U500" s="39"/>
      <c r="V500" s="39"/>
      <c r="W500" s="39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1.25" customHeight="1" x14ac:dyDescent="0.2">
      <c r="A501" s="35" t="s">
        <v>28</v>
      </c>
      <c r="B501" s="35" t="s">
        <v>33</v>
      </c>
      <c r="C501" s="35" t="s">
        <v>23</v>
      </c>
      <c r="D501" s="35" t="s">
        <v>39</v>
      </c>
      <c r="E501" s="35" t="s">
        <v>25</v>
      </c>
      <c r="F501" s="35" t="s">
        <v>25</v>
      </c>
      <c r="G501" s="35" t="s">
        <v>25</v>
      </c>
      <c r="H501" s="35" t="s">
        <v>25</v>
      </c>
      <c r="I501" s="54">
        <v>44562</v>
      </c>
      <c r="J501" s="55">
        <f>EFEITO!$J$501*EFEITO!$Y$501</f>
        <v>0</v>
      </c>
      <c r="K501" s="55">
        <f ca="1">EFEITO!$L$501*EFEITO!$Z$501</f>
        <v>28340.588284521848</v>
      </c>
      <c r="L501" s="55">
        <f>EFEITO!$N$501*EFEITO!$AA$501</f>
        <v>14634.797796471046</v>
      </c>
      <c r="M501" s="55">
        <f>$J$501-EFEITO!$K$501*EFEITO!$Y$501</f>
        <v>0</v>
      </c>
      <c r="N501" s="55">
        <f ca="1">$K$501-EFEITO!$M$501*EFEITO!$Z$501</f>
        <v>0</v>
      </c>
      <c r="O501" s="55">
        <f>$L$501-EFEITO!$O$501*EFEITO!$AA$501</f>
        <v>0</v>
      </c>
      <c r="P501" s="39"/>
      <c r="Q501" s="39"/>
      <c r="R501" s="39"/>
      <c r="S501" s="39"/>
      <c r="T501" s="39"/>
      <c r="U501" s="39"/>
      <c r="V501" s="39"/>
      <c r="W501" s="39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1.25" customHeight="1" x14ac:dyDescent="0.2">
      <c r="A502" s="35" t="s">
        <v>21</v>
      </c>
      <c r="B502" s="35" t="s">
        <v>33</v>
      </c>
      <c r="C502" s="35" t="s">
        <v>23</v>
      </c>
      <c r="D502" s="35" t="s">
        <v>39</v>
      </c>
      <c r="E502" s="35" t="s">
        <v>25</v>
      </c>
      <c r="F502" s="35" t="s">
        <v>25</v>
      </c>
      <c r="G502" s="35" t="s">
        <v>25</v>
      </c>
      <c r="H502" s="35" t="s">
        <v>25</v>
      </c>
      <c r="I502" s="54">
        <v>44593</v>
      </c>
      <c r="J502" s="55">
        <f>EFEITO!$J$502*EFEITO!$Y$502</f>
        <v>0</v>
      </c>
      <c r="K502" s="55">
        <f ca="1">EFEITO!$L$502*EFEITO!$Z$502</f>
        <v>220823.10026367975</v>
      </c>
      <c r="L502" s="55">
        <f>EFEITO!$N$502*EFEITO!$AA$502</f>
        <v>114030.85174889586</v>
      </c>
      <c r="M502" s="55">
        <f>$J$502-EFEITO!$K$502*EFEITO!$Y$502</f>
        <v>0</v>
      </c>
      <c r="N502" s="55">
        <f ca="1">$K$502-EFEITO!$M$502*EFEITO!$Z$502</f>
        <v>0</v>
      </c>
      <c r="O502" s="55">
        <f>$L$502-EFEITO!$O$502*EFEITO!$AA$502</f>
        <v>0</v>
      </c>
      <c r="P502" s="39"/>
      <c r="Q502" s="39"/>
      <c r="R502" s="39"/>
      <c r="S502" s="39"/>
      <c r="T502" s="39"/>
      <c r="U502" s="39"/>
      <c r="V502" s="39"/>
      <c r="W502" s="39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1.25" customHeight="1" x14ac:dyDescent="0.2">
      <c r="A503" s="35" t="s">
        <v>28</v>
      </c>
      <c r="B503" s="35" t="s">
        <v>33</v>
      </c>
      <c r="C503" s="35" t="s">
        <v>23</v>
      </c>
      <c r="D503" s="35" t="s">
        <v>39</v>
      </c>
      <c r="E503" s="35" t="s">
        <v>25</v>
      </c>
      <c r="F503" s="35" t="s">
        <v>25</v>
      </c>
      <c r="G503" s="35" t="s">
        <v>25</v>
      </c>
      <c r="H503" s="35" t="s">
        <v>25</v>
      </c>
      <c r="I503" s="54">
        <v>44593</v>
      </c>
      <c r="J503" s="55">
        <f>EFEITO!$J$503*EFEITO!$Y$503</f>
        <v>0</v>
      </c>
      <c r="K503" s="55">
        <f ca="1">EFEITO!$L$503*EFEITO!$Z$503</f>
        <v>34771.03127457697</v>
      </c>
      <c r="L503" s="55">
        <f>EFEITO!$N$503*EFEITO!$AA$503</f>
        <v>17955.414572538059</v>
      </c>
      <c r="M503" s="55">
        <f>$J$503-EFEITO!$K$503*EFEITO!$Y$503</f>
        <v>0</v>
      </c>
      <c r="N503" s="55">
        <f ca="1">$K$503-EFEITO!$M$503*EFEITO!$Z$503</f>
        <v>0</v>
      </c>
      <c r="O503" s="55">
        <f>$L$503-EFEITO!$O$503*EFEITO!$AA$503</f>
        <v>0</v>
      </c>
      <c r="P503" s="39"/>
      <c r="Q503" s="39"/>
      <c r="R503" s="39"/>
      <c r="S503" s="39"/>
      <c r="T503" s="39"/>
      <c r="U503" s="39"/>
      <c r="V503" s="39"/>
      <c r="W503" s="39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1.25" customHeight="1" x14ac:dyDescent="0.2">
      <c r="A504" s="35" t="s">
        <v>21</v>
      </c>
      <c r="B504" s="35" t="s">
        <v>33</v>
      </c>
      <c r="C504" s="35" t="s">
        <v>23</v>
      </c>
      <c r="D504" s="35" t="s">
        <v>39</v>
      </c>
      <c r="E504" s="35" t="s">
        <v>25</v>
      </c>
      <c r="F504" s="35" t="s">
        <v>25</v>
      </c>
      <c r="G504" s="35" t="s">
        <v>25</v>
      </c>
      <c r="H504" s="35" t="s">
        <v>25</v>
      </c>
      <c r="I504" s="54">
        <v>44621</v>
      </c>
      <c r="J504" s="55">
        <f>EFEITO!$J$504*EFEITO!$Y$504</f>
        <v>0</v>
      </c>
      <c r="K504" s="55">
        <f ca="1">EFEITO!$L$504*EFEITO!$Z$504</f>
        <v>209916.56938698812</v>
      </c>
      <c r="L504" s="55">
        <f>EFEITO!$N$504*EFEITO!$AA$504</f>
        <v>108398.82772600275</v>
      </c>
      <c r="M504" s="55">
        <f>$J$504-EFEITO!$K$504*EFEITO!$Y$504</f>
        <v>0</v>
      </c>
      <c r="N504" s="55">
        <f ca="1">$K$504-EFEITO!$M$504*EFEITO!$Z$504</f>
        <v>0</v>
      </c>
      <c r="O504" s="55">
        <f>$L$504-EFEITO!$O$504*EFEITO!$AA$504</f>
        <v>0</v>
      </c>
      <c r="P504" s="39"/>
      <c r="Q504" s="39"/>
      <c r="R504" s="39"/>
      <c r="S504" s="39"/>
      <c r="T504" s="39"/>
      <c r="U504" s="39"/>
      <c r="V504" s="39"/>
      <c r="W504" s="39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1.25" customHeight="1" x14ac:dyDescent="0.2">
      <c r="A505" s="35" t="s">
        <v>28</v>
      </c>
      <c r="B505" s="35" t="s">
        <v>33</v>
      </c>
      <c r="C505" s="35" t="s">
        <v>23</v>
      </c>
      <c r="D505" s="35" t="s">
        <v>39</v>
      </c>
      <c r="E505" s="35" t="s">
        <v>25</v>
      </c>
      <c r="F505" s="35" t="s">
        <v>25</v>
      </c>
      <c r="G505" s="35" t="s">
        <v>25</v>
      </c>
      <c r="H505" s="35" t="s">
        <v>25</v>
      </c>
      <c r="I505" s="54">
        <v>44621</v>
      </c>
      <c r="J505" s="55">
        <f>EFEITO!$J$505*EFEITO!$Y$505</f>
        <v>0</v>
      </c>
      <c r="K505" s="55">
        <f ca="1">EFEITO!$L$505*EFEITO!$Z$505</f>
        <v>38286.528747176722</v>
      </c>
      <c r="L505" s="55">
        <f>EFEITO!$N$505*EFEITO!$AA$505</f>
        <v>19770.782487592976</v>
      </c>
      <c r="M505" s="55">
        <f>$J$505-EFEITO!$K$505*EFEITO!$Y$505</f>
        <v>0</v>
      </c>
      <c r="N505" s="55">
        <f ca="1">$K$505-EFEITO!$M$505*EFEITO!$Z$505</f>
        <v>0</v>
      </c>
      <c r="O505" s="55">
        <f>$L$505-EFEITO!$O$505*EFEITO!$AA$505</f>
        <v>0</v>
      </c>
      <c r="P505" s="39"/>
      <c r="Q505" s="39"/>
      <c r="R505" s="39"/>
      <c r="S505" s="39"/>
      <c r="T505" s="39"/>
      <c r="U505" s="39"/>
      <c r="V505" s="39"/>
      <c r="W505" s="39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1.25" customHeight="1" x14ac:dyDescent="0.2">
      <c r="A506" s="35" t="s">
        <v>21</v>
      </c>
      <c r="B506" s="35" t="s">
        <v>33</v>
      </c>
      <c r="C506" s="35" t="s">
        <v>23</v>
      </c>
      <c r="D506" s="35" t="s">
        <v>39</v>
      </c>
      <c r="E506" s="35" t="s">
        <v>25</v>
      </c>
      <c r="F506" s="35" t="s">
        <v>25</v>
      </c>
      <c r="G506" s="35" t="s">
        <v>25</v>
      </c>
      <c r="H506" s="35" t="s">
        <v>25</v>
      </c>
      <c r="I506" s="54">
        <v>44652</v>
      </c>
      <c r="J506" s="55">
        <f>EFEITO!$J$506*EFEITO!$Y$506</f>
        <v>0</v>
      </c>
      <c r="K506" s="55">
        <f ca="1">EFEITO!$L$506*EFEITO!$Z$506</f>
        <v>184847.06222289111</v>
      </c>
      <c r="L506" s="55">
        <f>EFEITO!$N$506*EFEITO!$AA$506</f>
        <v>95453.183672307612</v>
      </c>
      <c r="M506" s="55">
        <f>$J$506-EFEITO!$K$506*EFEITO!$Y$506</f>
        <v>0</v>
      </c>
      <c r="N506" s="55">
        <f ca="1">$K$506-EFEITO!$M$506*EFEITO!$Z$506</f>
        <v>0</v>
      </c>
      <c r="O506" s="55">
        <f>$L$506-EFEITO!$O$506*EFEITO!$AA$506</f>
        <v>0</v>
      </c>
      <c r="P506" s="39"/>
      <c r="Q506" s="39"/>
      <c r="R506" s="39"/>
      <c r="S506" s="39"/>
      <c r="T506" s="39"/>
      <c r="U506" s="39"/>
      <c r="V506" s="39"/>
      <c r="W506" s="39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1.25" customHeight="1" x14ac:dyDescent="0.2">
      <c r="A507" s="35" t="s">
        <v>27</v>
      </c>
      <c r="B507" s="35" t="s">
        <v>33</v>
      </c>
      <c r="C507" s="35" t="s">
        <v>23</v>
      </c>
      <c r="D507" s="35" t="s">
        <v>39</v>
      </c>
      <c r="E507" s="35" t="s">
        <v>25</v>
      </c>
      <c r="F507" s="35" t="s">
        <v>25</v>
      </c>
      <c r="G507" s="35" t="s">
        <v>25</v>
      </c>
      <c r="H507" s="35" t="s">
        <v>25</v>
      </c>
      <c r="I507" s="54">
        <v>44652</v>
      </c>
      <c r="J507" s="55">
        <f>EFEITO!$J$507*EFEITO!$Y$507</f>
        <v>0</v>
      </c>
      <c r="K507" s="55">
        <f ca="1">EFEITO!$L$507*EFEITO!$Z$507</f>
        <v>-457.12199997584815</v>
      </c>
      <c r="L507" s="55">
        <f>EFEITO!$N$507*EFEITO!$AA$507</f>
        <v>-236.05325234616421</v>
      </c>
      <c r="M507" s="55">
        <f>$J$507-EFEITO!$K$507*EFEITO!$Y$507</f>
        <v>0</v>
      </c>
      <c r="N507" s="55">
        <f ca="1">$K$507-EFEITO!$M$507*EFEITO!$Z$507</f>
        <v>0</v>
      </c>
      <c r="O507" s="55">
        <f>$L$507-EFEITO!$O$507*EFEITO!$AA$507</f>
        <v>0</v>
      </c>
      <c r="P507" s="39"/>
      <c r="Q507" s="39"/>
      <c r="R507" s="39"/>
      <c r="S507" s="39"/>
      <c r="T507" s="39"/>
      <c r="U507" s="39"/>
      <c r="V507" s="39"/>
      <c r="W507" s="39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1.25" customHeight="1" x14ac:dyDescent="0.2">
      <c r="A508" s="35" t="s">
        <v>28</v>
      </c>
      <c r="B508" s="35" t="s">
        <v>33</v>
      </c>
      <c r="C508" s="35" t="s">
        <v>23</v>
      </c>
      <c r="D508" s="35" t="s">
        <v>39</v>
      </c>
      <c r="E508" s="35" t="s">
        <v>25</v>
      </c>
      <c r="F508" s="35" t="s">
        <v>25</v>
      </c>
      <c r="G508" s="35" t="s">
        <v>25</v>
      </c>
      <c r="H508" s="35" t="s">
        <v>25</v>
      </c>
      <c r="I508" s="54">
        <v>44652</v>
      </c>
      <c r="J508" s="55">
        <f>EFEITO!$J$508*EFEITO!$Y$508</f>
        <v>0</v>
      </c>
      <c r="K508" s="55">
        <f ca="1">EFEITO!$L$508*EFEITO!$Z$508</f>
        <v>35812.605949015007</v>
      </c>
      <c r="L508" s="55">
        <f>EFEITO!$N$508*EFEITO!$AA$508</f>
        <v>18493.273370573341</v>
      </c>
      <c r="M508" s="55">
        <f>$J$508-EFEITO!$K$508*EFEITO!$Y$508</f>
        <v>0</v>
      </c>
      <c r="N508" s="55">
        <f ca="1">$K$508-EFEITO!$M$508*EFEITO!$Z$508</f>
        <v>0</v>
      </c>
      <c r="O508" s="55">
        <f>$L$508-EFEITO!$O$508*EFEITO!$AA$508</f>
        <v>0</v>
      </c>
      <c r="P508" s="39"/>
      <c r="Q508" s="39"/>
      <c r="R508" s="39"/>
      <c r="S508" s="39"/>
      <c r="T508" s="39"/>
      <c r="U508" s="39"/>
      <c r="V508" s="39"/>
      <c r="W508" s="39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1.25" customHeight="1" x14ac:dyDescent="0.2">
      <c r="A509" s="35" t="s">
        <v>28</v>
      </c>
      <c r="B509" s="35" t="s">
        <v>33</v>
      </c>
      <c r="C509" s="35" t="s">
        <v>23</v>
      </c>
      <c r="D509" s="35" t="s">
        <v>39</v>
      </c>
      <c r="E509" s="35" t="s">
        <v>25</v>
      </c>
      <c r="F509" s="35" t="s">
        <v>25</v>
      </c>
      <c r="G509" s="35" t="s">
        <v>25</v>
      </c>
      <c r="H509" s="35" t="s">
        <v>25</v>
      </c>
      <c r="I509" s="54">
        <v>44652</v>
      </c>
      <c r="J509" s="55">
        <f>EFEITO!$J$509*EFEITO!$Y$509</f>
        <v>0</v>
      </c>
      <c r="K509" s="55">
        <f ca="1">EFEITO!$L$509*EFEITO!$Z$509</f>
        <v>-1057.6739551202122</v>
      </c>
      <c r="L509" s="55">
        <f>EFEITO!$N$509*EFEITO!$AA$509</f>
        <v>-546.17230638899036</v>
      </c>
      <c r="M509" s="55">
        <f>$J$509-EFEITO!$K$509*EFEITO!$Y$509</f>
        <v>0</v>
      </c>
      <c r="N509" s="55">
        <f ca="1">$K$509-EFEITO!$M$509*EFEITO!$Z$509</f>
        <v>0</v>
      </c>
      <c r="O509" s="55">
        <f>$L$509-EFEITO!$O$509*EFEITO!$AA$509</f>
        <v>0</v>
      </c>
      <c r="P509" s="39"/>
      <c r="Q509" s="39"/>
      <c r="R509" s="39"/>
      <c r="S509" s="39"/>
      <c r="T509" s="39"/>
      <c r="U509" s="39"/>
      <c r="V509" s="39"/>
      <c r="W509" s="39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1.25" customHeight="1" x14ac:dyDescent="0.2">
      <c r="A510" s="35" t="s">
        <v>21</v>
      </c>
      <c r="B510" s="35" t="s">
        <v>33</v>
      </c>
      <c r="C510" s="35" t="s">
        <v>23</v>
      </c>
      <c r="D510" s="35" t="s">
        <v>39</v>
      </c>
      <c r="E510" s="35" t="s">
        <v>25</v>
      </c>
      <c r="F510" s="35" t="s">
        <v>25</v>
      </c>
      <c r="G510" s="35" t="s">
        <v>25</v>
      </c>
      <c r="H510" s="35" t="s">
        <v>25</v>
      </c>
      <c r="I510" s="54">
        <v>44682</v>
      </c>
      <c r="J510" s="55">
        <f>EFEITO!$J$510*EFEITO!$Y$510</f>
        <v>0</v>
      </c>
      <c r="K510" s="55">
        <f ca="1">EFEITO!$L$510*EFEITO!$Z$510</f>
        <v>195540.8874517818</v>
      </c>
      <c r="L510" s="55">
        <f>EFEITO!$N$510*EFEITO!$AA$510</f>
        <v>100975.36861513356</v>
      </c>
      <c r="M510" s="55">
        <f>$J$510-EFEITO!$K$510*EFEITO!$Y$510</f>
        <v>0</v>
      </c>
      <c r="N510" s="55">
        <f ca="1">$K$510-EFEITO!$M$510*EFEITO!$Z$510</f>
        <v>0</v>
      </c>
      <c r="O510" s="55">
        <f>$L$510-EFEITO!$O$510*EFEITO!$AA$510</f>
        <v>0</v>
      </c>
      <c r="P510" s="39"/>
      <c r="Q510" s="39"/>
      <c r="R510" s="39"/>
      <c r="S510" s="39"/>
      <c r="T510" s="39"/>
      <c r="U510" s="39"/>
      <c r="V510" s="39"/>
      <c r="W510" s="39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1.25" customHeight="1" x14ac:dyDescent="0.2">
      <c r="A511" s="35" t="s">
        <v>28</v>
      </c>
      <c r="B511" s="35" t="s">
        <v>33</v>
      </c>
      <c r="C511" s="35" t="s">
        <v>23</v>
      </c>
      <c r="D511" s="35" t="s">
        <v>39</v>
      </c>
      <c r="E511" s="35" t="s">
        <v>25</v>
      </c>
      <c r="F511" s="35" t="s">
        <v>25</v>
      </c>
      <c r="G511" s="35" t="s">
        <v>25</v>
      </c>
      <c r="H511" s="35" t="s">
        <v>25</v>
      </c>
      <c r="I511" s="54">
        <v>44682</v>
      </c>
      <c r="J511" s="55">
        <f>EFEITO!$J$511*EFEITO!$Y$511</f>
        <v>0</v>
      </c>
      <c r="K511" s="55">
        <f ca="1">EFEITO!$L$511*EFEITO!$Z$511</f>
        <v>41667.377690434594</v>
      </c>
      <c r="L511" s="55">
        <f>EFEITO!$N$511*EFEITO!$AA$511</f>
        <v>21516.619241871442</v>
      </c>
      <c r="M511" s="55">
        <f>$J$511-EFEITO!$K$511*EFEITO!$Y$511</f>
        <v>0</v>
      </c>
      <c r="N511" s="55">
        <f ca="1">$K$511-EFEITO!$M$511*EFEITO!$Z$511</f>
        <v>0</v>
      </c>
      <c r="O511" s="55">
        <f>$L$511-EFEITO!$O$511*EFEITO!$AA$511</f>
        <v>0</v>
      </c>
      <c r="P511" s="39"/>
      <c r="Q511" s="39"/>
      <c r="R511" s="39"/>
      <c r="S511" s="39"/>
      <c r="T511" s="39"/>
      <c r="U511" s="39"/>
      <c r="V511" s="39"/>
      <c r="W511" s="39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1.25" customHeight="1" x14ac:dyDescent="0.2">
      <c r="A512" s="35" t="s">
        <v>21</v>
      </c>
      <c r="B512" s="35" t="s">
        <v>33</v>
      </c>
      <c r="C512" s="35" t="s">
        <v>23</v>
      </c>
      <c r="D512" s="35" t="s">
        <v>39</v>
      </c>
      <c r="E512" s="35" t="s">
        <v>25</v>
      </c>
      <c r="F512" s="35" t="s">
        <v>25</v>
      </c>
      <c r="G512" s="35" t="s">
        <v>25</v>
      </c>
      <c r="H512" s="35" t="s">
        <v>25</v>
      </c>
      <c r="I512" s="54">
        <v>44713</v>
      </c>
      <c r="J512" s="55">
        <f>EFEITO!$J$512*EFEITO!$Y$512</f>
        <v>0</v>
      </c>
      <c r="K512" s="55">
        <f ca="1">EFEITO!$L$512*EFEITO!$Z$512</f>
        <v>164323.40649505335</v>
      </c>
      <c r="L512" s="55">
        <f>EFEITO!$N$512*EFEITO!$AA$512</f>
        <v>84854.972068304647</v>
      </c>
      <c r="M512" s="55">
        <f>$J$512-EFEITO!$K$512*EFEITO!$Y$512</f>
        <v>0</v>
      </c>
      <c r="N512" s="55">
        <f ca="1">$K$512-EFEITO!$M$512*EFEITO!$Z$512</f>
        <v>0</v>
      </c>
      <c r="O512" s="55">
        <f>$L$512-EFEITO!$O$512*EFEITO!$AA$512</f>
        <v>0</v>
      </c>
      <c r="P512" s="39"/>
      <c r="Q512" s="39"/>
      <c r="R512" s="39"/>
      <c r="S512" s="39"/>
      <c r="T512" s="39"/>
      <c r="U512" s="39"/>
      <c r="V512" s="39"/>
      <c r="W512" s="39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1.25" customHeight="1" x14ac:dyDescent="0.2">
      <c r="A513" s="35" t="s">
        <v>27</v>
      </c>
      <c r="B513" s="35" t="s">
        <v>33</v>
      </c>
      <c r="C513" s="35" t="s">
        <v>23</v>
      </c>
      <c r="D513" s="35" t="s">
        <v>39</v>
      </c>
      <c r="E513" s="35" t="s">
        <v>25</v>
      </c>
      <c r="F513" s="35" t="s">
        <v>25</v>
      </c>
      <c r="G513" s="35" t="s">
        <v>25</v>
      </c>
      <c r="H513" s="35" t="s">
        <v>25</v>
      </c>
      <c r="I513" s="54">
        <v>44713</v>
      </c>
      <c r="J513" s="55">
        <f>EFEITO!$J$513*EFEITO!$Y$513</f>
        <v>0</v>
      </c>
      <c r="K513" s="55">
        <f ca="1">EFEITO!$L$513*EFEITO!$Z$513</f>
        <v>-141.96638419740853</v>
      </c>
      <c r="L513" s="55">
        <f>EFEITO!$N$513*EFEITO!$AA$513</f>
        <v>-73.310028209961345</v>
      </c>
      <c r="M513" s="55">
        <f>$J$513-EFEITO!$K$513*EFEITO!$Y$513</f>
        <v>0</v>
      </c>
      <c r="N513" s="55">
        <f ca="1">$K$513-EFEITO!$M$513*EFEITO!$Z$513</f>
        <v>0</v>
      </c>
      <c r="O513" s="55">
        <f>$L$513-EFEITO!$O$513*EFEITO!$AA$513</f>
        <v>0</v>
      </c>
      <c r="P513" s="39"/>
      <c r="Q513" s="39"/>
      <c r="R513" s="39"/>
      <c r="S513" s="39"/>
      <c r="T513" s="39"/>
      <c r="U513" s="39"/>
      <c r="V513" s="39"/>
      <c r="W513" s="39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1.25" customHeight="1" x14ac:dyDescent="0.2">
      <c r="A514" s="35" t="s">
        <v>28</v>
      </c>
      <c r="B514" s="35" t="s">
        <v>33</v>
      </c>
      <c r="C514" s="35" t="s">
        <v>23</v>
      </c>
      <c r="D514" s="35" t="s">
        <v>39</v>
      </c>
      <c r="E514" s="35" t="s">
        <v>25</v>
      </c>
      <c r="F514" s="35" t="s">
        <v>25</v>
      </c>
      <c r="G514" s="35" t="s">
        <v>25</v>
      </c>
      <c r="H514" s="35" t="s">
        <v>25</v>
      </c>
      <c r="I514" s="54">
        <v>44713</v>
      </c>
      <c r="J514" s="55">
        <f>EFEITO!$J$514*EFEITO!$Y$514</f>
        <v>0</v>
      </c>
      <c r="K514" s="55">
        <f ca="1">EFEITO!$L$514*EFEITO!$Z$514</f>
        <v>50328.302840457254</v>
      </c>
      <c r="L514" s="55">
        <f>EFEITO!$N$514*EFEITO!$AA$514</f>
        <v>25989.034811670215</v>
      </c>
      <c r="M514" s="55">
        <f>$J$514-EFEITO!$K$514*EFEITO!$Y$514</f>
        <v>0</v>
      </c>
      <c r="N514" s="55">
        <f ca="1">$K$514-EFEITO!$M$514*EFEITO!$Z$514</f>
        <v>0</v>
      </c>
      <c r="O514" s="55">
        <f>$L$514-EFEITO!$O$514*EFEITO!$AA$514</f>
        <v>0</v>
      </c>
      <c r="P514" s="39"/>
      <c r="Q514" s="39"/>
      <c r="R514" s="39"/>
      <c r="S514" s="39"/>
      <c r="T514" s="39"/>
      <c r="U514" s="39"/>
      <c r="V514" s="39"/>
      <c r="W514" s="39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1.25" customHeight="1" x14ac:dyDescent="0.2">
      <c r="A515" s="35" t="s">
        <v>21</v>
      </c>
      <c r="B515" s="35" t="s">
        <v>33</v>
      </c>
      <c r="C515" s="35" t="s">
        <v>23</v>
      </c>
      <c r="D515" s="35" t="s">
        <v>48</v>
      </c>
      <c r="E515" s="35" t="s">
        <v>25</v>
      </c>
      <c r="F515" s="35" t="s">
        <v>25</v>
      </c>
      <c r="G515" s="35" t="s">
        <v>25</v>
      </c>
      <c r="H515" s="35" t="s">
        <v>25</v>
      </c>
      <c r="I515" s="54">
        <v>44378</v>
      </c>
      <c r="J515" s="55">
        <f>EFEITO!$J$515*EFEITO!$Y$515</f>
        <v>0</v>
      </c>
      <c r="K515" s="55">
        <f ca="1">EFEITO!$L$515*EFEITO!$Z$515</f>
        <v>3705.2738418533258</v>
      </c>
      <c r="L515" s="55">
        <f>EFEITO!$N$515*EFEITO!$AA$515</f>
        <v>1913.3665438304345</v>
      </c>
      <c r="M515" s="55">
        <f>$J$515-EFEITO!$K$515*EFEITO!$Y$515</f>
        <v>0</v>
      </c>
      <c r="N515" s="55">
        <f ca="1">$K$515-EFEITO!$M$515*EFEITO!$Z$515</f>
        <v>0</v>
      </c>
      <c r="O515" s="55">
        <f>$L$515-EFEITO!$O$515*EFEITO!$AA$515</f>
        <v>0</v>
      </c>
      <c r="P515" s="39"/>
      <c r="Q515" s="39"/>
      <c r="R515" s="39"/>
      <c r="S515" s="39"/>
      <c r="T515" s="39"/>
      <c r="U515" s="39"/>
      <c r="V515" s="39"/>
      <c r="W515" s="39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1.25" customHeight="1" x14ac:dyDescent="0.2">
      <c r="A516" s="35" t="s">
        <v>21</v>
      </c>
      <c r="B516" s="35" t="s">
        <v>33</v>
      </c>
      <c r="C516" s="35" t="s">
        <v>23</v>
      </c>
      <c r="D516" s="35" t="s">
        <v>48</v>
      </c>
      <c r="E516" s="35" t="s">
        <v>25</v>
      </c>
      <c r="F516" s="35" t="s">
        <v>25</v>
      </c>
      <c r="G516" s="35" t="s">
        <v>25</v>
      </c>
      <c r="H516" s="35" t="s">
        <v>25</v>
      </c>
      <c r="I516" s="54">
        <v>44409</v>
      </c>
      <c r="J516" s="55">
        <f>EFEITO!$J$516*EFEITO!$Y$516</f>
        <v>0</v>
      </c>
      <c r="K516" s="55">
        <f ca="1">EFEITO!$L$516*EFEITO!$Z$516</f>
        <v>3535.9874661952481</v>
      </c>
      <c r="L516" s="55">
        <f>EFEITO!$N$516*EFEITO!$AA$516</f>
        <v>1825.9487438687281</v>
      </c>
      <c r="M516" s="55">
        <f>$J$516-EFEITO!$K$516*EFEITO!$Y$516</f>
        <v>0</v>
      </c>
      <c r="N516" s="55">
        <f ca="1">$K$516-EFEITO!$M$516*EFEITO!$Z$516</f>
        <v>0</v>
      </c>
      <c r="O516" s="55">
        <f>$L$516-EFEITO!$O$516*EFEITO!$AA$516</f>
        <v>0</v>
      </c>
      <c r="P516" s="39"/>
      <c r="Q516" s="39"/>
      <c r="R516" s="39"/>
      <c r="S516" s="39"/>
      <c r="T516" s="39"/>
      <c r="U516" s="39"/>
      <c r="V516" s="39"/>
      <c r="W516" s="39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1.25" customHeight="1" x14ac:dyDescent="0.2">
      <c r="A517" s="35" t="s">
        <v>21</v>
      </c>
      <c r="B517" s="35" t="s">
        <v>33</v>
      </c>
      <c r="C517" s="35" t="s">
        <v>23</v>
      </c>
      <c r="D517" s="35" t="s">
        <v>48</v>
      </c>
      <c r="E517" s="35" t="s">
        <v>25</v>
      </c>
      <c r="F517" s="35" t="s">
        <v>25</v>
      </c>
      <c r="G517" s="35" t="s">
        <v>25</v>
      </c>
      <c r="H517" s="35" t="s">
        <v>25</v>
      </c>
      <c r="I517" s="54">
        <v>44440</v>
      </c>
      <c r="J517" s="55">
        <f>EFEITO!$J$517*EFEITO!$Y$517</f>
        <v>0</v>
      </c>
      <c r="K517" s="55">
        <f ca="1">EFEITO!$L$517*EFEITO!$Z$517</f>
        <v>2956.9012186271243</v>
      </c>
      <c r="L517" s="55">
        <f>EFEITO!$N$517*EFEITO!$AA$517</f>
        <v>1526.9143676308445</v>
      </c>
      <c r="M517" s="55">
        <f>$J$517-EFEITO!$K$517*EFEITO!$Y$517</f>
        <v>0</v>
      </c>
      <c r="N517" s="55">
        <f ca="1">$K$517-EFEITO!$M$517*EFEITO!$Z$517</f>
        <v>0</v>
      </c>
      <c r="O517" s="55">
        <f>$L$517-EFEITO!$O$517*EFEITO!$AA$517</f>
        <v>0</v>
      </c>
      <c r="P517" s="39"/>
      <c r="Q517" s="39"/>
      <c r="R517" s="39"/>
      <c r="S517" s="39"/>
      <c r="T517" s="39"/>
      <c r="U517" s="39"/>
      <c r="V517" s="39"/>
      <c r="W517" s="39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1.25" customHeight="1" x14ac:dyDescent="0.2">
      <c r="A518" s="35" t="s">
        <v>21</v>
      </c>
      <c r="B518" s="35" t="s">
        <v>33</v>
      </c>
      <c r="C518" s="35" t="s">
        <v>23</v>
      </c>
      <c r="D518" s="35" t="s">
        <v>48</v>
      </c>
      <c r="E518" s="35" t="s">
        <v>25</v>
      </c>
      <c r="F518" s="35" t="s">
        <v>25</v>
      </c>
      <c r="G518" s="35" t="s">
        <v>25</v>
      </c>
      <c r="H518" s="35" t="s">
        <v>25</v>
      </c>
      <c r="I518" s="54">
        <v>44470</v>
      </c>
      <c r="J518" s="55">
        <f>EFEITO!$J$518*EFEITO!$Y$518</f>
        <v>0</v>
      </c>
      <c r="K518" s="55">
        <f ca="1">EFEITO!$L$518*EFEITO!$Z$518</f>
        <v>2796.39626879569</v>
      </c>
      <c r="L518" s="55">
        <f>EFEITO!$N$518*EFEITO!$AA$518</f>
        <v>1444.0312085893418</v>
      </c>
      <c r="M518" s="55">
        <f>$J$518-EFEITO!$K$518*EFEITO!$Y$518</f>
        <v>0</v>
      </c>
      <c r="N518" s="55">
        <f ca="1">$K$518-EFEITO!$M$518*EFEITO!$Z$518</f>
        <v>0</v>
      </c>
      <c r="O518" s="55">
        <f>$L$518-EFEITO!$O$518*EFEITO!$AA$518</f>
        <v>0</v>
      </c>
      <c r="P518" s="39"/>
      <c r="Q518" s="39"/>
      <c r="R518" s="39"/>
      <c r="S518" s="39"/>
      <c r="T518" s="39"/>
      <c r="U518" s="39"/>
      <c r="V518" s="39"/>
      <c r="W518" s="39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1.25" customHeight="1" x14ac:dyDescent="0.2">
      <c r="A519" s="35" t="s">
        <v>21</v>
      </c>
      <c r="B519" s="35" t="s">
        <v>33</v>
      </c>
      <c r="C519" s="35" t="s">
        <v>23</v>
      </c>
      <c r="D519" s="35" t="s">
        <v>48</v>
      </c>
      <c r="E519" s="35" t="s">
        <v>25</v>
      </c>
      <c r="F519" s="35" t="s">
        <v>25</v>
      </c>
      <c r="G519" s="35" t="s">
        <v>25</v>
      </c>
      <c r="H519" s="35" t="s">
        <v>25</v>
      </c>
      <c r="I519" s="54">
        <v>44501</v>
      </c>
      <c r="J519" s="55">
        <f>EFEITO!$J$519*EFEITO!$Y$519</f>
        <v>0</v>
      </c>
      <c r="K519" s="55">
        <f ca="1">EFEITO!$L$519*EFEITO!$Z$519</f>
        <v>3485.7381961872302</v>
      </c>
      <c r="L519" s="55">
        <f>EFEITO!$N$519*EFEITO!$AA$519</f>
        <v>1800.0005208253394</v>
      </c>
      <c r="M519" s="55">
        <f>$J$519-EFEITO!$K$519*EFEITO!$Y$519</f>
        <v>0</v>
      </c>
      <c r="N519" s="55">
        <f ca="1">$K$519-EFEITO!$M$519*EFEITO!$Z$519</f>
        <v>0</v>
      </c>
      <c r="O519" s="55">
        <f>$L$519-EFEITO!$O$519*EFEITO!$AA$519</f>
        <v>0</v>
      </c>
      <c r="P519" s="39"/>
      <c r="Q519" s="39"/>
      <c r="R519" s="39"/>
      <c r="S519" s="39"/>
      <c r="T519" s="39"/>
      <c r="U519" s="39"/>
      <c r="V519" s="39"/>
      <c r="W519" s="39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1.25" customHeight="1" x14ac:dyDescent="0.2">
      <c r="A520" s="35" t="s">
        <v>21</v>
      </c>
      <c r="B520" s="35" t="s">
        <v>33</v>
      </c>
      <c r="C520" s="35" t="s">
        <v>23</v>
      </c>
      <c r="D520" s="35" t="s">
        <v>48</v>
      </c>
      <c r="E520" s="35" t="s">
        <v>25</v>
      </c>
      <c r="F520" s="35" t="s">
        <v>25</v>
      </c>
      <c r="G520" s="35" t="s">
        <v>25</v>
      </c>
      <c r="H520" s="35" t="s">
        <v>25</v>
      </c>
      <c r="I520" s="54">
        <v>44531</v>
      </c>
      <c r="J520" s="55">
        <f>EFEITO!$J$520*EFEITO!$Y$520</f>
        <v>0</v>
      </c>
      <c r="K520" s="55">
        <f ca="1">EFEITO!$L$520*EFEITO!$Z$520</f>
        <v>3639.4131481534973</v>
      </c>
      <c r="L520" s="55">
        <f>EFEITO!$N$520*EFEITO!$AA$520</f>
        <v>1879.356736928906</v>
      </c>
      <c r="M520" s="55">
        <f>$J$520-EFEITO!$K$520*EFEITO!$Y$520</f>
        <v>0</v>
      </c>
      <c r="N520" s="55">
        <f ca="1">$K$520-EFEITO!$M$520*EFEITO!$Z$520</f>
        <v>0</v>
      </c>
      <c r="O520" s="55">
        <f>$L$520-EFEITO!$O$520*EFEITO!$AA$520</f>
        <v>0</v>
      </c>
      <c r="P520" s="39"/>
      <c r="Q520" s="39"/>
      <c r="R520" s="39"/>
      <c r="S520" s="39"/>
      <c r="T520" s="39"/>
      <c r="U520" s="39"/>
      <c r="V520" s="39"/>
      <c r="W520" s="39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1.25" customHeight="1" x14ac:dyDescent="0.2">
      <c r="A521" s="35" t="s">
        <v>21</v>
      </c>
      <c r="B521" s="35" t="s">
        <v>33</v>
      </c>
      <c r="C521" s="35" t="s">
        <v>23</v>
      </c>
      <c r="D521" s="35" t="s">
        <v>48</v>
      </c>
      <c r="E521" s="35" t="s">
        <v>25</v>
      </c>
      <c r="F521" s="35" t="s">
        <v>25</v>
      </c>
      <c r="G521" s="35" t="s">
        <v>25</v>
      </c>
      <c r="H521" s="35" t="s">
        <v>25</v>
      </c>
      <c r="I521" s="54">
        <v>44562</v>
      </c>
      <c r="J521" s="55">
        <f>EFEITO!$J$521*EFEITO!$Y$521</f>
        <v>0</v>
      </c>
      <c r="K521" s="55">
        <f ca="1">EFEITO!$L$521*EFEITO!$Z$521</f>
        <v>5280.0762067647865</v>
      </c>
      <c r="L521" s="55">
        <f>EFEITO!$N$521*EFEITO!$AA$521</f>
        <v>2726.5788155203149</v>
      </c>
      <c r="M521" s="55">
        <f>$J$521-EFEITO!$K$521*EFEITO!$Y$521</f>
        <v>0</v>
      </c>
      <c r="N521" s="55">
        <f ca="1">$K$521-EFEITO!$M$521*EFEITO!$Z$521</f>
        <v>0</v>
      </c>
      <c r="O521" s="55">
        <f>$L$521-EFEITO!$O$521*EFEITO!$AA$521</f>
        <v>0</v>
      </c>
      <c r="P521" s="39"/>
      <c r="Q521" s="39"/>
      <c r="R521" s="39"/>
      <c r="S521" s="39"/>
      <c r="T521" s="39"/>
      <c r="U521" s="39"/>
      <c r="V521" s="39"/>
      <c r="W521" s="39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1.25" customHeight="1" x14ac:dyDescent="0.2">
      <c r="A522" s="35" t="s">
        <v>21</v>
      </c>
      <c r="B522" s="35" t="s">
        <v>33</v>
      </c>
      <c r="C522" s="35" t="s">
        <v>23</v>
      </c>
      <c r="D522" s="35" t="s">
        <v>48</v>
      </c>
      <c r="E522" s="35" t="s">
        <v>25</v>
      </c>
      <c r="F522" s="35" t="s">
        <v>25</v>
      </c>
      <c r="G522" s="35" t="s">
        <v>25</v>
      </c>
      <c r="H522" s="35" t="s">
        <v>25</v>
      </c>
      <c r="I522" s="54">
        <v>44593</v>
      </c>
      <c r="J522" s="55">
        <f>EFEITO!$J$522*EFEITO!$Y$522</f>
        <v>0</v>
      </c>
      <c r="K522" s="55">
        <f ca="1">EFEITO!$L$522*EFEITO!$Z$522</f>
        <v>4872.2277628162174</v>
      </c>
      <c r="L522" s="55">
        <f>EFEITO!$N$522*EFEITO!$AA$522</f>
        <v>2515.9699372264054</v>
      </c>
      <c r="M522" s="55">
        <f>$J$522-EFEITO!$K$522*EFEITO!$Y$522</f>
        <v>0</v>
      </c>
      <c r="N522" s="55">
        <f ca="1">$K$522-EFEITO!$M$522*EFEITO!$Z$522</f>
        <v>0</v>
      </c>
      <c r="O522" s="55">
        <f>$L$522-EFEITO!$O$522*EFEITO!$AA$522</f>
        <v>0</v>
      </c>
      <c r="P522" s="39"/>
      <c r="Q522" s="39"/>
      <c r="R522" s="39"/>
      <c r="S522" s="39"/>
      <c r="T522" s="39"/>
      <c r="U522" s="39"/>
      <c r="V522" s="39"/>
      <c r="W522" s="39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1.25" customHeight="1" x14ac:dyDescent="0.2">
      <c r="A523" s="35" t="s">
        <v>21</v>
      </c>
      <c r="B523" s="35" t="s">
        <v>33</v>
      </c>
      <c r="C523" s="35" t="s">
        <v>23</v>
      </c>
      <c r="D523" s="35" t="s">
        <v>48</v>
      </c>
      <c r="E523" s="35" t="s">
        <v>25</v>
      </c>
      <c r="F523" s="35" t="s">
        <v>25</v>
      </c>
      <c r="G523" s="35" t="s">
        <v>25</v>
      </c>
      <c r="H523" s="35" t="s">
        <v>25</v>
      </c>
      <c r="I523" s="54">
        <v>44621</v>
      </c>
      <c r="J523" s="55">
        <f>EFEITO!$J$523*EFEITO!$Y$523</f>
        <v>0</v>
      </c>
      <c r="K523" s="55">
        <f ca="1">EFEITO!$L$523*EFEITO!$Z$523</f>
        <v>4406.3243370137252</v>
      </c>
      <c r="L523" s="55">
        <f>EFEITO!$N$523*EFEITO!$AA$523</f>
        <v>2275.3820439600372</v>
      </c>
      <c r="M523" s="55">
        <f>$J$523-EFEITO!$K$523*EFEITO!$Y$523</f>
        <v>0</v>
      </c>
      <c r="N523" s="55">
        <f ca="1">$K$523-EFEITO!$M$523*EFEITO!$Z$523</f>
        <v>0</v>
      </c>
      <c r="O523" s="55">
        <f>$L$523-EFEITO!$O$523*EFEITO!$AA$523</f>
        <v>0</v>
      </c>
      <c r="P523" s="39"/>
      <c r="Q523" s="39"/>
      <c r="R523" s="39"/>
      <c r="S523" s="39"/>
      <c r="T523" s="39"/>
      <c r="U523" s="39"/>
      <c r="V523" s="39"/>
      <c r="W523" s="39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1.25" customHeight="1" x14ac:dyDescent="0.2">
      <c r="A524" s="35" t="s">
        <v>21</v>
      </c>
      <c r="B524" s="35" t="s">
        <v>33</v>
      </c>
      <c r="C524" s="35" t="s">
        <v>23</v>
      </c>
      <c r="D524" s="35" t="s">
        <v>48</v>
      </c>
      <c r="E524" s="35" t="s">
        <v>25</v>
      </c>
      <c r="F524" s="35" t="s">
        <v>25</v>
      </c>
      <c r="G524" s="35" t="s">
        <v>25</v>
      </c>
      <c r="H524" s="35" t="s">
        <v>25</v>
      </c>
      <c r="I524" s="54">
        <v>44652</v>
      </c>
      <c r="J524" s="55">
        <f>EFEITO!$J$524*EFEITO!$Y$524</f>
        <v>0</v>
      </c>
      <c r="K524" s="55">
        <f ca="1">EFEITO!$L$524*EFEITO!$Z$524</f>
        <v>3225.7104203204995</v>
      </c>
      <c r="L524" s="55">
        <f>EFEITO!$N$524*EFEITO!$AA$524</f>
        <v>1665.724764688194</v>
      </c>
      <c r="M524" s="55">
        <f>$J$524-EFEITO!$K$524*EFEITO!$Y$524</f>
        <v>0</v>
      </c>
      <c r="N524" s="55">
        <f ca="1">$K$524-EFEITO!$M$524*EFEITO!$Z$524</f>
        <v>0</v>
      </c>
      <c r="O524" s="55">
        <f>$L$524-EFEITO!$O$524*EFEITO!$AA$524</f>
        <v>0</v>
      </c>
      <c r="P524" s="39"/>
      <c r="Q524" s="39"/>
      <c r="R524" s="39"/>
      <c r="S524" s="39"/>
      <c r="T524" s="39"/>
      <c r="U524" s="39"/>
      <c r="V524" s="39"/>
      <c r="W524" s="39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1.25" customHeight="1" x14ac:dyDescent="0.2">
      <c r="A525" s="35" t="s">
        <v>21</v>
      </c>
      <c r="B525" s="35" t="s">
        <v>33</v>
      </c>
      <c r="C525" s="35" t="s">
        <v>23</v>
      </c>
      <c r="D525" s="35" t="s">
        <v>48</v>
      </c>
      <c r="E525" s="35" t="s">
        <v>25</v>
      </c>
      <c r="F525" s="35" t="s">
        <v>25</v>
      </c>
      <c r="G525" s="35" t="s">
        <v>25</v>
      </c>
      <c r="H525" s="35" t="s">
        <v>25</v>
      </c>
      <c r="I525" s="54">
        <v>44682</v>
      </c>
      <c r="J525" s="55">
        <f>EFEITO!$J$525*EFEITO!$Y$525</f>
        <v>0</v>
      </c>
      <c r="K525" s="55">
        <f ca="1">EFEITO!$L$525*EFEITO!$Z$525</f>
        <v>3248.1518418774781</v>
      </c>
      <c r="L525" s="55">
        <f>EFEITO!$N$525*EFEITO!$AA$525</f>
        <v>1677.3132914842704</v>
      </c>
      <c r="M525" s="55">
        <f>$J$525-EFEITO!$K$525*EFEITO!$Y$525</f>
        <v>0</v>
      </c>
      <c r="N525" s="55">
        <f ca="1">$K$525-EFEITO!$M$525*EFEITO!$Z$525</f>
        <v>0</v>
      </c>
      <c r="O525" s="55">
        <f>$L$525-EFEITO!$O$525*EFEITO!$AA$525</f>
        <v>0</v>
      </c>
      <c r="P525" s="39"/>
      <c r="Q525" s="39"/>
      <c r="R525" s="39"/>
      <c r="S525" s="39"/>
      <c r="T525" s="39"/>
      <c r="U525" s="39"/>
      <c r="V525" s="39"/>
      <c r="W525" s="39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1.25" customHeight="1" x14ac:dyDescent="0.2">
      <c r="A526" s="35" t="s">
        <v>21</v>
      </c>
      <c r="B526" s="35" t="s">
        <v>33</v>
      </c>
      <c r="C526" s="35" t="s">
        <v>23</v>
      </c>
      <c r="D526" s="35" t="s">
        <v>48</v>
      </c>
      <c r="E526" s="35" t="s">
        <v>25</v>
      </c>
      <c r="F526" s="35" t="s">
        <v>25</v>
      </c>
      <c r="G526" s="35" t="s">
        <v>25</v>
      </c>
      <c r="H526" s="35" t="s">
        <v>25</v>
      </c>
      <c r="I526" s="54">
        <v>44713</v>
      </c>
      <c r="J526" s="55">
        <f>EFEITO!$J$526*EFEITO!$Y$526</f>
        <v>0</v>
      </c>
      <c r="K526" s="55">
        <f ca="1">EFEITO!$L$526*EFEITO!$Z$526</f>
        <v>3772.1102495338932</v>
      </c>
      <c r="L526" s="55">
        <f>EFEITO!$N$526*EFEITO!$AA$526</f>
        <v>1947.8801997230967</v>
      </c>
      <c r="M526" s="55">
        <f>$J$526-EFEITO!$K$526*EFEITO!$Y$526</f>
        <v>0</v>
      </c>
      <c r="N526" s="55">
        <f ca="1">$K$526-EFEITO!$M$526*EFEITO!$Z$526</f>
        <v>0</v>
      </c>
      <c r="O526" s="55">
        <f>$L$526-EFEITO!$O$526*EFEITO!$AA$526</f>
        <v>0</v>
      </c>
      <c r="P526" s="39"/>
      <c r="Q526" s="39"/>
      <c r="R526" s="39"/>
      <c r="S526" s="39"/>
      <c r="T526" s="39"/>
      <c r="U526" s="39"/>
      <c r="V526" s="39"/>
      <c r="W526" s="39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1.25" customHeight="1" x14ac:dyDescent="0.2">
      <c r="A527" s="35" t="s">
        <v>21</v>
      </c>
      <c r="B527" s="35" t="s">
        <v>33</v>
      </c>
      <c r="C527" s="35" t="s">
        <v>23</v>
      </c>
      <c r="D527" s="35" t="s">
        <v>34</v>
      </c>
      <c r="E527" s="35" t="s">
        <v>25</v>
      </c>
      <c r="F527" s="35" t="s">
        <v>25</v>
      </c>
      <c r="G527" s="35" t="s">
        <v>25</v>
      </c>
      <c r="H527" s="35" t="s">
        <v>25</v>
      </c>
      <c r="I527" s="54">
        <v>44378</v>
      </c>
      <c r="J527" s="55">
        <f>EFEITO!$J$527*EFEITO!$Y$527</f>
        <v>0</v>
      </c>
      <c r="K527" s="55">
        <f ca="1">EFEITO!$L$527*EFEITO!$Z$527</f>
        <v>15793.882206209295</v>
      </c>
      <c r="L527" s="55">
        <f>EFEITO!$N$527*EFEITO!$AA$527</f>
        <v>8155.8036194820925</v>
      </c>
      <c r="M527" s="55">
        <f>$J$527-EFEITO!$K$527*EFEITO!$Y$527</f>
        <v>0</v>
      </c>
      <c r="N527" s="55">
        <f ca="1">$K$527-EFEITO!$M$527*EFEITO!$Z$527</f>
        <v>0</v>
      </c>
      <c r="O527" s="55">
        <f>$L$527-EFEITO!$O$527*EFEITO!$AA$527</f>
        <v>0</v>
      </c>
      <c r="P527" s="39"/>
      <c r="Q527" s="39"/>
      <c r="R527" s="39"/>
      <c r="S527" s="39"/>
      <c r="T527" s="39"/>
      <c r="U527" s="39"/>
      <c r="V527" s="39"/>
      <c r="W527" s="39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1.25" customHeight="1" x14ac:dyDescent="0.2">
      <c r="A528" s="35" t="s">
        <v>28</v>
      </c>
      <c r="B528" s="35" t="s">
        <v>33</v>
      </c>
      <c r="C528" s="35" t="s">
        <v>23</v>
      </c>
      <c r="D528" s="35" t="s">
        <v>34</v>
      </c>
      <c r="E528" s="35" t="s">
        <v>25</v>
      </c>
      <c r="F528" s="35" t="s">
        <v>25</v>
      </c>
      <c r="G528" s="35" t="s">
        <v>25</v>
      </c>
      <c r="H528" s="35" t="s">
        <v>25</v>
      </c>
      <c r="I528" s="54">
        <v>44378</v>
      </c>
      <c r="J528" s="55">
        <f>EFEITO!$J$528*EFEITO!$Y$528</f>
        <v>0</v>
      </c>
      <c r="K528" s="55">
        <f ca="1">EFEITO!$L$528*EFEITO!$Z$528</f>
        <v>3317.4275345098904</v>
      </c>
      <c r="L528" s="55">
        <f>EFEITO!$N$528*EFEITO!$AA$528</f>
        <v>1713.0865698547668</v>
      </c>
      <c r="M528" s="55">
        <f>$J$528-EFEITO!$K$528*EFEITO!$Y$528</f>
        <v>0</v>
      </c>
      <c r="N528" s="55">
        <f ca="1">$K$528-EFEITO!$M$528*EFEITO!$Z$528</f>
        <v>0</v>
      </c>
      <c r="O528" s="55">
        <f>$L$528-EFEITO!$O$528*EFEITO!$AA$528</f>
        <v>0</v>
      </c>
      <c r="P528" s="39"/>
      <c r="Q528" s="39"/>
      <c r="R528" s="39"/>
      <c r="S528" s="39"/>
      <c r="T528" s="39"/>
      <c r="U528" s="39"/>
      <c r="V528" s="39"/>
      <c r="W528" s="39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1.25" customHeight="1" x14ac:dyDescent="0.2">
      <c r="A529" s="35" t="s">
        <v>21</v>
      </c>
      <c r="B529" s="35" t="s">
        <v>33</v>
      </c>
      <c r="C529" s="35" t="s">
        <v>23</v>
      </c>
      <c r="D529" s="35" t="s">
        <v>34</v>
      </c>
      <c r="E529" s="35" t="s">
        <v>25</v>
      </c>
      <c r="F529" s="35" t="s">
        <v>25</v>
      </c>
      <c r="G529" s="35" t="s">
        <v>25</v>
      </c>
      <c r="H529" s="35" t="s">
        <v>25</v>
      </c>
      <c r="I529" s="54">
        <v>44409</v>
      </c>
      <c r="J529" s="55">
        <f>EFEITO!$J$529*EFEITO!$Y$529</f>
        <v>0</v>
      </c>
      <c r="K529" s="55">
        <f ca="1">EFEITO!$L$529*EFEITO!$Z$529</f>
        <v>21512.05399032553</v>
      </c>
      <c r="L529" s="55">
        <f>EFEITO!$N$529*EFEITO!$AA$529</f>
        <v>11108.610632021462</v>
      </c>
      <c r="M529" s="55">
        <f>$J$529-EFEITO!$K$529*EFEITO!$Y$529</f>
        <v>0</v>
      </c>
      <c r="N529" s="55">
        <f ca="1">$K$529-EFEITO!$M$529*EFEITO!$Z$529</f>
        <v>0</v>
      </c>
      <c r="O529" s="55">
        <f>$L$529-EFEITO!$O$529*EFEITO!$AA$529</f>
        <v>0</v>
      </c>
      <c r="P529" s="39"/>
      <c r="Q529" s="39"/>
      <c r="R529" s="39"/>
      <c r="S529" s="39"/>
      <c r="T529" s="39"/>
      <c r="U529" s="39"/>
      <c r="V529" s="39"/>
      <c r="W529" s="39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1.25" customHeight="1" x14ac:dyDescent="0.2">
      <c r="A530" s="35" t="s">
        <v>28</v>
      </c>
      <c r="B530" s="35" t="s">
        <v>33</v>
      </c>
      <c r="C530" s="35" t="s">
        <v>23</v>
      </c>
      <c r="D530" s="35" t="s">
        <v>34</v>
      </c>
      <c r="E530" s="35" t="s">
        <v>25</v>
      </c>
      <c r="F530" s="35" t="s">
        <v>25</v>
      </c>
      <c r="G530" s="35" t="s">
        <v>25</v>
      </c>
      <c r="H530" s="35" t="s">
        <v>25</v>
      </c>
      <c r="I530" s="54">
        <v>44409</v>
      </c>
      <c r="J530" s="55">
        <f>EFEITO!$J$530*EFEITO!$Y$530</f>
        <v>0</v>
      </c>
      <c r="K530" s="55">
        <f ca="1">EFEITO!$L$530*EFEITO!$Z$530</f>
        <v>4526.3371566445239</v>
      </c>
      <c r="L530" s="55">
        <f>EFEITO!$N$530*EFEITO!$AA$530</f>
        <v>2337.3554698694893</v>
      </c>
      <c r="M530" s="55">
        <f>$J$530-EFEITO!$K$530*EFEITO!$Y$530</f>
        <v>0</v>
      </c>
      <c r="N530" s="55">
        <f ca="1">$K$530-EFEITO!$M$530*EFEITO!$Z$530</f>
        <v>0</v>
      </c>
      <c r="O530" s="55">
        <f>$L$530-EFEITO!$O$530*EFEITO!$AA$530</f>
        <v>0</v>
      </c>
      <c r="P530" s="39"/>
      <c r="Q530" s="39"/>
      <c r="R530" s="39"/>
      <c r="S530" s="39"/>
      <c r="T530" s="39"/>
      <c r="U530" s="39"/>
      <c r="V530" s="39"/>
      <c r="W530" s="39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1.25" customHeight="1" x14ac:dyDescent="0.2">
      <c r="A531" s="35" t="s">
        <v>21</v>
      </c>
      <c r="B531" s="35" t="s">
        <v>33</v>
      </c>
      <c r="C531" s="35" t="s">
        <v>23</v>
      </c>
      <c r="D531" s="35" t="s">
        <v>34</v>
      </c>
      <c r="E531" s="35" t="s">
        <v>25</v>
      </c>
      <c r="F531" s="35" t="s">
        <v>25</v>
      </c>
      <c r="G531" s="35" t="s">
        <v>25</v>
      </c>
      <c r="H531" s="35" t="s">
        <v>25</v>
      </c>
      <c r="I531" s="54">
        <v>44440</v>
      </c>
      <c r="J531" s="55">
        <f>EFEITO!$J$531*EFEITO!$Y$531</f>
        <v>0</v>
      </c>
      <c r="K531" s="55">
        <f ca="1">EFEITO!$L$531*EFEITO!$Z$531</f>
        <v>26092.543272901028</v>
      </c>
      <c r="L531" s="55">
        <f>EFEITO!$N$531*EFEITO!$AA$531</f>
        <v>13473.929720898876</v>
      </c>
      <c r="M531" s="55">
        <f>$J$531-EFEITO!$K$531*EFEITO!$Y$531</f>
        <v>0</v>
      </c>
      <c r="N531" s="55">
        <f ca="1">$K$531-EFEITO!$M$531*EFEITO!$Z$531</f>
        <v>0</v>
      </c>
      <c r="O531" s="55">
        <f>$L$531-EFEITO!$O$531*EFEITO!$AA$531</f>
        <v>0</v>
      </c>
      <c r="P531" s="39"/>
      <c r="Q531" s="39"/>
      <c r="R531" s="39"/>
      <c r="S531" s="39"/>
      <c r="T531" s="39"/>
      <c r="U531" s="39"/>
      <c r="V531" s="39"/>
      <c r="W531" s="39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1.25" customHeight="1" x14ac:dyDescent="0.2">
      <c r="A532" s="35" t="s">
        <v>28</v>
      </c>
      <c r="B532" s="35" t="s">
        <v>33</v>
      </c>
      <c r="C532" s="35" t="s">
        <v>23</v>
      </c>
      <c r="D532" s="35" t="s">
        <v>34</v>
      </c>
      <c r="E532" s="35" t="s">
        <v>25</v>
      </c>
      <c r="F532" s="35" t="s">
        <v>25</v>
      </c>
      <c r="G532" s="35" t="s">
        <v>25</v>
      </c>
      <c r="H532" s="35" t="s">
        <v>25</v>
      </c>
      <c r="I532" s="54">
        <v>44440</v>
      </c>
      <c r="J532" s="55">
        <f>EFEITO!$J$532*EFEITO!$Y$532</f>
        <v>0</v>
      </c>
      <c r="K532" s="55">
        <f ca="1">EFEITO!$L$532*EFEITO!$Z$532</f>
        <v>7480.3112333294339</v>
      </c>
      <c r="L532" s="55">
        <f>EFEITO!$N$532*EFEITO!$AA$532</f>
        <v>3862.7582905269323</v>
      </c>
      <c r="M532" s="55">
        <f>$J$532-EFEITO!$K$532*EFEITO!$Y$532</f>
        <v>0</v>
      </c>
      <c r="N532" s="55">
        <f ca="1">$K$532-EFEITO!$M$532*EFEITO!$Z$532</f>
        <v>0</v>
      </c>
      <c r="O532" s="55">
        <f>$L$532-EFEITO!$O$532*EFEITO!$AA$532</f>
        <v>0</v>
      </c>
      <c r="P532" s="39"/>
      <c r="Q532" s="39"/>
      <c r="R532" s="39"/>
      <c r="S532" s="39"/>
      <c r="T532" s="39"/>
      <c r="U532" s="39"/>
      <c r="V532" s="39"/>
      <c r="W532" s="39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1.25" customHeight="1" x14ac:dyDescent="0.2">
      <c r="A533" s="35" t="s">
        <v>21</v>
      </c>
      <c r="B533" s="35" t="s">
        <v>33</v>
      </c>
      <c r="C533" s="35" t="s">
        <v>23</v>
      </c>
      <c r="D533" s="35" t="s">
        <v>34</v>
      </c>
      <c r="E533" s="35" t="s">
        <v>25</v>
      </c>
      <c r="F533" s="35" t="s">
        <v>25</v>
      </c>
      <c r="G533" s="35" t="s">
        <v>25</v>
      </c>
      <c r="H533" s="35" t="s">
        <v>25</v>
      </c>
      <c r="I533" s="54">
        <v>44470</v>
      </c>
      <c r="J533" s="55">
        <f>EFEITO!$J$533*EFEITO!$Y$533</f>
        <v>0</v>
      </c>
      <c r="K533" s="55">
        <f ca="1">EFEITO!$L$533*EFEITO!$Z$533</f>
        <v>27416.099287772402</v>
      </c>
      <c r="L533" s="55">
        <f>EFEITO!$N$533*EFEITO!$AA$533</f>
        <v>14157.400877371814</v>
      </c>
      <c r="M533" s="55">
        <f>$J$533-EFEITO!$K$533*EFEITO!$Y$533</f>
        <v>0</v>
      </c>
      <c r="N533" s="55">
        <f ca="1">$K$533-EFEITO!$M$533*EFEITO!$Z$533</f>
        <v>0</v>
      </c>
      <c r="O533" s="55">
        <f>$L$533-EFEITO!$O$533*EFEITO!$AA$533</f>
        <v>0</v>
      </c>
      <c r="P533" s="39"/>
      <c r="Q533" s="39"/>
      <c r="R533" s="39"/>
      <c r="S533" s="39"/>
      <c r="T533" s="39"/>
      <c r="U533" s="39"/>
      <c r="V533" s="39"/>
      <c r="W533" s="39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1.25" customHeight="1" x14ac:dyDescent="0.2">
      <c r="A534" s="35" t="s">
        <v>28</v>
      </c>
      <c r="B534" s="35" t="s">
        <v>33</v>
      </c>
      <c r="C534" s="35" t="s">
        <v>23</v>
      </c>
      <c r="D534" s="35" t="s">
        <v>34</v>
      </c>
      <c r="E534" s="35" t="s">
        <v>25</v>
      </c>
      <c r="F534" s="35" t="s">
        <v>25</v>
      </c>
      <c r="G534" s="35" t="s">
        <v>25</v>
      </c>
      <c r="H534" s="35" t="s">
        <v>25</v>
      </c>
      <c r="I534" s="54">
        <v>44470</v>
      </c>
      <c r="J534" s="55">
        <f>EFEITO!$J$534*EFEITO!$Y$534</f>
        <v>0</v>
      </c>
      <c r="K534" s="55">
        <f ca="1">EFEITO!$L$534*EFEITO!$Z$534</f>
        <v>5181.0412377198581</v>
      </c>
      <c r="L534" s="55">
        <f>EFEITO!$N$534*EFEITO!$AA$534</f>
        <v>2675.4381429202385</v>
      </c>
      <c r="M534" s="55">
        <f>$J$534-EFEITO!$K$534*EFEITO!$Y$534</f>
        <v>0</v>
      </c>
      <c r="N534" s="55">
        <f ca="1">$K$534-EFEITO!$M$534*EFEITO!$Z$534</f>
        <v>0</v>
      </c>
      <c r="O534" s="55">
        <f>$L$534-EFEITO!$O$534*EFEITO!$AA$534</f>
        <v>0</v>
      </c>
      <c r="P534" s="39"/>
      <c r="Q534" s="39"/>
      <c r="R534" s="39"/>
      <c r="S534" s="39"/>
      <c r="T534" s="39"/>
      <c r="U534" s="39"/>
      <c r="V534" s="39"/>
      <c r="W534" s="39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1.25" customHeight="1" x14ac:dyDescent="0.2">
      <c r="A535" s="35" t="s">
        <v>21</v>
      </c>
      <c r="B535" s="35" t="s">
        <v>33</v>
      </c>
      <c r="C535" s="35" t="s">
        <v>23</v>
      </c>
      <c r="D535" s="35" t="s">
        <v>34</v>
      </c>
      <c r="E535" s="35" t="s">
        <v>25</v>
      </c>
      <c r="F535" s="35" t="s">
        <v>25</v>
      </c>
      <c r="G535" s="35" t="s">
        <v>25</v>
      </c>
      <c r="H535" s="35" t="s">
        <v>25</v>
      </c>
      <c r="I535" s="54">
        <v>44501</v>
      </c>
      <c r="J535" s="55">
        <f>EFEITO!$J$535*EFEITO!$Y$535</f>
        <v>0</v>
      </c>
      <c r="K535" s="55">
        <f ca="1">EFEITO!$L$535*EFEITO!$Z$535</f>
        <v>25949.60117472288</v>
      </c>
      <c r="L535" s="55">
        <f>EFEITO!$N$535*EFEITO!$AA$535</f>
        <v>13400.11584369778</v>
      </c>
      <c r="M535" s="55">
        <f>$J$535-EFEITO!$K$535*EFEITO!$Y$535</f>
        <v>0</v>
      </c>
      <c r="N535" s="55">
        <f ca="1">$K$535-EFEITO!$M$535*EFEITO!$Z$535</f>
        <v>0</v>
      </c>
      <c r="O535" s="55">
        <f>$L$535-EFEITO!$O$535*EFEITO!$AA$535</f>
        <v>0</v>
      </c>
      <c r="P535" s="39"/>
      <c r="Q535" s="39"/>
      <c r="R535" s="39"/>
      <c r="S535" s="39"/>
      <c r="T535" s="39"/>
      <c r="U535" s="39"/>
      <c r="V535" s="39"/>
      <c r="W535" s="39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1.25" customHeight="1" x14ac:dyDescent="0.2">
      <c r="A536" s="35" t="s">
        <v>28</v>
      </c>
      <c r="B536" s="35" t="s">
        <v>33</v>
      </c>
      <c r="C536" s="35" t="s">
        <v>23</v>
      </c>
      <c r="D536" s="35" t="s">
        <v>34</v>
      </c>
      <c r="E536" s="35" t="s">
        <v>25</v>
      </c>
      <c r="F536" s="35" t="s">
        <v>25</v>
      </c>
      <c r="G536" s="35" t="s">
        <v>25</v>
      </c>
      <c r="H536" s="35" t="s">
        <v>25</v>
      </c>
      <c r="I536" s="54">
        <v>44501</v>
      </c>
      <c r="J536" s="55">
        <f>EFEITO!$J$536*EFEITO!$Y$536</f>
        <v>0</v>
      </c>
      <c r="K536" s="55">
        <f ca="1">EFEITO!$L$536*EFEITO!$Z$536</f>
        <v>7381.2762642845064</v>
      </c>
      <c r="L536" s="55">
        <f>EFEITO!$N$536*EFEITO!$AA$536</f>
        <v>3811.6176179268564</v>
      </c>
      <c r="M536" s="55">
        <f>$J$536-EFEITO!$K$536*EFEITO!$Y$536</f>
        <v>0</v>
      </c>
      <c r="N536" s="55">
        <f ca="1">$K$536-EFEITO!$M$536*EFEITO!$Z$536</f>
        <v>0</v>
      </c>
      <c r="O536" s="55">
        <f>$L$536-EFEITO!$O$536*EFEITO!$AA$536</f>
        <v>0</v>
      </c>
      <c r="P536" s="39"/>
      <c r="Q536" s="39"/>
      <c r="R536" s="39"/>
      <c r="S536" s="39"/>
      <c r="T536" s="39"/>
      <c r="U536" s="39"/>
      <c r="V536" s="39"/>
      <c r="W536" s="39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1.25" customHeight="1" x14ac:dyDescent="0.2">
      <c r="A537" s="35" t="s">
        <v>21</v>
      </c>
      <c r="B537" s="35" t="s">
        <v>33</v>
      </c>
      <c r="C537" s="35" t="s">
        <v>23</v>
      </c>
      <c r="D537" s="35" t="s">
        <v>34</v>
      </c>
      <c r="E537" s="35" t="s">
        <v>25</v>
      </c>
      <c r="F537" s="35" t="s">
        <v>25</v>
      </c>
      <c r="G537" s="35" t="s">
        <v>25</v>
      </c>
      <c r="H537" s="35" t="s">
        <v>25</v>
      </c>
      <c r="I537" s="54">
        <v>44531</v>
      </c>
      <c r="J537" s="55">
        <f>EFEITO!$J$537*EFEITO!$Y$537</f>
        <v>0</v>
      </c>
      <c r="K537" s="55">
        <f ca="1">EFEITO!$L$537*EFEITO!$Z$537</f>
        <v>26356.961761681083</v>
      </c>
      <c r="L537" s="55">
        <f>EFEITO!$N$537*EFEITO!$AA$537</f>
        <v>13610.472797496124</v>
      </c>
      <c r="M537" s="55">
        <f>$J$537-EFEITO!$K$537*EFEITO!$Y$537</f>
        <v>0</v>
      </c>
      <c r="N537" s="55">
        <f ca="1">$K$537-EFEITO!$M$537*EFEITO!$Z$537</f>
        <v>0</v>
      </c>
      <c r="O537" s="55">
        <f>$L$537-EFEITO!$O$537*EFEITO!$AA$537</f>
        <v>0</v>
      </c>
      <c r="P537" s="39"/>
      <c r="Q537" s="39"/>
      <c r="R537" s="39"/>
      <c r="S537" s="39"/>
      <c r="T537" s="39"/>
      <c r="U537" s="39"/>
      <c r="V537" s="39"/>
      <c r="W537" s="39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1.25" customHeight="1" x14ac:dyDescent="0.2">
      <c r="A538" s="35" t="s">
        <v>28</v>
      </c>
      <c r="B538" s="35" t="s">
        <v>33</v>
      </c>
      <c r="C538" s="35" t="s">
        <v>23</v>
      </c>
      <c r="D538" s="35" t="s">
        <v>34</v>
      </c>
      <c r="E538" s="35" t="s">
        <v>25</v>
      </c>
      <c r="F538" s="35" t="s">
        <v>25</v>
      </c>
      <c r="G538" s="35" t="s">
        <v>25</v>
      </c>
      <c r="H538" s="35" t="s">
        <v>25</v>
      </c>
      <c r="I538" s="54">
        <v>44531</v>
      </c>
      <c r="J538" s="55">
        <f>EFEITO!$J$538*EFEITO!$Y$538</f>
        <v>0</v>
      </c>
      <c r="K538" s="55">
        <f ca="1">EFEITO!$L$538*EFEITO!$Z$538</f>
        <v>5654.7503753682558</v>
      </c>
      <c r="L538" s="55">
        <f>EFEITO!$N$538*EFEITO!$AA$538</f>
        <v>2920.0568281156766</v>
      </c>
      <c r="M538" s="55">
        <f>$J$538-EFEITO!$K$538*EFEITO!$Y$538</f>
        <v>0</v>
      </c>
      <c r="N538" s="55">
        <f ca="1">$K$538-EFEITO!$M$538*EFEITO!$Z$538</f>
        <v>0</v>
      </c>
      <c r="O538" s="55">
        <f>$L$538-EFEITO!$O$538*EFEITO!$AA$538</f>
        <v>0</v>
      </c>
      <c r="P538" s="39"/>
      <c r="Q538" s="39"/>
      <c r="R538" s="39"/>
      <c r="S538" s="39"/>
      <c r="T538" s="39"/>
      <c r="U538" s="39"/>
      <c r="V538" s="39"/>
      <c r="W538" s="39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1.25" customHeight="1" x14ac:dyDescent="0.2">
      <c r="A539" s="35" t="s">
        <v>21</v>
      </c>
      <c r="B539" s="35" t="s">
        <v>33</v>
      </c>
      <c r="C539" s="35" t="s">
        <v>23</v>
      </c>
      <c r="D539" s="35" t="s">
        <v>34</v>
      </c>
      <c r="E539" s="35" t="s">
        <v>25</v>
      </c>
      <c r="F539" s="35" t="s">
        <v>25</v>
      </c>
      <c r="G539" s="35" t="s">
        <v>25</v>
      </c>
      <c r="H539" s="35" t="s">
        <v>25</v>
      </c>
      <c r="I539" s="54">
        <v>44562</v>
      </c>
      <c r="J539" s="55">
        <f>EFEITO!$J$539*EFEITO!$Y$539</f>
        <v>0</v>
      </c>
      <c r="K539" s="55">
        <f ca="1">EFEITO!$L$539*EFEITO!$Z$539</f>
        <v>25007.549326320142</v>
      </c>
      <c r="L539" s="55">
        <f>EFEITO!$N$539*EFEITO!$AA$539</f>
        <v>12913.649642758139</v>
      </c>
      <c r="M539" s="55">
        <f>$J$539-EFEITO!$K$539*EFEITO!$Y$539</f>
        <v>0</v>
      </c>
      <c r="N539" s="55">
        <f ca="1">$K$539-EFEITO!$M$539*EFEITO!$Z$539</f>
        <v>0</v>
      </c>
      <c r="O539" s="55">
        <f>$L$539-EFEITO!$O$539*EFEITO!$AA$539</f>
        <v>0</v>
      </c>
      <c r="P539" s="39"/>
      <c r="Q539" s="39"/>
      <c r="R539" s="39"/>
      <c r="S539" s="39"/>
      <c r="T539" s="39"/>
      <c r="U539" s="39"/>
      <c r="V539" s="39"/>
      <c r="W539" s="39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1.25" customHeight="1" x14ac:dyDescent="0.2">
      <c r="A540" s="35" t="s">
        <v>28</v>
      </c>
      <c r="B540" s="35" t="s">
        <v>33</v>
      </c>
      <c r="C540" s="35" t="s">
        <v>23</v>
      </c>
      <c r="D540" s="35" t="s">
        <v>34</v>
      </c>
      <c r="E540" s="35" t="s">
        <v>25</v>
      </c>
      <c r="F540" s="35" t="s">
        <v>25</v>
      </c>
      <c r="G540" s="35" t="s">
        <v>25</v>
      </c>
      <c r="H540" s="35" t="s">
        <v>25</v>
      </c>
      <c r="I540" s="54">
        <v>44562</v>
      </c>
      <c r="J540" s="55">
        <f>EFEITO!$J$540*EFEITO!$Y$540</f>
        <v>0</v>
      </c>
      <c r="K540" s="55">
        <f ca="1">EFEITO!$L$540*EFEITO!$Z$540</f>
        <v>5820.1338951033813</v>
      </c>
      <c r="L540" s="55">
        <f>EFEITO!$N$540*EFEITO!$AA$540</f>
        <v>3005.4592321128484</v>
      </c>
      <c r="M540" s="55">
        <f>$J$540-EFEITO!$K$540*EFEITO!$Y$540</f>
        <v>0</v>
      </c>
      <c r="N540" s="55">
        <f ca="1">$K$540-EFEITO!$M$540*EFEITO!$Z$540</f>
        <v>0</v>
      </c>
      <c r="O540" s="55">
        <f>$L$540-EFEITO!$O$540*EFEITO!$AA$540</f>
        <v>0</v>
      </c>
      <c r="P540" s="39"/>
      <c r="Q540" s="39"/>
      <c r="R540" s="39"/>
      <c r="S540" s="39"/>
      <c r="T540" s="39"/>
      <c r="U540" s="39"/>
      <c r="V540" s="39"/>
      <c r="W540" s="39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1.25" customHeight="1" x14ac:dyDescent="0.2">
      <c r="A541" s="35" t="s">
        <v>21</v>
      </c>
      <c r="B541" s="35" t="s">
        <v>33</v>
      </c>
      <c r="C541" s="35" t="s">
        <v>23</v>
      </c>
      <c r="D541" s="35" t="s">
        <v>34</v>
      </c>
      <c r="E541" s="35" t="s">
        <v>25</v>
      </c>
      <c r="F541" s="35" t="s">
        <v>25</v>
      </c>
      <c r="G541" s="35" t="s">
        <v>25</v>
      </c>
      <c r="H541" s="35" t="s">
        <v>25</v>
      </c>
      <c r="I541" s="54">
        <v>44593</v>
      </c>
      <c r="J541" s="55">
        <f>EFEITO!$J$541*EFEITO!$Y$541</f>
        <v>0</v>
      </c>
      <c r="K541" s="55">
        <f ca="1">EFEITO!$L$541*EFEITO!$Z$541</f>
        <v>27223.883633566973</v>
      </c>
      <c r="L541" s="55">
        <f>EFEITO!$N$541*EFEITO!$AA$541</f>
        <v>14058.142626118464</v>
      </c>
      <c r="M541" s="55">
        <f>$J$541-EFEITO!$K$541*EFEITO!$Y$541</f>
        <v>0</v>
      </c>
      <c r="N541" s="55">
        <f ca="1">$K$541-EFEITO!$M$541*EFEITO!$Z$541</f>
        <v>0</v>
      </c>
      <c r="O541" s="55">
        <f>$L$541-EFEITO!$O$541*EFEITO!$AA$541</f>
        <v>0</v>
      </c>
      <c r="P541" s="39"/>
      <c r="Q541" s="39"/>
      <c r="R541" s="39"/>
      <c r="S541" s="39"/>
      <c r="T541" s="39"/>
      <c r="U541" s="39"/>
      <c r="V541" s="39"/>
      <c r="W541" s="39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1.25" customHeight="1" x14ac:dyDescent="0.2">
      <c r="A542" s="35" t="s">
        <v>28</v>
      </c>
      <c r="B542" s="35" t="s">
        <v>33</v>
      </c>
      <c r="C542" s="35" t="s">
        <v>23</v>
      </c>
      <c r="D542" s="35" t="s">
        <v>34</v>
      </c>
      <c r="E542" s="35" t="s">
        <v>25</v>
      </c>
      <c r="F542" s="35" t="s">
        <v>25</v>
      </c>
      <c r="G542" s="35" t="s">
        <v>25</v>
      </c>
      <c r="H542" s="35" t="s">
        <v>25</v>
      </c>
      <c r="I542" s="54">
        <v>44593</v>
      </c>
      <c r="J542" s="55">
        <f>EFEITO!$J$542*EFEITO!$Y$542</f>
        <v>0</v>
      </c>
      <c r="K542" s="55">
        <f ca="1">EFEITO!$L$542*EFEITO!$Z$542</f>
        <v>6855.8542856569848</v>
      </c>
      <c r="L542" s="55">
        <f>EFEITO!$N$542*EFEITO!$AA$542</f>
        <v>3540.2949362013296</v>
      </c>
      <c r="M542" s="55">
        <f>$J$542-EFEITO!$K$542*EFEITO!$Y$542</f>
        <v>0</v>
      </c>
      <c r="N542" s="55">
        <f ca="1">$K$542-EFEITO!$M$542*EFEITO!$Z$542</f>
        <v>0</v>
      </c>
      <c r="O542" s="55">
        <f>$L$542-EFEITO!$O$542*EFEITO!$AA$542</f>
        <v>0</v>
      </c>
      <c r="P542" s="39"/>
      <c r="Q542" s="39"/>
      <c r="R542" s="39"/>
      <c r="S542" s="39"/>
      <c r="T542" s="39"/>
      <c r="U542" s="39"/>
      <c r="V542" s="39"/>
      <c r="W542" s="39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1.25" customHeight="1" x14ac:dyDescent="0.2">
      <c r="A543" s="35" t="s">
        <v>21</v>
      </c>
      <c r="B543" s="35" t="s">
        <v>33</v>
      </c>
      <c r="C543" s="35" t="s">
        <v>23</v>
      </c>
      <c r="D543" s="35" t="s">
        <v>34</v>
      </c>
      <c r="E543" s="35" t="s">
        <v>25</v>
      </c>
      <c r="F543" s="35" t="s">
        <v>25</v>
      </c>
      <c r="G543" s="35" t="s">
        <v>25</v>
      </c>
      <c r="H543" s="35" t="s">
        <v>25</v>
      </c>
      <c r="I543" s="54">
        <v>44621</v>
      </c>
      <c r="J543" s="55">
        <f>EFEITO!$J$543*EFEITO!$Y$543</f>
        <v>0</v>
      </c>
      <c r="K543" s="55">
        <f ca="1">EFEITO!$L$543*EFEITO!$Z$543</f>
        <v>20225.575106722212</v>
      </c>
      <c r="L543" s="55">
        <f>EFEITO!$N$543*EFEITO!$AA$543</f>
        <v>10444.285737211607</v>
      </c>
      <c r="M543" s="55">
        <f>$J$543-EFEITO!$K$543*EFEITO!$Y$543</f>
        <v>0</v>
      </c>
      <c r="N543" s="55">
        <f ca="1">$K$543-EFEITO!$M$543*EFEITO!$Z$543</f>
        <v>0</v>
      </c>
      <c r="O543" s="55">
        <f>$L$543-EFEITO!$O$543*EFEITO!$AA$543</f>
        <v>0</v>
      </c>
      <c r="P543" s="39"/>
      <c r="Q543" s="39"/>
      <c r="R543" s="39"/>
      <c r="S543" s="39"/>
      <c r="T543" s="39"/>
      <c r="U543" s="39"/>
      <c r="V543" s="39"/>
      <c r="W543" s="39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1.25" customHeight="1" x14ac:dyDescent="0.2">
      <c r="A544" s="35" t="s">
        <v>28</v>
      </c>
      <c r="B544" s="35" t="s">
        <v>33</v>
      </c>
      <c r="C544" s="35" t="s">
        <v>23</v>
      </c>
      <c r="D544" s="35" t="s">
        <v>34</v>
      </c>
      <c r="E544" s="35" t="s">
        <v>25</v>
      </c>
      <c r="F544" s="35" t="s">
        <v>25</v>
      </c>
      <c r="G544" s="35" t="s">
        <v>25</v>
      </c>
      <c r="H544" s="35" t="s">
        <v>25</v>
      </c>
      <c r="I544" s="54">
        <v>44621</v>
      </c>
      <c r="J544" s="55">
        <f>EFEITO!$J$544*EFEITO!$Y$544</f>
        <v>0</v>
      </c>
      <c r="K544" s="55">
        <f ca="1">EFEITO!$L$544*EFEITO!$Z$544</f>
        <v>5766.4696261627805</v>
      </c>
      <c r="L544" s="55">
        <f>EFEITO!$N$544*EFEITO!$AA$544</f>
        <v>2977.7475376004918</v>
      </c>
      <c r="M544" s="55">
        <f>$J$544-EFEITO!$K$544*EFEITO!$Y$544</f>
        <v>0</v>
      </c>
      <c r="N544" s="55">
        <f ca="1">$K$544-EFEITO!$M$544*EFEITO!$Z$544</f>
        <v>0</v>
      </c>
      <c r="O544" s="55">
        <f>$L$544-EFEITO!$O$544*EFEITO!$AA$544</f>
        <v>0</v>
      </c>
      <c r="P544" s="39"/>
      <c r="Q544" s="39"/>
      <c r="R544" s="39"/>
      <c r="S544" s="39"/>
      <c r="T544" s="39"/>
      <c r="U544" s="39"/>
      <c r="V544" s="39"/>
      <c r="W544" s="39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1.25" customHeight="1" x14ac:dyDescent="0.2">
      <c r="A545" s="35" t="s">
        <v>21</v>
      </c>
      <c r="B545" s="35" t="s">
        <v>33</v>
      </c>
      <c r="C545" s="35" t="s">
        <v>23</v>
      </c>
      <c r="D545" s="35" t="s">
        <v>34</v>
      </c>
      <c r="E545" s="35" t="s">
        <v>25</v>
      </c>
      <c r="F545" s="35" t="s">
        <v>25</v>
      </c>
      <c r="G545" s="35" t="s">
        <v>25</v>
      </c>
      <c r="H545" s="35" t="s">
        <v>25</v>
      </c>
      <c r="I545" s="54">
        <v>44652</v>
      </c>
      <c r="J545" s="55">
        <f>EFEITO!$J$545*EFEITO!$Y$545</f>
        <v>0</v>
      </c>
      <c r="K545" s="55">
        <f ca="1">EFEITO!$L$545*EFEITO!$Z$545</f>
        <v>12916.989534002701</v>
      </c>
      <c r="L545" s="55">
        <f>EFEITO!$N$545*EFEITO!$AA$545</f>
        <v>6670.2048691242153</v>
      </c>
      <c r="M545" s="55">
        <f>$J$545-EFEITO!$K$545*EFEITO!$Y$545</f>
        <v>0</v>
      </c>
      <c r="N545" s="55">
        <f ca="1">$K$545-EFEITO!$M$545*EFEITO!$Z$545</f>
        <v>0</v>
      </c>
      <c r="O545" s="55">
        <f>$L$545-EFEITO!$O$545*EFEITO!$AA$545</f>
        <v>0</v>
      </c>
      <c r="P545" s="39"/>
      <c r="Q545" s="39"/>
      <c r="R545" s="39"/>
      <c r="S545" s="39"/>
      <c r="T545" s="39"/>
      <c r="U545" s="39"/>
      <c r="V545" s="39"/>
      <c r="W545" s="39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1.25" customHeight="1" x14ac:dyDescent="0.2">
      <c r="A546" s="35" t="s">
        <v>28</v>
      </c>
      <c r="B546" s="35" t="s">
        <v>33</v>
      </c>
      <c r="C546" s="35" t="s">
        <v>23</v>
      </c>
      <c r="D546" s="35" t="s">
        <v>34</v>
      </c>
      <c r="E546" s="35" t="s">
        <v>25</v>
      </c>
      <c r="F546" s="35" t="s">
        <v>25</v>
      </c>
      <c r="G546" s="35" t="s">
        <v>25</v>
      </c>
      <c r="H546" s="35" t="s">
        <v>25</v>
      </c>
      <c r="I546" s="54">
        <v>44652</v>
      </c>
      <c r="J546" s="55">
        <f>EFEITO!$J$546*EFEITO!$Y$546</f>
        <v>0</v>
      </c>
      <c r="K546" s="55">
        <f ca="1">EFEITO!$L$546*EFEITO!$Z$546</f>
        <v>1888.006552728423</v>
      </c>
      <c r="L546" s="55">
        <f>EFEITO!$N$546*EFEITO!$AA$546</f>
        <v>974.94779784381592</v>
      </c>
      <c r="M546" s="55">
        <f>$J$546-EFEITO!$K$546*EFEITO!$Y$546</f>
        <v>0</v>
      </c>
      <c r="N546" s="55">
        <f ca="1">$K$546-EFEITO!$M$546*EFEITO!$Z$546</f>
        <v>0</v>
      </c>
      <c r="O546" s="55">
        <f>$L$546-EFEITO!$O$546*EFEITO!$AA$546</f>
        <v>0</v>
      </c>
      <c r="P546" s="39"/>
      <c r="Q546" s="39"/>
      <c r="R546" s="39"/>
      <c r="S546" s="39"/>
      <c r="T546" s="39"/>
      <c r="U546" s="39"/>
      <c r="V546" s="39"/>
      <c r="W546" s="39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1.25" customHeight="1" x14ac:dyDescent="0.2">
      <c r="A547" s="35" t="s">
        <v>21</v>
      </c>
      <c r="B547" s="35" t="s">
        <v>33</v>
      </c>
      <c r="C547" s="35" t="s">
        <v>23</v>
      </c>
      <c r="D547" s="35" t="s">
        <v>34</v>
      </c>
      <c r="E547" s="35" t="s">
        <v>25</v>
      </c>
      <c r="F547" s="35" t="s">
        <v>25</v>
      </c>
      <c r="G547" s="35" t="s">
        <v>25</v>
      </c>
      <c r="H547" s="35" t="s">
        <v>25</v>
      </c>
      <c r="I547" s="54">
        <v>44682</v>
      </c>
      <c r="J547" s="55">
        <f>EFEITO!$J$547*EFEITO!$Y$547</f>
        <v>0</v>
      </c>
      <c r="K547" s="55">
        <f ca="1">EFEITO!$L$547*EFEITO!$Z$547</f>
        <v>10644.551672863427</v>
      </c>
      <c r="L547" s="55">
        <f>EFEITO!$N$547*EFEITO!$AA$547</f>
        <v>5496.7405687736991</v>
      </c>
      <c r="M547" s="55">
        <f>$J$547-EFEITO!$K$547*EFEITO!$Y$547</f>
        <v>0</v>
      </c>
      <c r="N547" s="55">
        <f ca="1">$K$547-EFEITO!$M$547*EFEITO!$Z$547</f>
        <v>0</v>
      </c>
      <c r="O547" s="55">
        <f>$L$547-EFEITO!$O$547*EFEITO!$AA$547</f>
        <v>0</v>
      </c>
      <c r="P547" s="39"/>
      <c r="Q547" s="39"/>
      <c r="R547" s="39"/>
      <c r="S547" s="39"/>
      <c r="T547" s="39"/>
      <c r="U547" s="39"/>
      <c r="V547" s="39"/>
      <c r="W547" s="39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1.25" customHeight="1" x14ac:dyDescent="0.2">
      <c r="A548" s="35" t="s">
        <v>27</v>
      </c>
      <c r="B548" s="35" t="s">
        <v>33</v>
      </c>
      <c r="C548" s="35" t="s">
        <v>23</v>
      </c>
      <c r="D548" s="35" t="s">
        <v>34</v>
      </c>
      <c r="E548" s="35" t="s">
        <v>25</v>
      </c>
      <c r="F548" s="35" t="s">
        <v>25</v>
      </c>
      <c r="G548" s="35" t="s">
        <v>25</v>
      </c>
      <c r="H548" s="35" t="s">
        <v>25</v>
      </c>
      <c r="I548" s="54">
        <v>44682</v>
      </c>
      <c r="J548" s="55">
        <f>EFEITO!$J$548*EFEITO!$Y$548</f>
        <v>0</v>
      </c>
      <c r="K548" s="55">
        <f ca="1">EFEITO!$L$548*EFEITO!$Z$548</f>
        <v>-1786.5322987316497</v>
      </c>
      <c r="L548" s="55">
        <f>EFEITO!$N$548*EFEITO!$AA$548</f>
        <v>-922.54750276590528</v>
      </c>
      <c r="M548" s="55">
        <f>$J$548-EFEITO!$K$548*EFEITO!$Y$548</f>
        <v>0</v>
      </c>
      <c r="N548" s="55">
        <f ca="1">$K$548-EFEITO!$M$548*EFEITO!$Z$548</f>
        <v>0</v>
      </c>
      <c r="O548" s="55">
        <f>$L$548-EFEITO!$O$548*EFEITO!$AA$548</f>
        <v>0</v>
      </c>
      <c r="P548" s="39"/>
      <c r="Q548" s="39"/>
      <c r="R548" s="39"/>
      <c r="S548" s="39"/>
      <c r="T548" s="39"/>
      <c r="U548" s="39"/>
      <c r="V548" s="39"/>
      <c r="W548" s="39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1.25" customHeight="1" x14ac:dyDescent="0.2">
      <c r="A549" s="35" t="s">
        <v>28</v>
      </c>
      <c r="B549" s="35" t="s">
        <v>33</v>
      </c>
      <c r="C549" s="35" t="s">
        <v>23</v>
      </c>
      <c r="D549" s="35" t="s">
        <v>34</v>
      </c>
      <c r="E549" s="35" t="s">
        <v>25</v>
      </c>
      <c r="F549" s="35" t="s">
        <v>25</v>
      </c>
      <c r="G549" s="35" t="s">
        <v>25</v>
      </c>
      <c r="H549" s="35" t="s">
        <v>25</v>
      </c>
      <c r="I549" s="54">
        <v>44682</v>
      </c>
      <c r="J549" s="55">
        <f>EFEITO!$J$549*EFEITO!$Y$549</f>
        <v>0</v>
      </c>
      <c r="K549" s="55">
        <f ca="1">EFEITO!$L$549*EFEITO!$Z$549</f>
        <v>2455.8720895180572</v>
      </c>
      <c r="L549" s="55">
        <f>EFEITO!$N$549*EFEITO!$AA$549</f>
        <v>1268.1879106836611</v>
      </c>
      <c r="M549" s="55">
        <f>$J$549-EFEITO!$K$549*EFEITO!$Y$549</f>
        <v>0</v>
      </c>
      <c r="N549" s="55">
        <f ca="1">$K$549-EFEITO!$M$549*EFEITO!$Z$549</f>
        <v>0</v>
      </c>
      <c r="O549" s="55">
        <f>$L$549-EFEITO!$O$549*EFEITO!$AA$549</f>
        <v>0</v>
      </c>
      <c r="P549" s="39"/>
      <c r="Q549" s="39"/>
      <c r="R549" s="39"/>
      <c r="S549" s="39"/>
      <c r="T549" s="39"/>
      <c r="U549" s="39"/>
      <c r="V549" s="39"/>
      <c r="W549" s="39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1.25" customHeight="1" x14ac:dyDescent="0.2">
      <c r="A550" s="35" t="s">
        <v>21</v>
      </c>
      <c r="B550" s="35" t="s">
        <v>33</v>
      </c>
      <c r="C550" s="35" t="s">
        <v>23</v>
      </c>
      <c r="D550" s="35" t="s">
        <v>34</v>
      </c>
      <c r="E550" s="35" t="s">
        <v>25</v>
      </c>
      <c r="F550" s="35" t="s">
        <v>25</v>
      </c>
      <c r="G550" s="35" t="s">
        <v>25</v>
      </c>
      <c r="H550" s="35" t="s">
        <v>25</v>
      </c>
      <c r="I550" s="54">
        <v>44713</v>
      </c>
      <c r="J550" s="55">
        <f>EFEITO!$J$550*EFEITO!$Y$550</f>
        <v>0</v>
      </c>
      <c r="K550" s="55">
        <f ca="1">EFEITO!$L$550*EFEITO!$Z$550</f>
        <v>9413.2006291718153</v>
      </c>
      <c r="L550" s="55">
        <f>EFEITO!$N$550*EFEITO!$AA$550</f>
        <v>4860.8831419629014</v>
      </c>
      <c r="M550" s="55">
        <f>$J$550-EFEITO!$K$550*EFEITO!$Y$550</f>
        <v>0</v>
      </c>
      <c r="N550" s="55">
        <f ca="1">$K$550-EFEITO!$M$550*EFEITO!$Z$550</f>
        <v>0</v>
      </c>
      <c r="O550" s="55">
        <f>$L$550-EFEITO!$O$550*EFEITO!$AA$550</f>
        <v>0</v>
      </c>
      <c r="P550" s="39"/>
      <c r="Q550" s="39"/>
      <c r="R550" s="39"/>
      <c r="S550" s="39"/>
      <c r="T550" s="39"/>
      <c r="U550" s="39"/>
      <c r="V550" s="39"/>
      <c r="W550" s="39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1.25" customHeight="1" x14ac:dyDescent="0.2">
      <c r="A551" s="35" t="s">
        <v>28</v>
      </c>
      <c r="B551" s="35" t="s">
        <v>33</v>
      </c>
      <c r="C551" s="35" t="s">
        <v>23</v>
      </c>
      <c r="D551" s="35" t="s">
        <v>34</v>
      </c>
      <c r="E551" s="35" t="s">
        <v>25</v>
      </c>
      <c r="F551" s="35" t="s">
        <v>25</v>
      </c>
      <c r="G551" s="35" t="s">
        <v>25</v>
      </c>
      <c r="H551" s="35" t="s">
        <v>25</v>
      </c>
      <c r="I551" s="54">
        <v>44713</v>
      </c>
      <c r="J551" s="55">
        <f>EFEITO!$J$551*EFEITO!$Y$551</f>
        <v>0</v>
      </c>
      <c r="K551" s="55">
        <f ca="1">EFEITO!$L$551*EFEITO!$Z$551</f>
        <v>3676.9781364119181</v>
      </c>
      <c r="L551" s="55">
        <f>EFEITO!$N$551*EFEITO!$AA$551</f>
        <v>1898.7549230875557</v>
      </c>
      <c r="M551" s="55">
        <f>$J$551-EFEITO!$K$551*EFEITO!$Y$551</f>
        <v>0</v>
      </c>
      <c r="N551" s="55">
        <f ca="1">$K$551-EFEITO!$M$551*EFEITO!$Z$551</f>
        <v>0</v>
      </c>
      <c r="O551" s="55">
        <f>$L$551-EFEITO!$O$551*EFEITO!$AA$551</f>
        <v>0</v>
      </c>
      <c r="P551" s="39"/>
      <c r="Q551" s="39"/>
      <c r="R551" s="39"/>
      <c r="S551" s="39"/>
      <c r="T551" s="39"/>
      <c r="U551" s="39"/>
      <c r="V551" s="39"/>
      <c r="W551" s="39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1.25" customHeight="1" x14ac:dyDescent="0.2">
      <c r="A552" s="35" t="s">
        <v>21</v>
      </c>
      <c r="B552" s="35" t="s">
        <v>33</v>
      </c>
      <c r="C552" s="35" t="s">
        <v>23</v>
      </c>
      <c r="D552" s="35" t="s">
        <v>42</v>
      </c>
      <c r="E552" s="35" t="s">
        <v>25</v>
      </c>
      <c r="F552" s="35" t="s">
        <v>25</v>
      </c>
      <c r="G552" s="35" t="s">
        <v>25</v>
      </c>
      <c r="H552" s="35" t="s">
        <v>25</v>
      </c>
      <c r="I552" s="54">
        <v>44378</v>
      </c>
      <c r="J552" s="55">
        <f>EFEITO!$J$552*EFEITO!$Y$552</f>
        <v>0</v>
      </c>
      <c r="K552" s="55">
        <f ca="1">EFEITO!$L$552*EFEITO!$Z$552</f>
        <v>95149.188116637713</v>
      </c>
      <c r="L552" s="55">
        <f>EFEITO!$N$552*EFEITO!$AA$552</f>
        <v>49134.093992885952</v>
      </c>
      <c r="M552" s="55">
        <f>$J$552-EFEITO!$K$552*EFEITO!$Y$552</f>
        <v>0</v>
      </c>
      <c r="N552" s="55">
        <f ca="1">$K$552-EFEITO!$M$552*EFEITO!$Z$552</f>
        <v>0</v>
      </c>
      <c r="O552" s="55">
        <f>$L$552-EFEITO!$O$552*EFEITO!$AA$552</f>
        <v>0</v>
      </c>
      <c r="P552" s="39"/>
      <c r="Q552" s="39"/>
      <c r="R552" s="39"/>
      <c r="S552" s="39"/>
      <c r="T552" s="39"/>
      <c r="U552" s="39"/>
      <c r="V552" s="39"/>
      <c r="W552" s="39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1.25" customHeight="1" x14ac:dyDescent="0.2">
      <c r="A553" s="35" t="s">
        <v>28</v>
      </c>
      <c r="B553" s="35" t="s">
        <v>33</v>
      </c>
      <c r="C553" s="35" t="s">
        <v>23</v>
      </c>
      <c r="D553" s="35" t="s">
        <v>42</v>
      </c>
      <c r="E553" s="35" t="s">
        <v>25</v>
      </c>
      <c r="F553" s="35" t="s">
        <v>25</v>
      </c>
      <c r="G553" s="35" t="s">
        <v>25</v>
      </c>
      <c r="H553" s="35" t="s">
        <v>25</v>
      </c>
      <c r="I553" s="54">
        <v>44378</v>
      </c>
      <c r="J553" s="55">
        <f>EFEITO!$J$553*EFEITO!$Y$553</f>
        <v>0</v>
      </c>
      <c r="K553" s="55">
        <f ca="1">EFEITO!$L$553*EFEITO!$Z$553</f>
        <v>981.08040763226325</v>
      </c>
      <c r="L553" s="55">
        <f>EFEITO!$N$553*EFEITO!$AA$553</f>
        <v>506.62016058499063</v>
      </c>
      <c r="M553" s="55">
        <f>$J$553-EFEITO!$K$553*EFEITO!$Y$553</f>
        <v>0</v>
      </c>
      <c r="N553" s="55">
        <f ca="1">$K$553-EFEITO!$M$553*EFEITO!$Z$553</f>
        <v>0</v>
      </c>
      <c r="O553" s="55">
        <f>$L$553-EFEITO!$O$553*EFEITO!$AA$553</f>
        <v>0</v>
      </c>
      <c r="P553" s="39"/>
      <c r="Q553" s="39"/>
      <c r="R553" s="39"/>
      <c r="S553" s="39"/>
      <c r="T553" s="39"/>
      <c r="U553" s="39"/>
      <c r="V553" s="39"/>
      <c r="W553" s="39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1.25" customHeight="1" x14ac:dyDescent="0.2">
      <c r="A554" s="35" t="s">
        <v>21</v>
      </c>
      <c r="B554" s="35" t="s">
        <v>33</v>
      </c>
      <c r="C554" s="35" t="s">
        <v>23</v>
      </c>
      <c r="D554" s="35" t="s">
        <v>42</v>
      </c>
      <c r="E554" s="35" t="s">
        <v>25</v>
      </c>
      <c r="F554" s="35" t="s">
        <v>25</v>
      </c>
      <c r="G554" s="35" t="s">
        <v>25</v>
      </c>
      <c r="H554" s="35" t="s">
        <v>25</v>
      </c>
      <c r="I554" s="54">
        <v>44409</v>
      </c>
      <c r="J554" s="55">
        <f>EFEITO!$J$554*EFEITO!$Y$554</f>
        <v>0</v>
      </c>
      <c r="K554" s="55">
        <f ca="1">EFEITO!$L$554*EFEITO!$Z$554</f>
        <v>91350.733589623895</v>
      </c>
      <c r="L554" s="55">
        <f>EFEITO!$N$554*EFEITO!$AA$554</f>
        <v>47172.609870402237</v>
      </c>
      <c r="M554" s="55">
        <f>$J$554-EFEITO!$K$554*EFEITO!$Y$554</f>
        <v>0</v>
      </c>
      <c r="N554" s="55">
        <f ca="1">$K$554-EFEITO!$M$554*EFEITO!$Z$554</f>
        <v>0</v>
      </c>
      <c r="O554" s="55">
        <f>$L$554-EFEITO!$O$554*EFEITO!$AA$554</f>
        <v>0</v>
      </c>
      <c r="P554" s="39"/>
      <c r="Q554" s="39"/>
      <c r="R554" s="39"/>
      <c r="S554" s="39"/>
      <c r="T554" s="39"/>
      <c r="U554" s="39"/>
      <c r="V554" s="39"/>
      <c r="W554" s="39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1.25" customHeight="1" x14ac:dyDescent="0.2">
      <c r="A555" s="35" t="s">
        <v>28</v>
      </c>
      <c r="B555" s="35" t="s">
        <v>33</v>
      </c>
      <c r="C555" s="35" t="s">
        <v>23</v>
      </c>
      <c r="D555" s="35" t="s">
        <v>42</v>
      </c>
      <c r="E555" s="35" t="s">
        <v>25</v>
      </c>
      <c r="F555" s="35" t="s">
        <v>25</v>
      </c>
      <c r="G555" s="35" t="s">
        <v>25</v>
      </c>
      <c r="H555" s="35" t="s">
        <v>25</v>
      </c>
      <c r="I555" s="54">
        <v>44409</v>
      </c>
      <c r="J555" s="55">
        <f>EFEITO!$J$555*EFEITO!$Y$555</f>
        <v>0</v>
      </c>
      <c r="K555" s="55">
        <f ca="1">EFEITO!$L$555*EFEITO!$Z$555</f>
        <v>425.41129560185652</v>
      </c>
      <c r="L555" s="55">
        <f>EFEITO!$N$555*EFEITO!$AA$555</f>
        <v>219.67816013431715</v>
      </c>
      <c r="M555" s="55">
        <f>$J$555-EFEITO!$K$555*EFEITO!$Y$555</f>
        <v>0</v>
      </c>
      <c r="N555" s="55">
        <f ca="1">$K$555-EFEITO!$M$555*EFEITO!$Z$555</f>
        <v>0</v>
      </c>
      <c r="O555" s="55">
        <f>$L$555-EFEITO!$O$555*EFEITO!$AA$555</f>
        <v>0</v>
      </c>
      <c r="P555" s="39"/>
      <c r="Q555" s="39"/>
      <c r="R555" s="39"/>
      <c r="S555" s="39"/>
      <c r="T555" s="39"/>
      <c r="U555" s="39"/>
      <c r="V555" s="39"/>
      <c r="W555" s="39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1.25" customHeight="1" x14ac:dyDescent="0.2">
      <c r="A556" s="35" t="s">
        <v>21</v>
      </c>
      <c r="B556" s="35" t="s">
        <v>33</v>
      </c>
      <c r="C556" s="35" t="s">
        <v>23</v>
      </c>
      <c r="D556" s="35" t="s">
        <v>42</v>
      </c>
      <c r="E556" s="35" t="s">
        <v>25</v>
      </c>
      <c r="F556" s="35" t="s">
        <v>25</v>
      </c>
      <c r="G556" s="35" t="s">
        <v>25</v>
      </c>
      <c r="H556" s="35" t="s">
        <v>25</v>
      </c>
      <c r="I556" s="54">
        <v>44440</v>
      </c>
      <c r="J556" s="55">
        <f>EFEITO!$J$556*EFEITO!$Y$556</f>
        <v>0</v>
      </c>
      <c r="K556" s="55">
        <f ca="1">EFEITO!$L$556*EFEITO!$Z$556</f>
        <v>82584.431329681509</v>
      </c>
      <c r="L556" s="55">
        <f>EFEITO!$N$556*EFEITO!$AA$556</f>
        <v>42645.778609561021</v>
      </c>
      <c r="M556" s="55">
        <f>$J$556-EFEITO!$K$556*EFEITO!$Y$556</f>
        <v>0</v>
      </c>
      <c r="N556" s="55">
        <f ca="1">$K$556-EFEITO!$M$556*EFEITO!$Z$556</f>
        <v>0</v>
      </c>
      <c r="O556" s="55">
        <f>$L$556-EFEITO!$O$556*EFEITO!$AA$556</f>
        <v>0</v>
      </c>
      <c r="P556" s="39"/>
      <c r="Q556" s="39"/>
      <c r="R556" s="39"/>
      <c r="S556" s="39"/>
      <c r="T556" s="39"/>
      <c r="U556" s="39"/>
      <c r="V556" s="39"/>
      <c r="W556" s="39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1.25" customHeight="1" x14ac:dyDescent="0.2">
      <c r="A557" s="35" t="s">
        <v>28</v>
      </c>
      <c r="B557" s="35" t="s">
        <v>33</v>
      </c>
      <c r="C557" s="35" t="s">
        <v>23</v>
      </c>
      <c r="D557" s="35" t="s">
        <v>42</v>
      </c>
      <c r="E557" s="35" t="s">
        <v>25</v>
      </c>
      <c r="F557" s="35" t="s">
        <v>25</v>
      </c>
      <c r="G557" s="35" t="s">
        <v>25</v>
      </c>
      <c r="H557" s="35" t="s">
        <v>25</v>
      </c>
      <c r="I557" s="54">
        <v>44440</v>
      </c>
      <c r="J557" s="55">
        <f>EFEITO!$J$557*EFEITO!$Y$557</f>
        <v>0</v>
      </c>
      <c r="K557" s="55">
        <f ca="1">EFEITO!$L$557*EFEITO!$Z$557</f>
        <v>204.41207896465355</v>
      </c>
      <c r="L557" s="55">
        <f>EFEITO!$N$557*EFEITO!$AA$557</f>
        <v>105.55636364252166</v>
      </c>
      <c r="M557" s="55">
        <f>$J$557-EFEITO!$K$557*EFEITO!$Y$557</f>
        <v>0</v>
      </c>
      <c r="N557" s="55">
        <f ca="1">$K$557-EFEITO!$M$557*EFEITO!$Z$557</f>
        <v>0</v>
      </c>
      <c r="O557" s="55">
        <f>$L$557-EFEITO!$O$557*EFEITO!$AA$557</f>
        <v>0</v>
      </c>
      <c r="P557" s="39"/>
      <c r="Q557" s="39"/>
      <c r="R557" s="39"/>
      <c r="S557" s="39"/>
      <c r="T557" s="39"/>
      <c r="U557" s="39"/>
      <c r="V557" s="39"/>
      <c r="W557" s="39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1.25" customHeight="1" x14ac:dyDescent="0.2">
      <c r="A558" s="35" t="s">
        <v>21</v>
      </c>
      <c r="B558" s="35" t="s">
        <v>33</v>
      </c>
      <c r="C558" s="35" t="s">
        <v>23</v>
      </c>
      <c r="D558" s="35" t="s">
        <v>42</v>
      </c>
      <c r="E558" s="35" t="s">
        <v>25</v>
      </c>
      <c r="F558" s="35" t="s">
        <v>25</v>
      </c>
      <c r="G558" s="35" t="s">
        <v>25</v>
      </c>
      <c r="H558" s="35" t="s">
        <v>25</v>
      </c>
      <c r="I558" s="54">
        <v>44470</v>
      </c>
      <c r="J558" s="55">
        <f>EFEITO!$J$558*EFEITO!$Y$558</f>
        <v>0</v>
      </c>
      <c r="K558" s="55">
        <f ca="1">EFEITO!$L$558*EFEITO!$Z$558</f>
        <v>76562.324640565319</v>
      </c>
      <c r="L558" s="55">
        <f>EFEITO!$N$558*EFEITO!$AA$558</f>
        <v>39536.022636283487</v>
      </c>
      <c r="M558" s="55">
        <f>$J$558-EFEITO!$K$558*EFEITO!$Y$558</f>
        <v>0</v>
      </c>
      <c r="N558" s="55">
        <f ca="1">$K$558-EFEITO!$M$558*EFEITO!$Z$558</f>
        <v>0</v>
      </c>
      <c r="O558" s="55">
        <f>$L$558-EFEITO!$O$558*EFEITO!$AA$558</f>
        <v>0</v>
      </c>
      <c r="P558" s="39"/>
      <c r="Q558" s="39"/>
      <c r="R558" s="39"/>
      <c r="S558" s="39"/>
      <c r="T558" s="39"/>
      <c r="U558" s="39"/>
      <c r="V558" s="39"/>
      <c r="W558" s="39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1.25" customHeight="1" x14ac:dyDescent="0.2">
      <c r="A559" s="35" t="s">
        <v>28</v>
      </c>
      <c r="B559" s="35" t="s">
        <v>33</v>
      </c>
      <c r="C559" s="35" t="s">
        <v>23</v>
      </c>
      <c r="D559" s="35" t="s">
        <v>42</v>
      </c>
      <c r="E559" s="35" t="s">
        <v>25</v>
      </c>
      <c r="F559" s="35" t="s">
        <v>25</v>
      </c>
      <c r="G559" s="35" t="s">
        <v>25</v>
      </c>
      <c r="H559" s="35" t="s">
        <v>25</v>
      </c>
      <c r="I559" s="54">
        <v>44470</v>
      </c>
      <c r="J559" s="55">
        <f>EFEITO!$J$559*EFEITO!$Y$559</f>
        <v>0</v>
      </c>
      <c r="K559" s="55">
        <f ca="1">EFEITO!$L$559*EFEITO!$Z$559</f>
        <v>190.75208323431872</v>
      </c>
      <c r="L559" s="55">
        <f>EFEITO!$N$559*EFEITO!$AA$559</f>
        <v>98.502477766649093</v>
      </c>
      <c r="M559" s="55">
        <f>$J$559-EFEITO!$K$559*EFEITO!$Y$559</f>
        <v>0</v>
      </c>
      <c r="N559" s="55">
        <f ca="1">$K$559-EFEITO!$M$559*EFEITO!$Z$559</f>
        <v>0</v>
      </c>
      <c r="O559" s="55">
        <f>$L$559-EFEITO!$O$559*EFEITO!$AA$559</f>
        <v>0</v>
      </c>
      <c r="P559" s="39"/>
      <c r="Q559" s="39"/>
      <c r="R559" s="39"/>
      <c r="S559" s="39"/>
      <c r="T559" s="39"/>
      <c r="U559" s="39"/>
      <c r="V559" s="39"/>
      <c r="W559" s="39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1.25" customHeight="1" x14ac:dyDescent="0.2">
      <c r="A560" s="35" t="s">
        <v>21</v>
      </c>
      <c r="B560" s="35" t="s">
        <v>33</v>
      </c>
      <c r="C560" s="35" t="s">
        <v>23</v>
      </c>
      <c r="D560" s="35" t="s">
        <v>42</v>
      </c>
      <c r="E560" s="35" t="s">
        <v>25</v>
      </c>
      <c r="F560" s="35" t="s">
        <v>25</v>
      </c>
      <c r="G560" s="35" t="s">
        <v>25</v>
      </c>
      <c r="H560" s="35" t="s">
        <v>25</v>
      </c>
      <c r="I560" s="54">
        <v>44501</v>
      </c>
      <c r="J560" s="55">
        <f>EFEITO!$J$560*EFEITO!$Y$560</f>
        <v>0</v>
      </c>
      <c r="K560" s="55">
        <f ca="1">EFEITO!$L$560*EFEITO!$Z$560</f>
        <v>88834.855090290439</v>
      </c>
      <c r="L560" s="55">
        <f>EFEITO!$N$560*EFEITO!$AA$560</f>
        <v>45873.43524676386</v>
      </c>
      <c r="M560" s="55">
        <f>$J$560-EFEITO!$K$560*EFEITO!$Y$560</f>
        <v>0</v>
      </c>
      <c r="N560" s="55">
        <f ca="1">$K$560-EFEITO!$M$560*EFEITO!$Z$560</f>
        <v>0</v>
      </c>
      <c r="O560" s="55">
        <f>$L$560-EFEITO!$O$560*EFEITO!$AA$560</f>
        <v>0</v>
      </c>
      <c r="P560" s="39"/>
      <c r="Q560" s="39"/>
      <c r="R560" s="39"/>
      <c r="S560" s="39"/>
      <c r="T560" s="39"/>
      <c r="U560" s="39"/>
      <c r="V560" s="39"/>
      <c r="W560" s="39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1.25" customHeight="1" x14ac:dyDescent="0.2">
      <c r="A561" s="35" t="s">
        <v>28</v>
      </c>
      <c r="B561" s="35" t="s">
        <v>33</v>
      </c>
      <c r="C561" s="35" t="s">
        <v>23</v>
      </c>
      <c r="D561" s="35" t="s">
        <v>42</v>
      </c>
      <c r="E561" s="35" t="s">
        <v>25</v>
      </c>
      <c r="F561" s="35" t="s">
        <v>25</v>
      </c>
      <c r="G561" s="35" t="s">
        <v>25</v>
      </c>
      <c r="H561" s="35" t="s">
        <v>25</v>
      </c>
      <c r="I561" s="54">
        <v>44501</v>
      </c>
      <c r="J561" s="55">
        <f>EFEITO!$J$561*EFEITO!$Y$561</f>
        <v>0</v>
      </c>
      <c r="K561" s="55">
        <f ca="1">EFEITO!$L$561*EFEITO!$Z$561</f>
        <v>220.51135964683391</v>
      </c>
      <c r="L561" s="55">
        <f>EFEITO!$N$561*EFEITO!$AA$561</f>
        <v>113.86987199622862</v>
      </c>
      <c r="M561" s="55">
        <f>$J$561-EFEITO!$K$561*EFEITO!$Y$561</f>
        <v>0</v>
      </c>
      <c r="N561" s="55">
        <f ca="1">$K$561-EFEITO!$M$561*EFEITO!$Z$561</f>
        <v>0</v>
      </c>
      <c r="O561" s="55">
        <f>$L$561-EFEITO!$O$561*EFEITO!$AA$561</f>
        <v>0</v>
      </c>
      <c r="P561" s="39"/>
      <c r="Q561" s="39"/>
      <c r="R561" s="39"/>
      <c r="S561" s="39"/>
      <c r="T561" s="39"/>
      <c r="U561" s="39"/>
      <c r="V561" s="39"/>
      <c r="W561" s="39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1.25" customHeight="1" x14ac:dyDescent="0.2">
      <c r="A562" s="35" t="s">
        <v>21</v>
      </c>
      <c r="B562" s="35" t="s">
        <v>33</v>
      </c>
      <c r="C562" s="35" t="s">
        <v>23</v>
      </c>
      <c r="D562" s="35" t="s">
        <v>42</v>
      </c>
      <c r="E562" s="35" t="s">
        <v>25</v>
      </c>
      <c r="F562" s="35" t="s">
        <v>25</v>
      </c>
      <c r="G562" s="35" t="s">
        <v>25</v>
      </c>
      <c r="H562" s="35" t="s">
        <v>25</v>
      </c>
      <c r="I562" s="54">
        <v>44531</v>
      </c>
      <c r="J562" s="55">
        <f>EFEITO!$J$562*EFEITO!$Y$562</f>
        <v>0</v>
      </c>
      <c r="K562" s="55">
        <f ca="1">EFEITO!$L$562*EFEITO!$Z$562</f>
        <v>95847.311469855907</v>
      </c>
      <c r="L562" s="55">
        <f>EFEITO!$N$562*EFEITO!$AA$562</f>
        <v>49494.597946042151</v>
      </c>
      <c r="M562" s="55">
        <f>$J$562-EFEITO!$K$562*EFEITO!$Y$562</f>
        <v>0</v>
      </c>
      <c r="N562" s="55">
        <f ca="1">$K$562-EFEITO!$M$562*EFEITO!$Z$562</f>
        <v>0</v>
      </c>
      <c r="O562" s="55">
        <f>$L$562-EFEITO!$O$562*EFEITO!$AA$562</f>
        <v>0</v>
      </c>
      <c r="P562" s="39"/>
      <c r="Q562" s="39"/>
      <c r="R562" s="39"/>
      <c r="S562" s="39"/>
      <c r="T562" s="39"/>
      <c r="U562" s="39"/>
      <c r="V562" s="39"/>
      <c r="W562" s="39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1.25" customHeight="1" x14ac:dyDescent="0.2">
      <c r="A563" s="35" t="s">
        <v>28</v>
      </c>
      <c r="B563" s="35" t="s">
        <v>33</v>
      </c>
      <c r="C563" s="35" t="s">
        <v>23</v>
      </c>
      <c r="D563" s="35" t="s">
        <v>42</v>
      </c>
      <c r="E563" s="35" t="s">
        <v>25</v>
      </c>
      <c r="F563" s="35" t="s">
        <v>25</v>
      </c>
      <c r="G563" s="35" t="s">
        <v>25</v>
      </c>
      <c r="H563" s="35" t="s">
        <v>25</v>
      </c>
      <c r="I563" s="54">
        <v>44531</v>
      </c>
      <c r="J563" s="55">
        <f>EFEITO!$J$563*EFEITO!$Y$563</f>
        <v>0</v>
      </c>
      <c r="K563" s="55">
        <f ca="1">EFEITO!$L$563*EFEITO!$Z$563</f>
        <v>273.19991460669689</v>
      </c>
      <c r="L563" s="55">
        <f>EFEITO!$N$563*EFEITO!$AA$563</f>
        <v>141.07771751745139</v>
      </c>
      <c r="M563" s="55">
        <f>$J$563-EFEITO!$K$563*EFEITO!$Y$563</f>
        <v>0</v>
      </c>
      <c r="N563" s="55">
        <f ca="1">$K$563-EFEITO!$M$563*EFEITO!$Z$563</f>
        <v>0</v>
      </c>
      <c r="O563" s="55">
        <f>$L$563-EFEITO!$O$563*EFEITO!$AA$563</f>
        <v>0</v>
      </c>
      <c r="P563" s="39"/>
      <c r="Q563" s="39"/>
      <c r="R563" s="39"/>
      <c r="S563" s="39"/>
      <c r="T563" s="39"/>
      <c r="U563" s="39"/>
      <c r="V563" s="39"/>
      <c r="W563" s="39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1.25" customHeight="1" x14ac:dyDescent="0.2">
      <c r="A564" s="35" t="s">
        <v>21</v>
      </c>
      <c r="B564" s="35" t="s">
        <v>33</v>
      </c>
      <c r="C564" s="35" t="s">
        <v>23</v>
      </c>
      <c r="D564" s="35" t="s">
        <v>42</v>
      </c>
      <c r="E564" s="35" t="s">
        <v>25</v>
      </c>
      <c r="F564" s="35" t="s">
        <v>25</v>
      </c>
      <c r="G564" s="35" t="s">
        <v>25</v>
      </c>
      <c r="H564" s="35" t="s">
        <v>25</v>
      </c>
      <c r="I564" s="54">
        <v>44562</v>
      </c>
      <c r="J564" s="55">
        <f>EFEITO!$J$564*EFEITO!$Y$564</f>
        <v>0</v>
      </c>
      <c r="K564" s="55">
        <f ca="1">EFEITO!$L$564*EFEITO!$Z$564</f>
        <v>101882.59029771206</v>
      </c>
      <c r="L564" s="55">
        <f>EFEITO!$N$564*EFEITO!$AA$564</f>
        <v>52611.155880699989</v>
      </c>
      <c r="M564" s="55">
        <f>$J$564-EFEITO!$K$564*EFEITO!$Y$564</f>
        <v>0</v>
      </c>
      <c r="N564" s="55">
        <f ca="1">$K$564-EFEITO!$M$564*EFEITO!$Z$564</f>
        <v>0</v>
      </c>
      <c r="O564" s="55">
        <f>$L$564-EFEITO!$O$564*EFEITO!$AA$564</f>
        <v>0</v>
      </c>
      <c r="P564" s="39"/>
      <c r="Q564" s="39"/>
      <c r="R564" s="39"/>
      <c r="S564" s="39"/>
      <c r="T564" s="39"/>
      <c r="U564" s="39"/>
      <c r="V564" s="39"/>
      <c r="W564" s="39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1.25" customHeight="1" x14ac:dyDescent="0.2">
      <c r="A565" s="35" t="s">
        <v>28</v>
      </c>
      <c r="B565" s="35" t="s">
        <v>33</v>
      </c>
      <c r="C565" s="35" t="s">
        <v>23</v>
      </c>
      <c r="D565" s="35" t="s">
        <v>42</v>
      </c>
      <c r="E565" s="35" t="s">
        <v>25</v>
      </c>
      <c r="F565" s="35" t="s">
        <v>25</v>
      </c>
      <c r="G565" s="35" t="s">
        <v>25</v>
      </c>
      <c r="H565" s="35" t="s">
        <v>25</v>
      </c>
      <c r="I565" s="54">
        <v>44562</v>
      </c>
      <c r="J565" s="55">
        <f>EFEITO!$J$565*EFEITO!$Y$565</f>
        <v>0</v>
      </c>
      <c r="K565" s="55">
        <f ca="1">EFEITO!$L$565*EFEITO!$Z$565</f>
        <v>188.80065527284231</v>
      </c>
      <c r="L565" s="55">
        <f>EFEITO!$N$565*EFEITO!$AA$565</f>
        <v>97.494779784381592</v>
      </c>
      <c r="M565" s="55">
        <f>$J$565-EFEITO!$K$565*EFEITO!$Y$565</f>
        <v>0</v>
      </c>
      <c r="N565" s="55">
        <f ca="1">$K$565-EFEITO!$M$565*EFEITO!$Z$565</f>
        <v>0</v>
      </c>
      <c r="O565" s="55">
        <f>$L$565-EFEITO!$O$565*EFEITO!$AA$565</f>
        <v>0</v>
      </c>
      <c r="P565" s="39"/>
      <c r="Q565" s="39"/>
      <c r="R565" s="39"/>
      <c r="S565" s="39"/>
      <c r="T565" s="39"/>
      <c r="U565" s="39"/>
      <c r="V565" s="39"/>
      <c r="W565" s="39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1.25" customHeight="1" x14ac:dyDescent="0.2">
      <c r="A566" s="35" t="s">
        <v>21</v>
      </c>
      <c r="B566" s="35" t="s">
        <v>33</v>
      </c>
      <c r="C566" s="35" t="s">
        <v>23</v>
      </c>
      <c r="D566" s="35" t="s">
        <v>42</v>
      </c>
      <c r="E566" s="35" t="s">
        <v>25</v>
      </c>
      <c r="F566" s="35" t="s">
        <v>25</v>
      </c>
      <c r="G566" s="35" t="s">
        <v>25</v>
      </c>
      <c r="H566" s="35" t="s">
        <v>25</v>
      </c>
      <c r="I566" s="54">
        <v>44593</v>
      </c>
      <c r="J566" s="55">
        <f>EFEITO!$J$566*EFEITO!$Y$566</f>
        <v>0</v>
      </c>
      <c r="K566" s="55">
        <f ca="1">EFEITO!$L$566*EFEITO!$Z$566</f>
        <v>110014.67847017461</v>
      </c>
      <c r="L566" s="55">
        <f>EFEITO!$N$566*EFEITO!$AA$566</f>
        <v>56810.485297304273</v>
      </c>
      <c r="M566" s="55">
        <f>$J$566-EFEITO!$K$566*EFEITO!$Y$566</f>
        <v>0</v>
      </c>
      <c r="N566" s="55">
        <f ca="1">$K$566-EFEITO!$M$566*EFEITO!$Z$566</f>
        <v>0</v>
      </c>
      <c r="O566" s="55">
        <f>$L$566-EFEITO!$O$566*EFEITO!$AA$566</f>
        <v>0</v>
      </c>
      <c r="P566" s="39"/>
      <c r="Q566" s="39"/>
      <c r="R566" s="39"/>
      <c r="S566" s="39"/>
      <c r="T566" s="39"/>
      <c r="U566" s="39"/>
      <c r="V566" s="39"/>
      <c r="W566" s="39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1.25" customHeight="1" x14ac:dyDescent="0.2">
      <c r="A567" s="35" t="s">
        <v>28</v>
      </c>
      <c r="B567" s="35" t="s">
        <v>33</v>
      </c>
      <c r="C567" s="35" t="s">
        <v>23</v>
      </c>
      <c r="D567" s="35" t="s">
        <v>42</v>
      </c>
      <c r="E567" s="35" t="s">
        <v>25</v>
      </c>
      <c r="F567" s="35" t="s">
        <v>25</v>
      </c>
      <c r="G567" s="35" t="s">
        <v>25</v>
      </c>
      <c r="H567" s="35" t="s">
        <v>25</v>
      </c>
      <c r="I567" s="54">
        <v>44593</v>
      </c>
      <c r="J567" s="55">
        <f>EFEITO!$J$567*EFEITO!$Y$567</f>
        <v>0</v>
      </c>
      <c r="K567" s="55">
        <f ca="1">EFEITO!$L$567*EFEITO!$Z$567</f>
        <v>120.50067662116808</v>
      </c>
      <c r="L567" s="55">
        <f>EFEITO!$N$567*EFEITO!$AA$567</f>
        <v>62.225350405018737</v>
      </c>
      <c r="M567" s="55">
        <f>$J$567-EFEITO!$K$567*EFEITO!$Y$567</f>
        <v>0</v>
      </c>
      <c r="N567" s="55">
        <f ca="1">$K$567-EFEITO!$M$567*EFEITO!$Z$567</f>
        <v>0</v>
      </c>
      <c r="O567" s="55">
        <f>$L$567-EFEITO!$O$567*EFEITO!$AA$567</f>
        <v>0</v>
      </c>
      <c r="P567" s="39"/>
      <c r="Q567" s="39"/>
      <c r="R567" s="39"/>
      <c r="S567" s="39"/>
      <c r="T567" s="39"/>
      <c r="U567" s="39"/>
      <c r="V567" s="39"/>
      <c r="W567" s="39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1.25" customHeight="1" x14ac:dyDescent="0.2">
      <c r="A568" s="35" t="s">
        <v>21</v>
      </c>
      <c r="B568" s="35" t="s">
        <v>33</v>
      </c>
      <c r="C568" s="35" t="s">
        <v>23</v>
      </c>
      <c r="D568" s="35" t="s">
        <v>42</v>
      </c>
      <c r="E568" s="35" t="s">
        <v>25</v>
      </c>
      <c r="F568" s="35" t="s">
        <v>25</v>
      </c>
      <c r="G568" s="35" t="s">
        <v>25</v>
      </c>
      <c r="H568" s="35" t="s">
        <v>25</v>
      </c>
      <c r="I568" s="54">
        <v>44621</v>
      </c>
      <c r="J568" s="55">
        <f>EFEITO!$J$568*EFEITO!$Y$568</f>
        <v>0</v>
      </c>
      <c r="K568" s="55">
        <f ca="1">EFEITO!$L$568*EFEITO!$Z$568</f>
        <v>116005.0744549168</v>
      </c>
      <c r="L568" s="55">
        <f>EFEITO!$N$568*EFEITO!$AA$568</f>
        <v>59903.866178369964</v>
      </c>
      <c r="M568" s="55">
        <f>$J$568-EFEITO!$K$568*EFEITO!$Y$568</f>
        <v>0</v>
      </c>
      <c r="N568" s="55">
        <f ca="1">$K$568-EFEITO!$M$568*EFEITO!$Z$568</f>
        <v>0</v>
      </c>
      <c r="O568" s="55">
        <f>$L$568-EFEITO!$O$568*EFEITO!$AA$568</f>
        <v>0</v>
      </c>
      <c r="P568" s="39"/>
      <c r="Q568" s="39"/>
      <c r="R568" s="39"/>
      <c r="S568" s="39"/>
      <c r="T568" s="39"/>
      <c r="U568" s="39"/>
      <c r="V568" s="39"/>
      <c r="W568" s="39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1.25" customHeight="1" x14ac:dyDescent="0.2">
      <c r="A569" s="35" t="s">
        <v>28</v>
      </c>
      <c r="B569" s="35" t="s">
        <v>33</v>
      </c>
      <c r="C569" s="35" t="s">
        <v>23</v>
      </c>
      <c r="D569" s="35" t="s">
        <v>42</v>
      </c>
      <c r="E569" s="35" t="s">
        <v>25</v>
      </c>
      <c r="F569" s="35" t="s">
        <v>25</v>
      </c>
      <c r="G569" s="35" t="s">
        <v>25</v>
      </c>
      <c r="H569" s="35" t="s">
        <v>25</v>
      </c>
      <c r="I569" s="54">
        <v>44621</v>
      </c>
      <c r="J569" s="55">
        <f>EFEITO!$J$569*EFEITO!$Y$569</f>
        <v>0</v>
      </c>
      <c r="K569" s="55">
        <f ca="1">EFEITO!$L$569*EFEITO!$Z$569</f>
        <v>1619.1973510350481</v>
      </c>
      <c r="L569" s="55">
        <f>EFEITO!$N$569*EFEITO!$AA$569</f>
        <v>836.1374007864664</v>
      </c>
      <c r="M569" s="55">
        <f>$J$569-EFEITO!$K$569*EFEITO!$Y$569</f>
        <v>0</v>
      </c>
      <c r="N569" s="55">
        <f ca="1">$K$569-EFEITO!$M$569*EFEITO!$Z$569</f>
        <v>0</v>
      </c>
      <c r="O569" s="55">
        <f>$L$569-EFEITO!$O$569*EFEITO!$AA$569</f>
        <v>0</v>
      </c>
      <c r="P569" s="39"/>
      <c r="Q569" s="39"/>
      <c r="R569" s="39"/>
      <c r="S569" s="39"/>
      <c r="T569" s="39"/>
      <c r="U569" s="39"/>
      <c r="V569" s="39"/>
      <c r="W569" s="39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1.25" customHeight="1" x14ac:dyDescent="0.2">
      <c r="A570" s="35" t="s">
        <v>21</v>
      </c>
      <c r="B570" s="35" t="s">
        <v>33</v>
      </c>
      <c r="C570" s="35" t="s">
        <v>23</v>
      </c>
      <c r="D570" s="35" t="s">
        <v>42</v>
      </c>
      <c r="E570" s="35" t="s">
        <v>25</v>
      </c>
      <c r="F570" s="35" t="s">
        <v>25</v>
      </c>
      <c r="G570" s="35" t="s">
        <v>25</v>
      </c>
      <c r="H570" s="35" t="s">
        <v>25</v>
      </c>
      <c r="I570" s="54">
        <v>44652</v>
      </c>
      <c r="J570" s="55">
        <f>EFEITO!$J$570*EFEITO!$Y$570</f>
        <v>0</v>
      </c>
      <c r="K570" s="55">
        <f ca="1">EFEITO!$L$570*EFEITO!$Z$570</f>
        <v>96063.919973579788</v>
      </c>
      <c r="L570" s="55">
        <f>EFEITO!$N$570*EFEITO!$AA$570</f>
        <v>49606.452422073846</v>
      </c>
      <c r="M570" s="55">
        <f>$J$570-EFEITO!$K$570*EFEITO!$Y$570</f>
        <v>0</v>
      </c>
      <c r="N570" s="55">
        <f ca="1">$K$570-EFEITO!$M$570*EFEITO!$Z$570</f>
        <v>0</v>
      </c>
      <c r="O570" s="55">
        <f>$L$570-EFEITO!$O$570*EFEITO!$AA$570</f>
        <v>0</v>
      </c>
      <c r="P570" s="39"/>
      <c r="Q570" s="39"/>
      <c r="R570" s="39"/>
      <c r="S570" s="39"/>
      <c r="T570" s="39"/>
      <c r="U570" s="39"/>
      <c r="V570" s="39"/>
      <c r="W570" s="39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1.25" customHeight="1" x14ac:dyDescent="0.2">
      <c r="A571" s="35" t="s">
        <v>27</v>
      </c>
      <c r="B571" s="35" t="s">
        <v>33</v>
      </c>
      <c r="C571" s="35" t="s">
        <v>23</v>
      </c>
      <c r="D571" s="35" t="s">
        <v>42</v>
      </c>
      <c r="E571" s="35" t="s">
        <v>25</v>
      </c>
      <c r="F571" s="35" t="s">
        <v>25</v>
      </c>
      <c r="G571" s="35" t="s">
        <v>25</v>
      </c>
      <c r="H571" s="35" t="s">
        <v>25</v>
      </c>
      <c r="I571" s="54">
        <v>44652</v>
      </c>
      <c r="J571" s="55">
        <f>EFEITO!$J$571*EFEITO!$Y$571</f>
        <v>0</v>
      </c>
      <c r="K571" s="55">
        <f ca="1">EFEITO!$L$571*EFEITO!$Z$571</f>
        <v>-14.635709711073046</v>
      </c>
      <c r="L571" s="55">
        <f>EFEITO!$N$571*EFEITO!$AA$571</f>
        <v>-7.5577348670063245</v>
      </c>
      <c r="M571" s="55">
        <f>$J$571-EFEITO!$K$571*EFEITO!$Y$571</f>
        <v>0</v>
      </c>
      <c r="N571" s="55">
        <f ca="1">$K$571-EFEITO!$M$571*EFEITO!$Z$571</f>
        <v>0</v>
      </c>
      <c r="O571" s="55">
        <f>$L$571-EFEITO!$O$571*EFEITO!$AA$571</f>
        <v>0</v>
      </c>
      <c r="P571" s="39"/>
      <c r="Q571" s="39"/>
      <c r="R571" s="39"/>
      <c r="S571" s="39"/>
      <c r="T571" s="39"/>
      <c r="U571" s="39"/>
      <c r="V571" s="39"/>
      <c r="W571" s="39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1.25" customHeight="1" x14ac:dyDescent="0.2">
      <c r="A572" s="35" t="s">
        <v>28</v>
      </c>
      <c r="B572" s="35" t="s">
        <v>33</v>
      </c>
      <c r="C572" s="35" t="s">
        <v>23</v>
      </c>
      <c r="D572" s="35" t="s">
        <v>42</v>
      </c>
      <c r="E572" s="35" t="s">
        <v>25</v>
      </c>
      <c r="F572" s="35" t="s">
        <v>25</v>
      </c>
      <c r="G572" s="35" t="s">
        <v>25</v>
      </c>
      <c r="H572" s="35" t="s">
        <v>25</v>
      </c>
      <c r="I572" s="54">
        <v>44652</v>
      </c>
      <c r="J572" s="55">
        <f>EFEITO!$J$572*EFEITO!$Y$572</f>
        <v>0</v>
      </c>
      <c r="K572" s="55">
        <f ca="1">EFEITO!$L$572*EFEITO!$Z$572</f>
        <v>1255.7438932100672</v>
      </c>
      <c r="L572" s="55">
        <f>EFEITO!$N$572*EFEITO!$AA$572</f>
        <v>648.45365158914262</v>
      </c>
      <c r="M572" s="55">
        <f>$J$572-EFEITO!$K$572*EFEITO!$Y$572</f>
        <v>0</v>
      </c>
      <c r="N572" s="55">
        <f ca="1">$K$572-EFEITO!$M$572*EFEITO!$Z$572</f>
        <v>0</v>
      </c>
      <c r="O572" s="55">
        <f>$L$572-EFEITO!$O$572*EFEITO!$AA$572</f>
        <v>0</v>
      </c>
      <c r="P572" s="39"/>
      <c r="Q572" s="39"/>
      <c r="R572" s="39"/>
      <c r="S572" s="39"/>
      <c r="T572" s="39"/>
      <c r="U572" s="39"/>
      <c r="V572" s="39"/>
      <c r="W572" s="39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1.25" customHeight="1" x14ac:dyDescent="0.2">
      <c r="A573" s="35" t="s">
        <v>21</v>
      </c>
      <c r="B573" s="35" t="s">
        <v>33</v>
      </c>
      <c r="C573" s="35" t="s">
        <v>23</v>
      </c>
      <c r="D573" s="35" t="s">
        <v>42</v>
      </c>
      <c r="E573" s="35" t="s">
        <v>25</v>
      </c>
      <c r="F573" s="35" t="s">
        <v>25</v>
      </c>
      <c r="G573" s="35" t="s">
        <v>25</v>
      </c>
      <c r="H573" s="35" t="s">
        <v>25</v>
      </c>
      <c r="I573" s="54">
        <v>44682</v>
      </c>
      <c r="J573" s="55">
        <f>EFEITO!$J$573*EFEITO!$Y$573</f>
        <v>0</v>
      </c>
      <c r="K573" s="55">
        <f ca="1">EFEITO!$L$573*EFEITO!$Z$573</f>
        <v>97591.888067415814</v>
      </c>
      <c r="L573" s="55">
        <f>EFEITO!$N$573*EFEITO!$AA$573</f>
        <v>50395.479942189304</v>
      </c>
      <c r="M573" s="55">
        <f>$J$573-EFEITO!$K$573*EFEITO!$Y$573</f>
        <v>0</v>
      </c>
      <c r="N573" s="55">
        <f ca="1">$K$573-EFEITO!$M$573*EFEITO!$Z$573</f>
        <v>0</v>
      </c>
      <c r="O573" s="55">
        <f>$L$573-EFEITO!$O$573*EFEITO!$AA$573</f>
        <v>0</v>
      </c>
      <c r="P573" s="39"/>
      <c r="Q573" s="39"/>
      <c r="R573" s="39"/>
      <c r="S573" s="39"/>
      <c r="T573" s="39"/>
      <c r="U573" s="39"/>
      <c r="V573" s="39"/>
      <c r="W573" s="39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1.25" customHeight="1" x14ac:dyDescent="0.2">
      <c r="A574" s="35" t="s">
        <v>28</v>
      </c>
      <c r="B574" s="35" t="s">
        <v>33</v>
      </c>
      <c r="C574" s="35" t="s">
        <v>23</v>
      </c>
      <c r="D574" s="35" t="s">
        <v>42</v>
      </c>
      <c r="E574" s="35" t="s">
        <v>25</v>
      </c>
      <c r="F574" s="35" t="s">
        <v>25</v>
      </c>
      <c r="G574" s="35" t="s">
        <v>25</v>
      </c>
      <c r="H574" s="35" t="s">
        <v>25</v>
      </c>
      <c r="I574" s="54">
        <v>44682</v>
      </c>
      <c r="J574" s="55">
        <f>EFEITO!$J$574*EFEITO!$Y$574</f>
        <v>0</v>
      </c>
      <c r="K574" s="55">
        <f ca="1">EFEITO!$L$574*EFEITO!$Z$574</f>
        <v>1044.0139593898773</v>
      </c>
      <c r="L574" s="55">
        <f>EFEITO!$N$574*EFEITO!$AA$574</f>
        <v>539.11842051311783</v>
      </c>
      <c r="M574" s="55">
        <f>$J$574-EFEITO!$K$574*EFEITO!$Y$574</f>
        <v>0</v>
      </c>
      <c r="N574" s="55">
        <f ca="1">$K$574-EFEITO!$M$574*EFEITO!$Z$574</f>
        <v>0</v>
      </c>
      <c r="O574" s="55">
        <f>$L$574-EFEITO!$O$574*EFEITO!$AA$574</f>
        <v>0</v>
      </c>
      <c r="P574" s="39"/>
      <c r="Q574" s="39"/>
      <c r="R574" s="39"/>
      <c r="S574" s="39"/>
      <c r="T574" s="39"/>
      <c r="U574" s="39"/>
      <c r="V574" s="39"/>
      <c r="W574" s="39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1.25" customHeight="1" x14ac:dyDescent="0.2">
      <c r="A575" s="35" t="s">
        <v>21</v>
      </c>
      <c r="B575" s="35" t="s">
        <v>33</v>
      </c>
      <c r="C575" s="35" t="s">
        <v>23</v>
      </c>
      <c r="D575" s="35" t="s">
        <v>42</v>
      </c>
      <c r="E575" s="35" t="s">
        <v>25</v>
      </c>
      <c r="F575" s="35" t="s">
        <v>25</v>
      </c>
      <c r="G575" s="35" t="s">
        <v>25</v>
      </c>
      <c r="H575" s="35" t="s">
        <v>25</v>
      </c>
      <c r="I575" s="54">
        <v>44713</v>
      </c>
      <c r="J575" s="55">
        <f>EFEITO!$J$575*EFEITO!$Y$575</f>
        <v>0</v>
      </c>
      <c r="K575" s="55">
        <f ca="1">EFEITO!$L$575*EFEITO!$Z$575</f>
        <v>103613.994756532</v>
      </c>
      <c r="L575" s="55">
        <f>EFEITO!$N$575*EFEITO!$AA$575</f>
        <v>53505.235915466837</v>
      </c>
      <c r="M575" s="55">
        <f>$J$575-EFEITO!$K$575*EFEITO!$Y$575</f>
        <v>0</v>
      </c>
      <c r="N575" s="55">
        <f ca="1">$K$575-EFEITO!$M$575*EFEITO!$Z$575</f>
        <v>0</v>
      </c>
      <c r="O575" s="55">
        <f>$L$575-EFEITO!$O$575*EFEITO!$AA$575</f>
        <v>0</v>
      </c>
      <c r="P575" s="39"/>
      <c r="Q575" s="39"/>
      <c r="R575" s="39"/>
      <c r="S575" s="39"/>
      <c r="T575" s="39"/>
      <c r="U575" s="39"/>
      <c r="V575" s="39"/>
      <c r="W575" s="39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1.25" customHeight="1" x14ac:dyDescent="0.2">
      <c r="A576" s="35" t="s">
        <v>28</v>
      </c>
      <c r="B576" s="35" t="s">
        <v>33</v>
      </c>
      <c r="C576" s="35" t="s">
        <v>23</v>
      </c>
      <c r="D576" s="35" t="s">
        <v>42</v>
      </c>
      <c r="E576" s="35" t="s">
        <v>25</v>
      </c>
      <c r="F576" s="35" t="s">
        <v>25</v>
      </c>
      <c r="G576" s="35" t="s">
        <v>25</v>
      </c>
      <c r="H576" s="35" t="s">
        <v>25</v>
      </c>
      <c r="I576" s="54">
        <v>44713</v>
      </c>
      <c r="J576" s="55">
        <f>EFEITO!$J$576*EFEITO!$Y$576</f>
        <v>0</v>
      </c>
      <c r="K576" s="55">
        <f ca="1">EFEITO!$L$576*EFEITO!$Z$576</f>
        <v>1667.9830500719581</v>
      </c>
      <c r="L576" s="55">
        <f>EFEITO!$N$576*EFEITO!$AA$576</f>
        <v>861.32985034315413</v>
      </c>
      <c r="M576" s="55">
        <f>$J$576-EFEITO!$K$576*EFEITO!$Y$576</f>
        <v>0</v>
      </c>
      <c r="N576" s="55">
        <f ca="1">$K$576-EFEITO!$M$576*EFEITO!$Z$576</f>
        <v>0</v>
      </c>
      <c r="O576" s="55">
        <f>$L$576-EFEITO!$O$576*EFEITO!$AA$576</f>
        <v>0</v>
      </c>
      <c r="P576" s="39"/>
      <c r="Q576" s="39"/>
      <c r="R576" s="39"/>
      <c r="S576" s="39"/>
      <c r="T576" s="39"/>
      <c r="U576" s="39"/>
      <c r="V576" s="39"/>
      <c r="W576" s="39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1.25" customHeight="1" x14ac:dyDescent="0.2">
      <c r="A577" s="35" t="s">
        <v>21</v>
      </c>
      <c r="B577" s="35" t="s">
        <v>33</v>
      </c>
      <c r="C577" s="35" t="s">
        <v>23</v>
      </c>
      <c r="D577" s="35" t="s">
        <v>46</v>
      </c>
      <c r="E577" s="35" t="s">
        <v>47</v>
      </c>
      <c r="F577" s="35" t="s">
        <v>25</v>
      </c>
      <c r="G577" s="35" t="s">
        <v>25</v>
      </c>
      <c r="H577" s="35" t="s">
        <v>25</v>
      </c>
      <c r="I577" s="54">
        <v>44378</v>
      </c>
      <c r="J577" s="55">
        <f>EFEITO!$J$577*EFEITO!$Y$576</f>
        <v>0</v>
      </c>
      <c r="K577" s="55">
        <f ca="1">EFEITO!$L$577*EFEITO!$Z$576</f>
        <v>38932.451402425409</v>
      </c>
      <c r="L577" s="55">
        <f>EFEITO!$N$577*EFEITO!$AA$576</f>
        <v>20104.330519723524</v>
      </c>
      <c r="M577" s="55">
        <f>$J$577-EFEITO!$K$577*EFEITO!$Y$577</f>
        <v>0</v>
      </c>
      <c r="N577" s="55">
        <f ca="1">$K$577-EFEITO!$M$577*EFEITO!$Z$577</f>
        <v>1167.9735420727666</v>
      </c>
      <c r="O577" s="55">
        <f>$L$577-EFEITO!$O$577*EFEITO!$AA$577</f>
        <v>603.12991559170769</v>
      </c>
      <c r="P577" s="39"/>
      <c r="Q577" s="39"/>
      <c r="R577" s="39"/>
      <c r="S577" s="39"/>
      <c r="T577" s="39"/>
      <c r="U577" s="39"/>
      <c r="V577" s="39"/>
      <c r="W577" s="39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1.25" customHeight="1" x14ac:dyDescent="0.2">
      <c r="A578" s="35" t="s">
        <v>21</v>
      </c>
      <c r="B578" s="35" t="s">
        <v>33</v>
      </c>
      <c r="C578" s="35" t="s">
        <v>23</v>
      </c>
      <c r="D578" s="35" t="s">
        <v>46</v>
      </c>
      <c r="E578" s="35" t="s">
        <v>47</v>
      </c>
      <c r="F578" s="35" t="s">
        <v>25</v>
      </c>
      <c r="G578" s="35" t="s">
        <v>25</v>
      </c>
      <c r="H578" s="35" t="s">
        <v>25</v>
      </c>
      <c r="I578" s="54">
        <v>44409</v>
      </c>
      <c r="J578" s="55">
        <f>EFEITO!$J$578*EFEITO!$Y$576</f>
        <v>0</v>
      </c>
      <c r="K578" s="55">
        <f ca="1">EFEITO!$L$578*EFEITO!$Z$576</f>
        <v>38324.093735435141</v>
      </c>
      <c r="L578" s="55">
        <f>EFEITO!$N$578*EFEITO!$AA$576</f>
        <v>19790.180673751627</v>
      </c>
      <c r="M578" s="55">
        <f>$J$578-EFEITO!$K$578*EFEITO!$Y$578</f>
        <v>0</v>
      </c>
      <c r="N578" s="55">
        <f ca="1">$K$578-EFEITO!$M$578*EFEITO!$Z$578</f>
        <v>1149.7228120630534</v>
      </c>
      <c r="O578" s="55">
        <f>$L$578-EFEITO!$O$578*EFEITO!$AA$578</f>
        <v>593.70542021255096</v>
      </c>
      <c r="P578" s="39"/>
      <c r="Q578" s="39"/>
      <c r="R578" s="39"/>
      <c r="S578" s="39"/>
      <c r="T578" s="39"/>
      <c r="U578" s="39"/>
      <c r="V578" s="39"/>
      <c r="W578" s="39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1.25" customHeight="1" x14ac:dyDescent="0.2">
      <c r="A579" s="35" t="s">
        <v>21</v>
      </c>
      <c r="B579" s="35" t="s">
        <v>33</v>
      </c>
      <c r="C579" s="35" t="s">
        <v>23</v>
      </c>
      <c r="D579" s="35" t="s">
        <v>46</v>
      </c>
      <c r="E579" s="35" t="s">
        <v>47</v>
      </c>
      <c r="F579" s="35" t="s">
        <v>25</v>
      </c>
      <c r="G579" s="35" t="s">
        <v>25</v>
      </c>
      <c r="H579" s="35" t="s">
        <v>25</v>
      </c>
      <c r="I579" s="54">
        <v>44440</v>
      </c>
      <c r="J579" s="55">
        <f>EFEITO!$J$579*EFEITO!$Y$576</f>
        <v>0</v>
      </c>
      <c r="K579" s="55">
        <f ca="1">EFEITO!$L$579*EFEITO!$Z$576</f>
        <v>38664.130057722403</v>
      </c>
      <c r="L579" s="55">
        <f>EFEITO!$N$579*EFEITO!$AA$576</f>
        <v>19965.772047161739</v>
      </c>
      <c r="M579" s="55">
        <f>$J$579-EFEITO!$K$579*EFEITO!$Y$579</f>
        <v>0</v>
      </c>
      <c r="N579" s="55">
        <f ca="1">$K$579-EFEITO!$M$579*EFEITO!$Z$579</f>
        <v>1159.9239017316722</v>
      </c>
      <c r="O579" s="55">
        <f>$L$579-EFEITO!$O$579*EFEITO!$AA$579</f>
        <v>598.97316141485135</v>
      </c>
      <c r="P579" s="39"/>
      <c r="Q579" s="39"/>
      <c r="R579" s="39"/>
      <c r="S579" s="39"/>
      <c r="T579" s="39"/>
      <c r="U579" s="39"/>
      <c r="V579" s="39"/>
      <c r="W579" s="39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1.25" customHeight="1" x14ac:dyDescent="0.2">
      <c r="A580" s="35" t="s">
        <v>21</v>
      </c>
      <c r="B580" s="35" t="s">
        <v>33</v>
      </c>
      <c r="C580" s="35" t="s">
        <v>23</v>
      </c>
      <c r="D580" s="35" t="s">
        <v>46</v>
      </c>
      <c r="E580" s="35" t="s">
        <v>47</v>
      </c>
      <c r="F580" s="35" t="s">
        <v>25</v>
      </c>
      <c r="G580" s="35" t="s">
        <v>25</v>
      </c>
      <c r="H580" s="35" t="s">
        <v>25</v>
      </c>
      <c r="I580" s="54">
        <v>44470</v>
      </c>
      <c r="J580" s="55">
        <f>EFEITO!$J$580*EFEITO!$Y$576</f>
        <v>0</v>
      </c>
      <c r="K580" s="55">
        <f ca="1">EFEITO!$L$580*EFEITO!$Z$576</f>
        <v>37956.737421687205</v>
      </c>
      <c r="L580" s="55">
        <f>EFEITO!$N$580*EFEITO!$AA$576</f>
        <v>19600.481528589768</v>
      </c>
      <c r="M580" s="55">
        <f>$J$580-EFEITO!$K$580*EFEITO!$Y$580</f>
        <v>0</v>
      </c>
      <c r="N580" s="55">
        <f ca="1">$K$580-EFEITO!$M$580*EFEITO!$Z$580</f>
        <v>1138.7021226506185</v>
      </c>
      <c r="O580" s="55">
        <f>$L$580-EFEITO!$O$580*EFEITO!$AA$580</f>
        <v>588.01444585769423</v>
      </c>
      <c r="P580" s="39"/>
      <c r="Q580" s="39"/>
      <c r="R580" s="39"/>
      <c r="S580" s="39"/>
      <c r="T580" s="39"/>
      <c r="U580" s="39"/>
      <c r="V580" s="39"/>
      <c r="W580" s="39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1.25" customHeight="1" x14ac:dyDescent="0.2">
      <c r="A581" s="35" t="s">
        <v>21</v>
      </c>
      <c r="B581" s="35" t="s">
        <v>33</v>
      </c>
      <c r="C581" s="35" t="s">
        <v>23</v>
      </c>
      <c r="D581" s="35" t="s">
        <v>46</v>
      </c>
      <c r="E581" s="35" t="s">
        <v>47</v>
      </c>
      <c r="F581" s="35" t="s">
        <v>25</v>
      </c>
      <c r="G581" s="35" t="s">
        <v>25</v>
      </c>
      <c r="H581" s="35" t="s">
        <v>25</v>
      </c>
      <c r="I581" s="54">
        <v>44501</v>
      </c>
      <c r="J581" s="55">
        <f>EFEITO!$J$581*EFEITO!$Y$576</f>
        <v>0</v>
      </c>
      <c r="K581" s="55">
        <f ca="1">EFEITO!$L$581*EFEITO!$Z$576</f>
        <v>39741.806149447752</v>
      </c>
      <c r="L581" s="55">
        <f>EFEITO!$N$581*EFEITO!$AA$576</f>
        <v>20522.273257868976</v>
      </c>
      <c r="M581" s="55">
        <f>$J$581-EFEITO!$K$581*EFEITO!$Y$581</f>
        <v>0</v>
      </c>
      <c r="N581" s="55">
        <f ca="1">$K$581-EFEITO!$M$581*EFEITO!$Z$581</f>
        <v>1192.2541844834341</v>
      </c>
      <c r="O581" s="55">
        <f>$L$581-EFEITO!$O$581*EFEITO!$AA$581</f>
        <v>615.66819773607131</v>
      </c>
      <c r="P581" s="39"/>
      <c r="Q581" s="39"/>
      <c r="R581" s="39"/>
      <c r="S581" s="39"/>
      <c r="T581" s="39"/>
      <c r="U581" s="39"/>
      <c r="V581" s="39"/>
      <c r="W581" s="39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1.25" customHeight="1" x14ac:dyDescent="0.2">
      <c r="A582" s="35" t="s">
        <v>21</v>
      </c>
      <c r="B582" s="35" t="s">
        <v>33</v>
      </c>
      <c r="C582" s="35" t="s">
        <v>23</v>
      </c>
      <c r="D582" s="35" t="s">
        <v>46</v>
      </c>
      <c r="E582" s="35" t="s">
        <v>47</v>
      </c>
      <c r="F582" s="35" t="s">
        <v>25</v>
      </c>
      <c r="G582" s="35" t="s">
        <v>25</v>
      </c>
      <c r="H582" s="35" t="s">
        <v>25</v>
      </c>
      <c r="I582" s="54">
        <v>44531</v>
      </c>
      <c r="J582" s="55">
        <f>EFEITO!$J$582*EFEITO!$Y$576</f>
        <v>0</v>
      </c>
      <c r="K582" s="55">
        <f ca="1">EFEITO!$L$582*EFEITO!$Z$576</f>
        <v>41801.050505795727</v>
      </c>
      <c r="L582" s="55">
        <f>EFEITO!$N$582*EFEITO!$AA$576</f>
        <v>21585.646553656767</v>
      </c>
      <c r="M582" s="55">
        <f>$J$582-EFEITO!$K$582*EFEITO!$Y$582</f>
        <v>0</v>
      </c>
      <c r="N582" s="55">
        <f ca="1">$K$582-EFEITO!$M$582*EFEITO!$Z$582</f>
        <v>1254.0315151738687</v>
      </c>
      <c r="O582" s="55">
        <f>$L$582-EFEITO!$O$582*EFEITO!$AA$582</f>
        <v>647.56939660970602</v>
      </c>
      <c r="P582" s="39"/>
      <c r="Q582" s="39"/>
      <c r="R582" s="39"/>
      <c r="S582" s="39"/>
      <c r="T582" s="39"/>
      <c r="U582" s="39"/>
      <c r="V582" s="39"/>
      <c r="W582" s="39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1.25" customHeight="1" x14ac:dyDescent="0.2">
      <c r="A583" s="35" t="s">
        <v>21</v>
      </c>
      <c r="B583" s="35" t="s">
        <v>33</v>
      </c>
      <c r="C583" s="35" t="s">
        <v>23</v>
      </c>
      <c r="D583" s="35" t="s">
        <v>46</v>
      </c>
      <c r="E583" s="35" t="s">
        <v>47</v>
      </c>
      <c r="F583" s="35" t="s">
        <v>25</v>
      </c>
      <c r="G583" s="35" t="s">
        <v>25</v>
      </c>
      <c r="H583" s="35" t="s">
        <v>25</v>
      </c>
      <c r="I583" s="54">
        <v>44562</v>
      </c>
      <c r="J583" s="55">
        <f>EFEITO!$J$583*EFEITO!$Y$576</f>
        <v>0</v>
      </c>
      <c r="K583" s="55">
        <f ca="1">EFEITO!$L$583*EFEITO!$Z$576</f>
        <v>43419.272142850037</v>
      </c>
      <c r="L583" s="55">
        <f>EFEITO!$N$583*EFEITO!$AA$576</f>
        <v>22421.280105452097</v>
      </c>
      <c r="M583" s="55">
        <f>$J$583-EFEITO!$K$583*EFEITO!$Y$583</f>
        <v>0</v>
      </c>
      <c r="N583" s="55">
        <f ca="1">$K$583-EFEITO!$M$583*EFEITO!$Z$583</f>
        <v>1302.5781642855</v>
      </c>
      <c r="O583" s="55">
        <f>$L$583-EFEITO!$O$583*EFEITO!$AA$583</f>
        <v>672.63840316356436</v>
      </c>
      <c r="P583" s="39"/>
      <c r="Q583" s="39"/>
      <c r="R583" s="39"/>
      <c r="S583" s="39"/>
      <c r="T583" s="39"/>
      <c r="U583" s="39"/>
      <c r="V583" s="39"/>
      <c r="W583" s="39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1.25" customHeight="1" x14ac:dyDescent="0.2">
      <c r="A584" s="35" t="s">
        <v>21</v>
      </c>
      <c r="B584" s="35" t="s">
        <v>33</v>
      </c>
      <c r="C584" s="35" t="s">
        <v>23</v>
      </c>
      <c r="D584" s="35" t="s">
        <v>46</v>
      </c>
      <c r="E584" s="35" t="s">
        <v>47</v>
      </c>
      <c r="F584" s="35" t="s">
        <v>25</v>
      </c>
      <c r="G584" s="35" t="s">
        <v>25</v>
      </c>
      <c r="H584" s="35" t="s">
        <v>25</v>
      </c>
      <c r="I584" s="54">
        <v>44593</v>
      </c>
      <c r="J584" s="55">
        <f>EFEITO!$J$584*EFEITO!$Y$576</f>
        <v>0</v>
      </c>
      <c r="K584" s="55">
        <f ca="1">EFEITO!$L$584*EFEITO!$Z$576</f>
        <v>45575.600040281468</v>
      </c>
      <c r="L584" s="55">
        <f>EFEITO!$N$584*EFEITO!$AA$576</f>
        <v>23534.786375857693</v>
      </c>
      <c r="M584" s="55">
        <f>$J$584-EFEITO!$K$584*EFEITO!$Y$584</f>
        <v>0</v>
      </c>
      <c r="N584" s="55">
        <f ca="1">$K$584-EFEITO!$M$584*EFEITO!$Z$584</f>
        <v>1367.2680012084456</v>
      </c>
      <c r="O584" s="55">
        <f>$L$584-EFEITO!$O$584*EFEITO!$AA$584</f>
        <v>706.04359127573116</v>
      </c>
      <c r="P584" s="39"/>
      <c r="Q584" s="39"/>
      <c r="R584" s="39"/>
      <c r="S584" s="39"/>
      <c r="T584" s="39"/>
      <c r="U584" s="39"/>
      <c r="V584" s="39"/>
      <c r="W584" s="39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1.25" customHeight="1" x14ac:dyDescent="0.2">
      <c r="A585" s="35" t="s">
        <v>21</v>
      </c>
      <c r="B585" s="35" t="s">
        <v>33</v>
      </c>
      <c r="C585" s="35" t="s">
        <v>23</v>
      </c>
      <c r="D585" s="35" t="s">
        <v>46</v>
      </c>
      <c r="E585" s="35" t="s">
        <v>47</v>
      </c>
      <c r="F585" s="35" t="s">
        <v>25</v>
      </c>
      <c r="G585" s="35" t="s">
        <v>25</v>
      </c>
      <c r="H585" s="35" t="s">
        <v>25</v>
      </c>
      <c r="I585" s="54">
        <v>44621</v>
      </c>
      <c r="J585" s="55">
        <f>EFEITO!$J$585*EFEITO!$Y$576</f>
        <v>0</v>
      </c>
      <c r="K585" s="55">
        <f ca="1">EFEITO!$L$585*EFEITO!$Z$576</f>
        <v>41291.239950860021</v>
      </c>
      <c r="L585" s="55">
        <f>EFEITO!$N$585*EFEITO!$AA$576</f>
        <v>21322.385455789379</v>
      </c>
      <c r="M585" s="55">
        <f>$J$585-EFEITO!$K$585*EFEITO!$Y$585</f>
        <v>0</v>
      </c>
      <c r="N585" s="55">
        <f ca="1">$K$585-EFEITO!$M$585*EFEITO!$Z$585</f>
        <v>1238.7371985257996</v>
      </c>
      <c r="O585" s="55">
        <f>$L$585-EFEITO!$O$585*EFEITO!$AA$585</f>
        <v>639.67156367368443</v>
      </c>
      <c r="P585" s="39"/>
      <c r="Q585" s="39"/>
      <c r="R585" s="39"/>
      <c r="S585" s="39"/>
      <c r="T585" s="39"/>
      <c r="U585" s="39"/>
      <c r="V585" s="39"/>
      <c r="W585" s="39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1.25" customHeight="1" x14ac:dyDescent="0.2">
      <c r="A586" s="35" t="s">
        <v>21</v>
      </c>
      <c r="B586" s="35" t="s">
        <v>33</v>
      </c>
      <c r="C586" s="35" t="s">
        <v>23</v>
      </c>
      <c r="D586" s="35" t="s">
        <v>46</v>
      </c>
      <c r="E586" s="35" t="s">
        <v>47</v>
      </c>
      <c r="F586" s="35" t="s">
        <v>25</v>
      </c>
      <c r="G586" s="35" t="s">
        <v>25</v>
      </c>
      <c r="H586" s="35" t="s">
        <v>25</v>
      </c>
      <c r="I586" s="54">
        <v>44652</v>
      </c>
      <c r="J586" s="55">
        <f>EFEITO!$J$586*EFEITO!$Y$576</f>
        <v>0</v>
      </c>
      <c r="K586" s="55">
        <f ca="1">EFEITO!$L$586*EFEITO!$Z$576</f>
        <v>44079.342650819432</v>
      </c>
      <c r="L586" s="55">
        <f>EFEITO!$N$586*EFEITO!$AA$576</f>
        <v>22762.13394795408</v>
      </c>
      <c r="M586" s="55">
        <f>$J$586-EFEITO!$K$586*EFEITO!$Y$586</f>
        <v>0</v>
      </c>
      <c r="N586" s="55">
        <f ca="1">$K$586-EFEITO!$M$586*EFEITO!$Z$586</f>
        <v>1322.3802795245865</v>
      </c>
      <c r="O586" s="55">
        <f>$L$586-EFEITO!$O$586*EFEITO!$AA$586</f>
        <v>682.86401843862404</v>
      </c>
      <c r="P586" s="39"/>
      <c r="Q586" s="39"/>
      <c r="R586" s="39"/>
      <c r="S586" s="39"/>
      <c r="T586" s="39"/>
      <c r="U586" s="39"/>
      <c r="V586" s="39"/>
      <c r="W586" s="39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1.25" customHeight="1" x14ac:dyDescent="0.2">
      <c r="A587" s="35" t="s">
        <v>21</v>
      </c>
      <c r="B587" s="35" t="s">
        <v>33</v>
      </c>
      <c r="C587" s="35" t="s">
        <v>23</v>
      </c>
      <c r="D587" s="35" t="s">
        <v>46</v>
      </c>
      <c r="E587" s="35" t="s">
        <v>47</v>
      </c>
      <c r="F587" s="35" t="s">
        <v>25</v>
      </c>
      <c r="G587" s="35" t="s">
        <v>25</v>
      </c>
      <c r="H587" s="35" t="s">
        <v>25</v>
      </c>
      <c r="I587" s="54">
        <v>44682</v>
      </c>
      <c r="J587" s="55">
        <f>EFEITO!$J$587*EFEITO!$Y$576</f>
        <v>0</v>
      </c>
      <c r="K587" s="55">
        <f ca="1">EFEITO!$L$587*EFEITO!$Z$576</f>
        <v>42085.471131180915</v>
      </c>
      <c r="L587" s="55">
        <f>EFEITO!$N$587*EFEITO!$AA$576</f>
        <v>21732.518534572253</v>
      </c>
      <c r="M587" s="55">
        <f>$J$587-EFEITO!$K$587*EFEITO!$Y$587</f>
        <v>0</v>
      </c>
      <c r="N587" s="55">
        <f ca="1">$K$587-EFEITO!$M$587*EFEITO!$Z$587</f>
        <v>1262.5641339354261</v>
      </c>
      <c r="O587" s="55">
        <f>$L$587-EFEITO!$O$587*EFEITO!$AA$587</f>
        <v>651.97555603716683</v>
      </c>
      <c r="P587" s="39"/>
      <c r="Q587" s="39"/>
      <c r="R587" s="39"/>
      <c r="S587" s="39"/>
      <c r="T587" s="39"/>
      <c r="U587" s="39"/>
      <c r="V587" s="39"/>
      <c r="W587" s="39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1.25" customHeight="1" x14ac:dyDescent="0.2">
      <c r="A588" s="35" t="s">
        <v>21</v>
      </c>
      <c r="B588" s="35" t="s">
        <v>33</v>
      </c>
      <c r="C588" s="35" t="s">
        <v>23</v>
      </c>
      <c r="D588" s="35" t="s">
        <v>46</v>
      </c>
      <c r="E588" s="35" t="s">
        <v>47</v>
      </c>
      <c r="F588" s="35" t="s">
        <v>25</v>
      </c>
      <c r="G588" s="35" t="s">
        <v>25</v>
      </c>
      <c r="H588" s="35" t="s">
        <v>25</v>
      </c>
      <c r="I588" s="54">
        <v>44713</v>
      </c>
      <c r="J588" s="55">
        <f>EFEITO!$J$588*EFEITO!$Y$576</f>
        <v>0</v>
      </c>
      <c r="K588" s="55">
        <f ca="1">EFEITO!$L$588*EFEITO!$Z$576</f>
        <v>42374.770326469785</v>
      </c>
      <c r="L588" s="55">
        <f>EFEITO!$N$588*EFEITO!$AA$576</f>
        <v>21881.90976044341</v>
      </c>
      <c r="M588" s="55">
        <f>$J$588-EFEITO!$K$588*EFEITO!$Y$588</f>
        <v>0</v>
      </c>
      <c r="N588" s="55">
        <f ca="1">$K$588-EFEITO!$M$588*EFEITO!$Z$588</f>
        <v>1271.2431097940935</v>
      </c>
      <c r="O588" s="55">
        <f>$L$588-EFEITO!$O$588*EFEITO!$AA$588</f>
        <v>656.45729281330205</v>
      </c>
      <c r="P588" s="39"/>
      <c r="Q588" s="39"/>
      <c r="R588" s="39"/>
      <c r="S588" s="39"/>
      <c r="T588" s="39"/>
      <c r="U588" s="39"/>
      <c r="V588" s="39"/>
      <c r="W588" s="39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1.25" customHeight="1" x14ac:dyDescent="0.2">
      <c r="A589" s="35" t="s">
        <v>21</v>
      </c>
      <c r="B589" s="35" t="s">
        <v>43</v>
      </c>
      <c r="C589" s="35" t="s">
        <v>23</v>
      </c>
      <c r="D589" s="35" t="s">
        <v>44</v>
      </c>
      <c r="E589" s="35" t="s">
        <v>45</v>
      </c>
      <c r="F589" s="35" t="s">
        <v>25</v>
      </c>
      <c r="G589" s="35" t="s">
        <v>25</v>
      </c>
      <c r="H589" s="35" t="s">
        <v>25</v>
      </c>
      <c r="I589" s="54">
        <v>44378</v>
      </c>
      <c r="J589" s="55">
        <f>EFEITO!$J$589*EFEITO!$Y$589</f>
        <v>0</v>
      </c>
      <c r="K589" s="55">
        <f ca="1">EFEITO!$L$589*EFEITO!$Z$589</f>
        <v>111763.62138779831</v>
      </c>
      <c r="L589" s="55">
        <f>EFEITO!$N$589*EFEITO!$AA$589</f>
        <v>57713.62201768675</v>
      </c>
      <c r="M589" s="55">
        <f>$J$589-EFEITO!$K$589*EFEITO!$Y$589</f>
        <v>0</v>
      </c>
      <c r="N589" s="55">
        <f ca="1">$K$589-EFEITO!$M$589*EFEITO!$Z$589</f>
        <v>0</v>
      </c>
      <c r="O589" s="55">
        <f>$L$589-EFEITO!$O$589*EFEITO!$AA$589</f>
        <v>0</v>
      </c>
      <c r="P589" s="39"/>
      <c r="Q589" s="39"/>
      <c r="R589" s="39"/>
      <c r="S589" s="39"/>
      <c r="T589" s="39"/>
      <c r="U589" s="39"/>
      <c r="V589" s="39"/>
      <c r="W589" s="39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1.25" customHeight="1" x14ac:dyDescent="0.2">
      <c r="A590" s="35" t="s">
        <v>21</v>
      </c>
      <c r="B590" s="35" t="s">
        <v>43</v>
      </c>
      <c r="C590" s="35" t="s">
        <v>23</v>
      </c>
      <c r="D590" s="35" t="s">
        <v>44</v>
      </c>
      <c r="E590" s="35" t="s">
        <v>45</v>
      </c>
      <c r="F590" s="35" t="s">
        <v>25</v>
      </c>
      <c r="G590" s="35" t="s">
        <v>25</v>
      </c>
      <c r="H590" s="35" t="s">
        <v>25</v>
      </c>
      <c r="I590" s="54">
        <v>44409</v>
      </c>
      <c r="J590" s="55">
        <f>EFEITO!$J$590*EFEITO!$Y$590</f>
        <v>0</v>
      </c>
      <c r="K590" s="55">
        <f ca="1">EFEITO!$L$590*EFEITO!$Z$590</f>
        <v>102119.61561648287</v>
      </c>
      <c r="L590" s="55">
        <f>EFEITO!$N$590*EFEITO!$AA$590</f>
        <v>52733.553396871161</v>
      </c>
      <c r="M590" s="55">
        <f>$J$590-EFEITO!$K$590*EFEITO!$Y$590</f>
        <v>0</v>
      </c>
      <c r="N590" s="55">
        <f ca="1">$K$590-EFEITO!$M$590*EFEITO!$Z$590</f>
        <v>0</v>
      </c>
      <c r="O590" s="55">
        <f>$L$590-EFEITO!$O$590*EFEITO!$AA$590</f>
        <v>0</v>
      </c>
      <c r="P590" s="39"/>
      <c r="Q590" s="39"/>
      <c r="R590" s="39"/>
      <c r="S590" s="39"/>
      <c r="T590" s="39"/>
      <c r="U590" s="39"/>
      <c r="V590" s="39"/>
      <c r="W590" s="39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1.25" customHeight="1" x14ac:dyDescent="0.2">
      <c r="A591" s="35" t="s">
        <v>21</v>
      </c>
      <c r="B591" s="35" t="s">
        <v>43</v>
      </c>
      <c r="C591" s="35" t="s">
        <v>23</v>
      </c>
      <c r="D591" s="35" t="s">
        <v>44</v>
      </c>
      <c r="E591" s="35" t="s">
        <v>45</v>
      </c>
      <c r="F591" s="35" t="s">
        <v>25</v>
      </c>
      <c r="G591" s="35" t="s">
        <v>25</v>
      </c>
      <c r="H591" s="35" t="s">
        <v>25</v>
      </c>
      <c r="I591" s="54">
        <v>44440</v>
      </c>
      <c r="J591" s="55">
        <f>EFEITO!$J$591*EFEITO!$Y$591</f>
        <v>0</v>
      </c>
      <c r="K591" s="55">
        <f ca="1">EFEITO!$L$591*EFEITO!$Z$591</f>
        <v>101977.13698244558</v>
      </c>
      <c r="L591" s="55">
        <f>EFEITO!$N$591*EFEITO!$AA$591</f>
        <v>52659.978847940853</v>
      </c>
      <c r="M591" s="55">
        <f>$J$591-EFEITO!$K$591*EFEITO!$Y$591</f>
        <v>0</v>
      </c>
      <c r="N591" s="55">
        <f ca="1">$K$591-EFEITO!$M$591*EFEITO!$Z$591</f>
        <v>0</v>
      </c>
      <c r="O591" s="55">
        <f>$L$591-EFEITO!$O$591*EFEITO!$AA$591</f>
        <v>0</v>
      </c>
      <c r="P591" s="39"/>
      <c r="Q591" s="39"/>
      <c r="R591" s="39"/>
      <c r="S591" s="39"/>
      <c r="T591" s="39"/>
      <c r="U591" s="39"/>
      <c r="V591" s="39"/>
      <c r="W591" s="39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1.25" customHeight="1" x14ac:dyDescent="0.2">
      <c r="A592" s="35" t="s">
        <v>21</v>
      </c>
      <c r="B592" s="35" t="s">
        <v>43</v>
      </c>
      <c r="C592" s="35" t="s">
        <v>23</v>
      </c>
      <c r="D592" s="35" t="s">
        <v>44</v>
      </c>
      <c r="E592" s="35" t="s">
        <v>45</v>
      </c>
      <c r="F592" s="35" t="s">
        <v>25</v>
      </c>
      <c r="G592" s="35" t="s">
        <v>25</v>
      </c>
      <c r="H592" s="35" t="s">
        <v>25</v>
      </c>
      <c r="I592" s="54">
        <v>44470</v>
      </c>
      <c r="J592" s="55">
        <f>EFEITO!$J$592*EFEITO!$Y$592</f>
        <v>0</v>
      </c>
      <c r="K592" s="55">
        <f ca="1">EFEITO!$L$592*EFEITO!$Z$592</f>
        <v>101520.99069645046</v>
      </c>
      <c r="L592" s="55">
        <f>EFEITO!$N$592*EFEITO!$AA$592</f>
        <v>52424.429444585825</v>
      </c>
      <c r="M592" s="55">
        <f>$J$592-EFEITO!$K$592*EFEITO!$Y$592</f>
        <v>0</v>
      </c>
      <c r="N592" s="55">
        <f ca="1">$K$592-EFEITO!$M$592*EFEITO!$Z$592</f>
        <v>0</v>
      </c>
      <c r="O592" s="55">
        <f>$L$592-EFEITO!$O$592*EFEITO!$AA$592</f>
        <v>0</v>
      </c>
      <c r="P592" s="39"/>
      <c r="Q592" s="39"/>
      <c r="R592" s="39"/>
      <c r="S592" s="39"/>
      <c r="T592" s="39"/>
      <c r="U592" s="39"/>
      <c r="V592" s="39"/>
      <c r="W592" s="39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1.25" customHeight="1" x14ac:dyDescent="0.2">
      <c r="A593" s="35" t="s">
        <v>21</v>
      </c>
      <c r="B593" s="35" t="s">
        <v>43</v>
      </c>
      <c r="C593" s="35" t="s">
        <v>23</v>
      </c>
      <c r="D593" s="35" t="s">
        <v>44</v>
      </c>
      <c r="E593" s="35" t="s">
        <v>45</v>
      </c>
      <c r="F593" s="35" t="s">
        <v>25</v>
      </c>
      <c r="G593" s="35" t="s">
        <v>25</v>
      </c>
      <c r="H593" s="35" t="s">
        <v>25</v>
      </c>
      <c r="I593" s="54">
        <v>44501</v>
      </c>
      <c r="J593" s="55">
        <f>EFEITO!$J$593*EFEITO!$Y$593</f>
        <v>0</v>
      </c>
      <c r="K593" s="55">
        <f ca="1">EFEITO!$L$593*EFEITO!$Z$593</f>
        <v>101413.93047991396</v>
      </c>
      <c r="L593" s="55">
        <f>EFEITO!$N$593*EFEITO!$AA$593</f>
        <v>52369.14461403367</v>
      </c>
      <c r="M593" s="55">
        <f>$J$593-EFEITO!$K$593*EFEITO!$Y$593</f>
        <v>0</v>
      </c>
      <c r="N593" s="55">
        <f ca="1">$K$593-EFEITO!$M$593*EFEITO!$Z$593</f>
        <v>0</v>
      </c>
      <c r="O593" s="55">
        <f>$L$593-EFEITO!$O$593*EFEITO!$AA$593</f>
        <v>0</v>
      </c>
      <c r="P593" s="39"/>
      <c r="Q593" s="39"/>
      <c r="R593" s="39"/>
      <c r="S593" s="39"/>
      <c r="T593" s="39"/>
      <c r="U593" s="39"/>
      <c r="V593" s="39"/>
      <c r="W593" s="39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1.25" customHeight="1" x14ac:dyDescent="0.2">
      <c r="A594" s="35" t="s">
        <v>21</v>
      </c>
      <c r="B594" s="35" t="s">
        <v>43</v>
      </c>
      <c r="C594" s="35" t="s">
        <v>23</v>
      </c>
      <c r="D594" s="35" t="s">
        <v>44</v>
      </c>
      <c r="E594" s="35" t="s">
        <v>45</v>
      </c>
      <c r="F594" s="35" t="s">
        <v>25</v>
      </c>
      <c r="G594" s="35" t="s">
        <v>25</v>
      </c>
      <c r="H594" s="35" t="s">
        <v>25</v>
      </c>
      <c r="I594" s="54">
        <v>44531</v>
      </c>
      <c r="J594" s="55">
        <f>EFEITO!$J$594*EFEITO!$Y$594</f>
        <v>0</v>
      </c>
      <c r="K594" s="55">
        <f ca="1">EFEITO!$L$594*EFEITO!$Z$594</f>
        <v>103983.37567678996</v>
      </c>
      <c r="L594" s="55">
        <f>EFEITO!$N$594*EFEITO!$AA$594</f>
        <v>53695.980547285304</v>
      </c>
      <c r="M594" s="55">
        <f>$J$594-EFEITO!$K$594*EFEITO!$Y$594</f>
        <v>0</v>
      </c>
      <c r="N594" s="55">
        <f ca="1">$K$594-EFEITO!$M$594*EFEITO!$Z$594</f>
        <v>0</v>
      </c>
      <c r="O594" s="55">
        <f>$L$594-EFEITO!$O$594*EFEITO!$AA$594</f>
        <v>0</v>
      </c>
      <c r="P594" s="39"/>
      <c r="Q594" s="39"/>
      <c r="R594" s="39"/>
      <c r="S594" s="39"/>
      <c r="T594" s="39"/>
      <c r="U594" s="39"/>
      <c r="V594" s="39"/>
      <c r="W594" s="39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1.25" customHeight="1" x14ac:dyDescent="0.2">
      <c r="A595" s="35" t="s">
        <v>21</v>
      </c>
      <c r="B595" s="35" t="s">
        <v>43</v>
      </c>
      <c r="C595" s="35" t="s">
        <v>23</v>
      </c>
      <c r="D595" s="35" t="s">
        <v>44</v>
      </c>
      <c r="E595" s="35" t="s">
        <v>45</v>
      </c>
      <c r="F595" s="35" t="s">
        <v>25</v>
      </c>
      <c r="G595" s="35" t="s">
        <v>25</v>
      </c>
      <c r="H595" s="35" t="s">
        <v>25</v>
      </c>
      <c r="I595" s="54">
        <v>44562</v>
      </c>
      <c r="J595" s="55">
        <f>EFEITO!$J$595*EFEITO!$Y$595</f>
        <v>0</v>
      </c>
      <c r="K595" s="55">
        <f ca="1">EFEITO!$L$595*EFEITO!$Z$595</f>
        <v>105089.39625965574</v>
      </c>
      <c r="L595" s="55">
        <f>EFEITO!$N$595*EFEITO!$AA$595</f>
        <v>54267.118571184968</v>
      </c>
      <c r="M595" s="55">
        <f>$J$595-EFEITO!$K$595*EFEITO!$Y$595</f>
        <v>0</v>
      </c>
      <c r="N595" s="55">
        <f ca="1">$K$595-EFEITO!$M$595*EFEITO!$Z$595</f>
        <v>0</v>
      </c>
      <c r="O595" s="55">
        <f>$L$595-EFEITO!$O$595*EFEITO!$AA$595</f>
        <v>0</v>
      </c>
      <c r="P595" s="39"/>
      <c r="Q595" s="39"/>
      <c r="R595" s="39"/>
      <c r="S595" s="39"/>
      <c r="T595" s="39"/>
      <c r="U595" s="39"/>
      <c r="V595" s="39"/>
      <c r="W595" s="39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1.25" customHeight="1" x14ac:dyDescent="0.2">
      <c r="A596" s="35" t="s">
        <v>21</v>
      </c>
      <c r="B596" s="35" t="s">
        <v>43</v>
      </c>
      <c r="C596" s="35" t="s">
        <v>23</v>
      </c>
      <c r="D596" s="35" t="s">
        <v>44</v>
      </c>
      <c r="E596" s="35" t="s">
        <v>45</v>
      </c>
      <c r="F596" s="35" t="s">
        <v>25</v>
      </c>
      <c r="G596" s="35" t="s">
        <v>25</v>
      </c>
      <c r="H596" s="35" t="s">
        <v>25</v>
      </c>
      <c r="I596" s="54">
        <v>44593</v>
      </c>
      <c r="J596" s="55">
        <f>EFEITO!$J$596*EFEITO!$Y$596</f>
        <v>0</v>
      </c>
      <c r="K596" s="55">
        <f ca="1">EFEITO!$L$596*EFEITO!$Z$596</f>
        <v>111681.24673497448</v>
      </c>
      <c r="L596" s="55">
        <f>EFEITO!$N$596*EFEITO!$AA$596</f>
        <v>57671.084566610283</v>
      </c>
      <c r="M596" s="55">
        <f>$J$596-EFEITO!$K$596*EFEITO!$Y$596</f>
        <v>0</v>
      </c>
      <c r="N596" s="55">
        <f ca="1">$K$596-EFEITO!$M$596*EFEITO!$Z$596</f>
        <v>0</v>
      </c>
      <c r="O596" s="55">
        <f>$L$596-EFEITO!$O$596*EFEITO!$AA$596</f>
        <v>0</v>
      </c>
      <c r="P596" s="39"/>
      <c r="Q596" s="39"/>
      <c r="R596" s="39"/>
      <c r="S596" s="39"/>
      <c r="T596" s="39"/>
      <c r="U596" s="39"/>
      <c r="V596" s="39"/>
      <c r="W596" s="39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1.25" customHeight="1" x14ac:dyDescent="0.2">
      <c r="A597" s="35" t="s">
        <v>21</v>
      </c>
      <c r="B597" s="35" t="s">
        <v>43</v>
      </c>
      <c r="C597" s="35" t="s">
        <v>23</v>
      </c>
      <c r="D597" s="35" t="s">
        <v>44</v>
      </c>
      <c r="E597" s="35" t="s">
        <v>45</v>
      </c>
      <c r="F597" s="35" t="s">
        <v>25</v>
      </c>
      <c r="G597" s="35" t="s">
        <v>25</v>
      </c>
      <c r="H597" s="35" t="s">
        <v>25</v>
      </c>
      <c r="I597" s="54">
        <v>44621</v>
      </c>
      <c r="J597" s="55">
        <f>EFEITO!$J$597*EFEITO!$Y$597</f>
        <v>0</v>
      </c>
      <c r="K597" s="55">
        <f ca="1">EFEITO!$L$597*EFEITO!$Z$597</f>
        <v>250508.83223489678</v>
      </c>
      <c r="L597" s="55">
        <f>EFEITO!$N$597*EFEITO!$AA$597</f>
        <v>129360.26836076868</v>
      </c>
      <c r="M597" s="55">
        <f>$J$597-EFEITO!$K$597*EFEITO!$Y$597</f>
        <v>0</v>
      </c>
      <c r="N597" s="55">
        <f ca="1">$K$597-EFEITO!$M$597*EFEITO!$Z$597</f>
        <v>0</v>
      </c>
      <c r="O597" s="55">
        <f>$L$597-EFEITO!$O$597*EFEITO!$AA$597</f>
        <v>0</v>
      </c>
      <c r="P597" s="39"/>
      <c r="Q597" s="39"/>
      <c r="R597" s="39"/>
      <c r="S597" s="39"/>
      <c r="T597" s="39"/>
      <c r="U597" s="39"/>
      <c r="V597" s="39"/>
      <c r="W597" s="39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1.25" customHeight="1" x14ac:dyDescent="0.2">
      <c r="A598" s="35" t="s">
        <v>21</v>
      </c>
      <c r="B598" s="35" t="s">
        <v>43</v>
      </c>
      <c r="C598" s="35" t="s">
        <v>23</v>
      </c>
      <c r="D598" s="35" t="s">
        <v>44</v>
      </c>
      <c r="E598" s="35" t="s">
        <v>45</v>
      </c>
      <c r="F598" s="35" t="s">
        <v>25</v>
      </c>
      <c r="G598" s="35" t="s">
        <v>25</v>
      </c>
      <c r="H598" s="35" t="s">
        <v>25</v>
      </c>
      <c r="I598" s="54">
        <v>44652</v>
      </c>
      <c r="J598" s="55">
        <f>EFEITO!$J$598*EFEITO!$Y$598</f>
        <v>0</v>
      </c>
      <c r="K598" s="55">
        <f ca="1">EFEITO!$L$598*EFEITO!$Z$598</f>
        <v>111572.03994768036</v>
      </c>
      <c r="L598" s="55">
        <f>EFEITO!$N$598*EFEITO!$AA$598</f>
        <v>57614.691268277638</v>
      </c>
      <c r="M598" s="55">
        <f>$J$598-EFEITO!$K$598*EFEITO!$Y$598</f>
        <v>0</v>
      </c>
      <c r="N598" s="55">
        <f ca="1">$K$598-EFEITO!$M$598*EFEITO!$Z$598</f>
        <v>0</v>
      </c>
      <c r="O598" s="55">
        <f>$L$598-EFEITO!$O$598*EFEITO!$AA$598</f>
        <v>0</v>
      </c>
      <c r="P598" s="39"/>
      <c r="Q598" s="39"/>
      <c r="R598" s="39"/>
      <c r="S598" s="39"/>
      <c r="T598" s="39"/>
      <c r="U598" s="39"/>
      <c r="V598" s="39"/>
      <c r="W598" s="39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1.25" customHeight="1" x14ac:dyDescent="0.2">
      <c r="A599" s="35" t="s">
        <v>27</v>
      </c>
      <c r="B599" s="35" t="s">
        <v>43</v>
      </c>
      <c r="C599" s="35" t="s">
        <v>23</v>
      </c>
      <c r="D599" s="35" t="s">
        <v>44</v>
      </c>
      <c r="E599" s="35" t="s">
        <v>45</v>
      </c>
      <c r="F599" s="35" t="s">
        <v>25</v>
      </c>
      <c r="G599" s="35" t="s">
        <v>25</v>
      </c>
      <c r="H599" s="35" t="s">
        <v>25</v>
      </c>
      <c r="I599" s="54">
        <v>44652</v>
      </c>
      <c r="J599" s="55">
        <f>EFEITO!$J$599*EFEITO!$Y$599</f>
        <v>0</v>
      </c>
      <c r="K599" s="55">
        <f ca="1">EFEITO!$L$599*EFEITO!$Z$599</f>
        <v>-139395.89010800325</v>
      </c>
      <c r="L599" s="55">
        <f>EFEITO!$N$599*EFEITO!$AA$599</f>
        <v>-71982.650639044252</v>
      </c>
      <c r="M599" s="55">
        <f>$J$599-EFEITO!$K$599*EFEITO!$Y$599</f>
        <v>0</v>
      </c>
      <c r="N599" s="55">
        <f ca="1">$K$599-EFEITO!$M$599*EFEITO!$Z$599</f>
        <v>0</v>
      </c>
      <c r="O599" s="55">
        <f>$L$599-EFEITO!$O$599*EFEITO!$AA$599</f>
        <v>0</v>
      </c>
      <c r="P599" s="39"/>
      <c r="Q599" s="39"/>
      <c r="R599" s="39"/>
      <c r="S599" s="39"/>
      <c r="T599" s="39"/>
      <c r="U599" s="39"/>
      <c r="V599" s="39"/>
      <c r="W599" s="39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1.25" customHeight="1" x14ac:dyDescent="0.2">
      <c r="A600" s="35" t="s">
        <v>21</v>
      </c>
      <c r="B600" s="35" t="s">
        <v>43</v>
      </c>
      <c r="C600" s="35" t="s">
        <v>23</v>
      </c>
      <c r="D600" s="35" t="s">
        <v>44</v>
      </c>
      <c r="E600" s="35" t="s">
        <v>45</v>
      </c>
      <c r="F600" s="35" t="s">
        <v>25</v>
      </c>
      <c r="G600" s="35" t="s">
        <v>25</v>
      </c>
      <c r="H600" s="35" t="s">
        <v>25</v>
      </c>
      <c r="I600" s="54">
        <v>44682</v>
      </c>
      <c r="J600" s="55">
        <f>EFEITO!$J$600*EFEITO!$Y$600</f>
        <v>0</v>
      </c>
      <c r="K600" s="55">
        <f ca="1">EFEITO!$L$600*EFEITO!$Z$600</f>
        <v>120105.19535192536</v>
      </c>
      <c r="L600" s="55">
        <f>EFEITO!$N$600*EFEITO!$AA$600</f>
        <v>62021.127812687453</v>
      </c>
      <c r="M600" s="55">
        <f>$J$600-EFEITO!$K$600*EFEITO!$Y$600</f>
        <v>0</v>
      </c>
      <c r="N600" s="55">
        <f ca="1">$K$600-EFEITO!$M$600*EFEITO!$Z$600</f>
        <v>0</v>
      </c>
      <c r="O600" s="55">
        <f>$L$600-EFEITO!$O$600*EFEITO!$AA$600</f>
        <v>0</v>
      </c>
      <c r="P600" s="39"/>
      <c r="Q600" s="39"/>
      <c r="R600" s="39"/>
      <c r="S600" s="39"/>
      <c r="T600" s="39"/>
      <c r="U600" s="39"/>
      <c r="V600" s="39"/>
      <c r="W600" s="39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1.25" customHeight="1" x14ac:dyDescent="0.2">
      <c r="A601" s="35" t="s">
        <v>21</v>
      </c>
      <c r="B601" s="35" t="s">
        <v>43</v>
      </c>
      <c r="C601" s="35" t="s">
        <v>23</v>
      </c>
      <c r="D601" s="35" t="s">
        <v>44</v>
      </c>
      <c r="E601" s="35" t="s">
        <v>45</v>
      </c>
      <c r="F601" s="35" t="s">
        <v>25</v>
      </c>
      <c r="G601" s="35" t="s">
        <v>25</v>
      </c>
      <c r="H601" s="35" t="s">
        <v>25</v>
      </c>
      <c r="I601" s="54">
        <v>44713</v>
      </c>
      <c r="J601" s="55">
        <f>EFEITO!$J$601*EFEITO!$Y$601</f>
        <v>0</v>
      </c>
      <c r="K601" s="55">
        <f ca="1">EFEITO!$L$601*EFEITO!$Z$601</f>
        <v>116446.63381689988</v>
      </c>
      <c r="L601" s="55">
        <f>EFEITO!$N$601*EFEITO!$AA$601</f>
        <v>60131.883039307548</v>
      </c>
      <c r="M601" s="55">
        <f>$J$601-EFEITO!$K$601*EFEITO!$Y$601</f>
        <v>0</v>
      </c>
      <c r="N601" s="55">
        <f ca="1">$K$601-EFEITO!$M$601*EFEITO!$Z$601</f>
        <v>0</v>
      </c>
      <c r="O601" s="55">
        <f>$L$601-EFEITO!$O$601*EFEITO!$AA$601</f>
        <v>0</v>
      </c>
      <c r="P601" s="39"/>
      <c r="Q601" s="39"/>
      <c r="R601" s="39"/>
      <c r="S601" s="39"/>
      <c r="T601" s="39"/>
      <c r="U601" s="39"/>
      <c r="V601" s="39"/>
      <c r="W601" s="39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F7DA-0F62-41A5-8BE5-AEF65348D3F0}">
  <sheetPr codeName="Planilha22"/>
  <dimension ref="A1:BD103"/>
  <sheetViews>
    <sheetView showGridLines="0" topLeftCell="D40" workbookViewId="0">
      <selection activeCell="L53" sqref="L53:BD103"/>
    </sheetView>
  </sheetViews>
  <sheetFormatPr defaultColWidth="9.140625"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8.71093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8.71093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03" t="s">
        <v>61</v>
      </c>
      <c r="B1" s="103" t="s">
        <v>62</v>
      </c>
      <c r="C1" s="103" t="s">
        <v>63</v>
      </c>
      <c r="D1" s="103" t="s">
        <v>64</v>
      </c>
      <c r="E1" s="103" t="s">
        <v>65</v>
      </c>
      <c r="F1" s="103" t="s">
        <v>15</v>
      </c>
      <c r="G1" s="103" t="s">
        <v>67</v>
      </c>
      <c r="H1" s="103" t="s">
        <v>68</v>
      </c>
      <c r="I1" s="103" t="s">
        <v>460</v>
      </c>
      <c r="J1" s="100"/>
      <c r="L1" s="104" t="s">
        <v>662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I1" s="104" t="s">
        <v>663</v>
      </c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</row>
    <row r="2" spans="1:56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0"/>
      <c r="L2" s="104" t="s">
        <v>360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I2" s="104" t="s">
        <v>360</v>
      </c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</row>
    <row r="3" spans="1:56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0"/>
      <c r="L3" s="104" t="s">
        <v>361</v>
      </c>
      <c r="M3" s="104"/>
      <c r="N3" s="104"/>
      <c r="O3" s="104"/>
      <c r="P3" s="104"/>
      <c r="Q3" s="104"/>
      <c r="R3" s="104"/>
      <c r="S3" s="104"/>
      <c r="T3" s="104" t="s">
        <v>370</v>
      </c>
      <c r="U3" s="104"/>
      <c r="V3" s="104"/>
      <c r="W3" s="104"/>
      <c r="X3" s="104"/>
      <c r="Y3" s="104"/>
      <c r="Z3" s="104"/>
      <c r="AA3" s="10" t="s">
        <v>378</v>
      </c>
      <c r="AB3" s="104" t="s">
        <v>380</v>
      </c>
      <c r="AC3" s="104"/>
      <c r="AD3" s="104" t="s">
        <v>383</v>
      </c>
      <c r="AE3" s="104"/>
      <c r="AF3" s="104"/>
      <c r="AG3" s="104"/>
      <c r="AI3" s="104" t="s">
        <v>361</v>
      </c>
      <c r="AJ3" s="104"/>
      <c r="AK3" s="104"/>
      <c r="AL3" s="104"/>
      <c r="AM3" s="104"/>
      <c r="AN3" s="104"/>
      <c r="AO3" s="104"/>
      <c r="AP3" s="104"/>
      <c r="AQ3" s="104" t="s">
        <v>370</v>
      </c>
      <c r="AR3" s="104"/>
      <c r="AS3" s="104"/>
      <c r="AT3" s="104"/>
      <c r="AU3" s="104"/>
      <c r="AV3" s="104"/>
      <c r="AW3" s="104"/>
      <c r="AX3" s="10" t="s">
        <v>378</v>
      </c>
      <c r="AY3" s="104" t="s">
        <v>380</v>
      </c>
      <c r="AZ3" s="104"/>
      <c r="BA3" s="104" t="s">
        <v>383</v>
      </c>
      <c r="BB3" s="104"/>
      <c r="BC3" s="104"/>
      <c r="BD3" s="104"/>
    </row>
    <row r="4" spans="1:56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100"/>
      <c r="L4" s="10" t="s">
        <v>446</v>
      </c>
      <c r="M4" s="10" t="s">
        <v>362</v>
      </c>
      <c r="N4" s="10" t="s">
        <v>363</v>
      </c>
      <c r="O4" s="10" t="s">
        <v>364</v>
      </c>
      <c r="P4" s="10" t="s">
        <v>365</v>
      </c>
      <c r="Q4" s="10" t="s">
        <v>366</v>
      </c>
      <c r="R4" s="10" t="s">
        <v>367</v>
      </c>
      <c r="S4" s="10" t="s">
        <v>368</v>
      </c>
      <c r="T4" s="10" t="s">
        <v>371</v>
      </c>
      <c r="U4" s="10" t="s">
        <v>372</v>
      </c>
      <c r="V4" s="10" t="s">
        <v>373</v>
      </c>
      <c r="W4" s="10" t="s">
        <v>374</v>
      </c>
      <c r="X4" s="10" t="s">
        <v>375</v>
      </c>
      <c r="Y4" s="10" t="s">
        <v>376</v>
      </c>
      <c r="Z4" s="10" t="s">
        <v>377</v>
      </c>
      <c r="AA4" s="10" t="s">
        <v>379</v>
      </c>
      <c r="AB4" s="10" t="s">
        <v>381</v>
      </c>
      <c r="AC4" s="10" t="s">
        <v>382</v>
      </c>
      <c r="AD4" s="10" t="s">
        <v>384</v>
      </c>
      <c r="AE4" s="10" t="s">
        <v>385</v>
      </c>
      <c r="AF4" s="10" t="s">
        <v>386</v>
      </c>
      <c r="AG4" s="10" t="s">
        <v>387</v>
      </c>
      <c r="AI4" s="10" t="s">
        <v>446</v>
      </c>
      <c r="AJ4" s="10" t="s">
        <v>362</v>
      </c>
      <c r="AK4" s="10" t="s">
        <v>363</v>
      </c>
      <c r="AL4" s="10" t="s">
        <v>364</v>
      </c>
      <c r="AM4" s="10" t="s">
        <v>365</v>
      </c>
      <c r="AN4" s="10" t="s">
        <v>366</v>
      </c>
      <c r="AO4" s="10" t="s">
        <v>367</v>
      </c>
      <c r="AP4" s="10" t="s">
        <v>368</v>
      </c>
      <c r="AQ4" s="10" t="s">
        <v>371</v>
      </c>
      <c r="AR4" s="10" t="s">
        <v>372</v>
      </c>
      <c r="AS4" s="10" t="s">
        <v>373</v>
      </c>
      <c r="AT4" s="10" t="s">
        <v>374</v>
      </c>
      <c r="AU4" s="10" t="s">
        <v>375</v>
      </c>
      <c r="AV4" s="10" t="s">
        <v>376</v>
      </c>
      <c r="AW4" s="10" t="s">
        <v>377</v>
      </c>
      <c r="AX4" s="10" t="s">
        <v>379</v>
      </c>
      <c r="AY4" s="10" t="s">
        <v>381</v>
      </c>
      <c r="AZ4" s="10" t="s">
        <v>382</v>
      </c>
      <c r="BA4" s="10" t="s">
        <v>384</v>
      </c>
      <c r="BB4" s="10" t="s">
        <v>385</v>
      </c>
      <c r="BC4" s="10" t="s">
        <v>386</v>
      </c>
      <c r="BD4" s="10" t="s">
        <v>387</v>
      </c>
    </row>
    <row r="5" spans="1:56" ht="11.25" customHeight="1" x14ac:dyDescent="0.25">
      <c r="A5" s="102" t="s">
        <v>35</v>
      </c>
      <c r="B5" s="102" t="s">
        <v>52</v>
      </c>
      <c r="C5" s="102" t="s">
        <v>25</v>
      </c>
      <c r="D5" s="102" t="s">
        <v>25</v>
      </c>
      <c r="E5" s="102" t="s">
        <v>25</v>
      </c>
      <c r="F5" s="102" t="s">
        <v>25</v>
      </c>
      <c r="G5" s="17" t="s">
        <v>75</v>
      </c>
      <c r="H5" s="17" t="s">
        <v>74</v>
      </c>
      <c r="I5" s="17">
        <f>'MERCADO TUSD'!$U$2</f>
        <v>450</v>
      </c>
      <c r="J5" s="15"/>
      <c r="L5" s="12">
        <f>('TUSD BE'!$L$5+'TUSD BF'!$L$5+'TUSD CVA'!$L$5)*1</f>
        <v>0</v>
      </c>
      <c r="M5" s="12">
        <f>('TUSD BE'!$M$5+'TUSD BF'!$M$5+'TUSD CVA'!$M$5)*1</f>
        <v>0</v>
      </c>
      <c r="N5" s="12">
        <f ca="1">('TUSD BE'!$N$5+'TUSD BF'!$N$5+'TUSD CVA'!$N$5)*1</f>
        <v>0</v>
      </c>
      <c r="O5" s="12">
        <f>('TUSD BE'!$O$5+'TUSD BF'!$O$5+'TUSD CVA'!$O$5)*1</f>
        <v>0</v>
      </c>
      <c r="P5" s="12">
        <f>('TUSD BE'!$P$5+'TUSD BF'!$P$5+'TUSD CVA'!$P$5)*1</f>
        <v>0</v>
      </c>
      <c r="Q5" s="12">
        <f>('TUSD BE'!$Q$5+'TUSD BF'!$Q$5+'TUSD CVA'!$Q$5)*1</f>
        <v>0</v>
      </c>
      <c r="R5" s="12">
        <f>('TUSD BE'!$R$5+'TUSD BF'!$R$5+'TUSD CVA'!$R$5)*1</f>
        <v>0</v>
      </c>
      <c r="S5" s="12">
        <f>('TUSD BE'!$S$5+'TUSD BF'!$S$5+'TUSD CVA'!$S$5)*1</f>
        <v>0</v>
      </c>
      <c r="T5" s="12">
        <f>('TUSD BE'!$U$5+'TUSD BF'!$U$5+'TUSD CVA'!$U$5)*1</f>
        <v>0</v>
      </c>
      <c r="U5" s="12">
        <f>('TUSD BE'!$V$5+'TUSD BF'!$V$5+'TUSD CVA'!$V$5)*1</f>
        <v>0</v>
      </c>
      <c r="V5" s="12">
        <f>('TUSD BE'!$W$5+'TUSD BF'!$W$5+'TUSD CVA'!$W$5)*1</f>
        <v>0</v>
      </c>
      <c r="W5" s="12">
        <f>('TUSD BE'!$X$5+'TUSD BF'!$X$5+'TUSD CVA'!$X$5)*1</f>
        <v>0</v>
      </c>
      <c r="X5" s="12">
        <f>('TUSD BE'!$Y$5+'TUSD BF'!$Y$5+'TUSD CVA'!$Y$5)*1</f>
        <v>31.605661498194113</v>
      </c>
      <c r="Y5" s="12">
        <f>('TUSD BE'!$Z$5+'TUSD BF'!$Z$5+'TUSD CVA'!$Z$5)*1</f>
        <v>0</v>
      </c>
      <c r="Z5" s="12">
        <f>('TUSD BE'!$AA$5+'TUSD BF'!$AA$5+'TUSD CVA'!$AA$5)*1</f>
        <v>0</v>
      </c>
      <c r="AA5" s="12">
        <f>('TUSD BE'!$AC$5+'TUSD BF'!$AC$5+'TUSD CVA'!$AC$5)*1</f>
        <v>32.80942884010426</v>
      </c>
      <c r="AB5" s="12">
        <f ca="1">('TUSD BE'!$AE$5+'TUSD BF'!$AE$5+'TUSD CVA'!$AE$5)*1</f>
        <v>0</v>
      </c>
      <c r="AC5" s="12">
        <f ca="1">('TUSD BE'!$AF$5+'TUSD BF'!$AF$5+'TUSD CVA'!$AF$5)*1</f>
        <v>0</v>
      </c>
      <c r="AD5" s="12">
        <f>('TUSD BE'!$AH$5+'TUSD BF'!$AH$5+'TUSD CVA'!$AH$5)*1</f>
        <v>0</v>
      </c>
      <c r="AE5" s="12">
        <f>('TUSD BE'!$AI$5+'TUSD BF'!$AI$5+'TUSD CVA'!$AI$5)*1</f>
        <v>0</v>
      </c>
      <c r="AF5" s="12">
        <f ca="1">('TUSD BE'!$AJ$5+'TUSD BF'!$AJ$5+'TUSD CVA'!$AJ$5)*1</f>
        <v>0</v>
      </c>
      <c r="AG5" s="12">
        <f ca="1">('TUSD BE'!$AK$5+'TUSD BF'!$AK$5+'TUSD CVA'!$AK$5)*1</f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26.807839823562301</v>
      </c>
      <c r="AV5" s="12">
        <v>0</v>
      </c>
      <c r="AW5" s="12">
        <v>0</v>
      </c>
      <c r="AX5" s="12">
        <v>30.756897909795001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</row>
    <row r="6" spans="1:56" ht="11.25" customHeight="1" x14ac:dyDescent="0.25">
      <c r="A6" s="102"/>
      <c r="B6" s="102"/>
      <c r="C6" s="102"/>
      <c r="D6" s="102"/>
      <c r="E6" s="102"/>
      <c r="F6" s="102"/>
      <c r="G6" s="17" t="s">
        <v>76</v>
      </c>
      <c r="H6" s="17" t="s">
        <v>74</v>
      </c>
      <c r="I6" s="17">
        <f>'MERCADO TUSD'!$U$3</f>
        <v>953</v>
      </c>
      <c r="J6" s="15"/>
      <c r="L6" s="12">
        <f>('TUSD BE'!$L$6+'TUSD BF'!$L$6+'TUSD CVA'!$L$6)*1</f>
        <v>0</v>
      </c>
      <c r="M6" s="12">
        <f>('TUSD BE'!$M$6+'TUSD BF'!$M$6+'TUSD CVA'!$M$6)*1</f>
        <v>0</v>
      </c>
      <c r="N6" s="12">
        <f ca="1">('TUSD BE'!$N$6+'TUSD BF'!$N$6+'TUSD CVA'!$N$6)*1</f>
        <v>0</v>
      </c>
      <c r="O6" s="12">
        <f>('TUSD BE'!$O$6+'TUSD BF'!$O$6+'TUSD CVA'!$O$6)*1</f>
        <v>0</v>
      </c>
      <c r="P6" s="12">
        <f>('TUSD BE'!$P$6+'TUSD BF'!$P$6+'TUSD CVA'!$P$6)*1</f>
        <v>0</v>
      </c>
      <c r="Q6" s="12">
        <f>('TUSD BE'!$Q$6+'TUSD BF'!$Q$6+'TUSD CVA'!$Q$6)*1</f>
        <v>0</v>
      </c>
      <c r="R6" s="12">
        <f>('TUSD BE'!$R$6+'TUSD BF'!$R$6+'TUSD CVA'!$R$6)*1</f>
        <v>0</v>
      </c>
      <c r="S6" s="12">
        <f>('TUSD BE'!$S$6+'TUSD BF'!$S$6+'TUSD CVA'!$S$6)*1</f>
        <v>0</v>
      </c>
      <c r="T6" s="12">
        <f>('TUSD BE'!$U$6+'TUSD BF'!$U$6+'TUSD CVA'!$U$6)*1</f>
        <v>0</v>
      </c>
      <c r="U6" s="12">
        <f>('TUSD BE'!$V$6+'TUSD BF'!$V$6+'TUSD CVA'!$V$6)*1</f>
        <v>0</v>
      </c>
      <c r="V6" s="12">
        <f>('TUSD BE'!$W$6+'TUSD BF'!$W$6+'TUSD CVA'!$W$6)*1</f>
        <v>0</v>
      </c>
      <c r="W6" s="12">
        <f>('TUSD BE'!$X$6+'TUSD BF'!$X$6+'TUSD CVA'!$X$6)*1</f>
        <v>0</v>
      </c>
      <c r="X6" s="12">
        <f>('TUSD BE'!$Y$6+'TUSD BF'!$Y$6+'TUSD CVA'!$Y$6)*1</f>
        <v>32.054423426160362</v>
      </c>
      <c r="Y6" s="12">
        <f>('TUSD BE'!$Z$6+'TUSD BF'!$Z$6+'TUSD CVA'!$Z$6)*1</f>
        <v>0</v>
      </c>
      <c r="Z6" s="12">
        <f>('TUSD BE'!$AA$6+'TUSD BF'!$AA$6+'TUSD CVA'!$AA$6)*1</f>
        <v>0</v>
      </c>
      <c r="AA6" s="12">
        <f>('TUSD BE'!$AC$6+'TUSD BF'!$AC$6+'TUSD CVA'!$AC$6)*1</f>
        <v>19.487091853598727</v>
      </c>
      <c r="AB6" s="12">
        <f ca="1">('TUSD BE'!$AE$6+'TUSD BF'!$AE$6+'TUSD CVA'!$AE$6)*1</f>
        <v>0</v>
      </c>
      <c r="AC6" s="12">
        <f ca="1">('TUSD BE'!$AF$6+'TUSD BF'!$AF$6+'TUSD CVA'!$AF$6)*1</f>
        <v>0</v>
      </c>
      <c r="AD6" s="12">
        <f>('TUSD BE'!$AH$6+'TUSD BF'!$AH$6+'TUSD CVA'!$AH$6)*1</f>
        <v>0</v>
      </c>
      <c r="AE6" s="12">
        <f>('TUSD BE'!$AI$6+'TUSD BF'!$AI$6+'TUSD CVA'!$AI$6)*1</f>
        <v>0</v>
      </c>
      <c r="AF6" s="12">
        <f ca="1">('TUSD BE'!$AJ$6+'TUSD BF'!$AJ$6+'TUSD CVA'!$AJ$6)*1</f>
        <v>0</v>
      </c>
      <c r="AG6" s="12">
        <f ca="1">('TUSD BE'!$AK$6+'TUSD BF'!$AK$6+'TUSD CVA'!$AK$6)*1</f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27.1471422058587</v>
      </c>
      <c r="AV6" s="12">
        <v>0</v>
      </c>
      <c r="AW6" s="12">
        <v>0</v>
      </c>
      <c r="AX6" s="12">
        <v>18.267882305243699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</row>
    <row r="7" spans="1:56" ht="11.25" customHeight="1" x14ac:dyDescent="0.25">
      <c r="A7" s="102"/>
      <c r="B7" s="102"/>
      <c r="C7" s="102"/>
      <c r="D7" s="102"/>
      <c r="E7" s="102"/>
      <c r="F7" s="102"/>
      <c r="G7" s="17" t="s">
        <v>77</v>
      </c>
      <c r="H7" s="17" t="s">
        <v>71</v>
      </c>
      <c r="I7" s="17">
        <f>'MERCADO TUSD'!$U$4</f>
        <v>260.58600000000001</v>
      </c>
      <c r="J7" s="15"/>
      <c r="L7" s="12">
        <f>('TUSD BE'!$L$7+'TUSD BF'!$L$7+'TUSD CVA'!$L$7)*1</f>
        <v>0</v>
      </c>
      <c r="M7" s="12">
        <f>('TUSD BE'!$M$7+'TUSD BF'!$M$7+'TUSD CVA'!$M$7)*1</f>
        <v>2.097975619535807</v>
      </c>
      <c r="N7" s="12">
        <f ca="1">('TUSD BE'!$N$7+'TUSD BF'!$N$7+'TUSD CVA'!$N$7)*1</f>
        <v>0</v>
      </c>
      <c r="O7" s="12">
        <f>('TUSD BE'!$O$7+'TUSD BF'!$O$7+'TUSD CVA'!$O$7)*1</f>
        <v>0</v>
      </c>
      <c r="P7" s="12">
        <f>('TUSD BE'!$P$7+'TUSD BF'!$P$7+'TUSD CVA'!$P$7)*1</f>
        <v>0</v>
      </c>
      <c r="Q7" s="12">
        <f>('TUSD BE'!$Q$7+'TUSD BF'!$Q$7+'TUSD CVA'!$Q$7)*1</f>
        <v>73.532091299300717</v>
      </c>
      <c r="R7" s="12">
        <f>('TUSD BE'!$R$7+'TUSD BF'!$R$7+'TUSD CVA'!$R$7)*1</f>
        <v>13.849389397227974</v>
      </c>
      <c r="S7" s="12">
        <f>('TUSD BE'!$S$7+'TUSD BF'!$S$7+'TUSD CVA'!$S$7)*1</f>
        <v>0</v>
      </c>
      <c r="T7" s="12">
        <f>('TUSD BE'!$U$7+'TUSD BF'!$U$7+'TUSD CVA'!$U$7)*1</f>
        <v>0</v>
      </c>
      <c r="U7" s="12">
        <f>('TUSD BE'!$V$7+'TUSD BF'!$V$7+'TUSD CVA'!$V$7)*1</f>
        <v>0</v>
      </c>
      <c r="V7" s="12">
        <f>('TUSD BE'!$W$7+'TUSD BF'!$W$7+'TUSD CVA'!$W$7)*1</f>
        <v>0</v>
      </c>
      <c r="W7" s="12">
        <f>('TUSD BE'!$X$7+'TUSD BF'!$X$7+'TUSD CVA'!$X$7)*1</f>
        <v>0</v>
      </c>
      <c r="X7" s="12">
        <f>('TUSD BE'!$Y$7+'TUSD BF'!$Y$7+'TUSD CVA'!$Y$7)*1</f>
        <v>0</v>
      </c>
      <c r="Y7" s="12">
        <f>('TUSD BE'!$Z$7+'TUSD BF'!$Z$7+'TUSD CVA'!$Z$7)*1</f>
        <v>0</v>
      </c>
      <c r="Z7" s="12">
        <f>('TUSD BE'!$AA$7+'TUSD BF'!$AA$7+'TUSD CVA'!$AA$7)*1</f>
        <v>0</v>
      </c>
      <c r="AA7" s="12">
        <f>('TUSD BE'!$AC$7+'TUSD BF'!$AC$7+'TUSD CVA'!$AC$7)*1</f>
        <v>0</v>
      </c>
      <c r="AB7" s="12">
        <f ca="1">('TUSD BE'!$AE$7+'TUSD BF'!$AE$7+'TUSD CVA'!$AE$7)*1</f>
        <v>0</v>
      </c>
      <c r="AC7" s="12">
        <f ca="1">('TUSD BE'!$AF$7+'TUSD BF'!$AF$7+'TUSD CVA'!$AF$7)*1</f>
        <v>0</v>
      </c>
      <c r="AD7" s="12">
        <f>('TUSD BE'!$AH$7+'TUSD BF'!$AH$7+'TUSD CVA'!$AH$7)*1</f>
        <v>13.236923136683352</v>
      </c>
      <c r="AE7" s="12">
        <f>('TUSD BE'!$AI$7+'TUSD BF'!$AI$7+'TUSD CVA'!$AI$7)*1</f>
        <v>0</v>
      </c>
      <c r="AF7" s="12">
        <f ca="1">('TUSD BE'!$AJ$7+'TUSD BF'!$AJ$7+'TUSD CVA'!$AJ$7)*1</f>
        <v>0</v>
      </c>
      <c r="AG7" s="12">
        <f ca="1">('TUSD BE'!$AK$7+'TUSD BF'!$AK$7+'TUSD CVA'!$AK$7)*1</f>
        <v>0</v>
      </c>
      <c r="AI7" s="12">
        <v>0</v>
      </c>
      <c r="AJ7" s="12">
        <v>2.3277788503379302</v>
      </c>
      <c r="AK7" s="12">
        <v>0</v>
      </c>
      <c r="AL7" s="12">
        <v>0</v>
      </c>
      <c r="AM7" s="12">
        <v>0</v>
      </c>
      <c r="AN7" s="12">
        <v>52.247542786505498</v>
      </c>
      <c r="AO7" s="12">
        <v>9.3208359179518592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15.422841270275001</v>
      </c>
      <c r="BB7" s="12">
        <v>0</v>
      </c>
      <c r="BC7" s="12">
        <v>0</v>
      </c>
      <c r="BD7" s="12">
        <v>0</v>
      </c>
    </row>
    <row r="8" spans="1:56" ht="11.25" customHeight="1" x14ac:dyDescent="0.25">
      <c r="A8" s="102"/>
      <c r="B8" s="102"/>
      <c r="C8" s="102"/>
      <c r="D8" s="102"/>
      <c r="E8" s="18" t="s">
        <v>78</v>
      </c>
      <c r="F8" s="18" t="s">
        <v>25</v>
      </c>
      <c r="G8" s="17" t="s">
        <v>77</v>
      </c>
      <c r="H8" s="17" t="s">
        <v>71</v>
      </c>
      <c r="I8" s="17">
        <f>'MERCADO TUSD'!$U$5</f>
        <v>0</v>
      </c>
      <c r="J8" s="15"/>
      <c r="L8" s="12">
        <f>('TUSD BE'!$L$8+'TUSD BF'!$L$8+'TUSD CVA'!$L$8)*1</f>
        <v>0</v>
      </c>
      <c r="M8" s="12">
        <f>('TUSD BE'!$M$8+'TUSD BF'!$M$8+'TUSD CVA'!$M$8)*1</f>
        <v>2.097975619535807</v>
      </c>
      <c r="N8" s="12">
        <f ca="1">('TUSD BE'!$N$8+'TUSD BF'!$N$8+'TUSD CVA'!$N$8)*1</f>
        <v>0</v>
      </c>
      <c r="O8" s="12">
        <f>('TUSD BE'!$O$8+'TUSD BF'!$O$8+'TUSD CVA'!$O$8)*1</f>
        <v>0</v>
      </c>
      <c r="P8" s="12">
        <f>('TUSD BE'!$P$8+'TUSD BF'!$P$8+'TUSD CVA'!$P$8)*1</f>
        <v>0</v>
      </c>
      <c r="Q8" s="12">
        <f>('TUSD BE'!$Q$8+'TUSD BF'!$Q$8+'TUSD CVA'!$Q$8)*1</f>
        <v>0</v>
      </c>
      <c r="R8" s="12">
        <f>('TUSD BE'!$R$8+'TUSD BF'!$R$8+'TUSD CVA'!$R$8)*1</f>
        <v>0</v>
      </c>
      <c r="S8" s="12">
        <f>('TUSD BE'!$S$8+'TUSD BF'!$S$8+'TUSD CVA'!$S$8)*1</f>
        <v>0</v>
      </c>
      <c r="T8" s="12">
        <f>('TUSD BE'!$U$8+'TUSD BF'!$U$8+'TUSD CVA'!$U$8)*1</f>
        <v>0</v>
      </c>
      <c r="U8" s="12">
        <f>('TUSD BE'!$V$8+'TUSD BF'!$V$8+'TUSD CVA'!$V$8)*1</f>
        <v>0</v>
      </c>
      <c r="V8" s="12">
        <f>('TUSD BE'!$W$8+'TUSD BF'!$W$8+'TUSD CVA'!$W$8)*1</f>
        <v>0</v>
      </c>
      <c r="W8" s="12">
        <f>('TUSD BE'!$X$8+'TUSD BF'!$X$8+'TUSD CVA'!$X$8)*1</f>
        <v>0</v>
      </c>
      <c r="X8" s="12">
        <f>('TUSD BE'!$Y$8+'TUSD BF'!$Y$8+'TUSD CVA'!$Y$8)*1</f>
        <v>0</v>
      </c>
      <c r="Y8" s="12">
        <f>('TUSD BE'!$Z$8+'TUSD BF'!$Z$8+'TUSD CVA'!$Z$8)*1</f>
        <v>0</v>
      </c>
      <c r="Z8" s="12">
        <f>('TUSD BE'!$AA$8+'TUSD BF'!$AA$8+'TUSD CVA'!$AA$8)*1</f>
        <v>0</v>
      </c>
      <c r="AA8" s="12">
        <f>('TUSD BE'!$AC$8+'TUSD BF'!$AC$8+'TUSD CVA'!$AC$8)*1</f>
        <v>0</v>
      </c>
      <c r="AB8" s="12">
        <f ca="1">('TUSD BE'!$AE$8+'TUSD BF'!$AE$8+'TUSD CVA'!$AE$8)*1</f>
        <v>0</v>
      </c>
      <c r="AC8" s="12">
        <f ca="1">('TUSD BE'!$AF$8+'TUSD BF'!$AF$8+'TUSD CVA'!$AF$8)*1</f>
        <v>0</v>
      </c>
      <c r="AD8" s="12">
        <f>('TUSD BE'!$AH$8+'TUSD BF'!$AH$8+'TUSD CVA'!$AH$8)*1</f>
        <v>13.236923136683352</v>
      </c>
      <c r="AE8" s="12">
        <f>('TUSD BE'!$AI$8+'TUSD BF'!$AI$8+'TUSD CVA'!$AI$8)*1</f>
        <v>0</v>
      </c>
      <c r="AF8" s="12">
        <f ca="1">('TUSD BE'!$AJ$8+'TUSD BF'!$AJ$8+'TUSD CVA'!$AJ$8)*1</f>
        <v>0</v>
      </c>
      <c r="AG8" s="12">
        <f ca="1">('TUSD BE'!$AK$8+'TUSD BF'!$AK$8+'TUSD CVA'!$AK$8)*1</f>
        <v>0</v>
      </c>
      <c r="AI8" s="12">
        <v>0</v>
      </c>
      <c r="AJ8" s="12">
        <v>2.3277788503379302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15.422841270275001</v>
      </c>
      <c r="BB8" s="12">
        <v>0</v>
      </c>
      <c r="BC8" s="12">
        <v>0</v>
      </c>
      <c r="BD8" s="12">
        <v>0</v>
      </c>
    </row>
    <row r="9" spans="1:56" ht="11.25" customHeight="1" x14ac:dyDescent="0.25">
      <c r="A9" s="102"/>
      <c r="B9" s="18" t="s">
        <v>79</v>
      </c>
      <c r="C9" s="18" t="s">
        <v>25</v>
      </c>
      <c r="D9" s="18" t="s">
        <v>25</v>
      </c>
      <c r="E9" s="18" t="s">
        <v>25</v>
      </c>
      <c r="F9" s="18" t="s">
        <v>25</v>
      </c>
      <c r="G9" s="17" t="s">
        <v>9</v>
      </c>
      <c r="H9" s="17" t="s">
        <v>74</v>
      </c>
      <c r="I9" s="17">
        <f>'MERCADO TUSD'!$U$6</f>
        <v>0</v>
      </c>
      <c r="J9" s="15"/>
      <c r="L9" s="12">
        <f>('TUSD BE'!$L$9+'TUSD BF'!$L$9+'TUSD CVA'!$L$9)*1</f>
        <v>0</v>
      </c>
      <c r="M9" s="12">
        <f>('TUSD BE'!$M$9+'TUSD BF'!$M$9+'TUSD CVA'!$M$9)*1</f>
        <v>2.0585824002342129E-2</v>
      </c>
      <c r="N9" s="12">
        <f ca="1">('TUSD BE'!$N$9+'TUSD BF'!$N$9+'TUSD CVA'!$N$9)*1</f>
        <v>0</v>
      </c>
      <c r="O9" s="12">
        <f>('TUSD BE'!$O$9+'TUSD BF'!$O$9+'TUSD CVA'!$O$9)*1</f>
        <v>0</v>
      </c>
      <c r="P9" s="12">
        <f>('TUSD BE'!$P$9+'TUSD BF'!$P$9+'TUSD CVA'!$P$9)*1</f>
        <v>0</v>
      </c>
      <c r="Q9" s="12">
        <f>('TUSD BE'!$Q$9+'TUSD BF'!$Q$9+'TUSD CVA'!$Q$9)*1</f>
        <v>0</v>
      </c>
      <c r="R9" s="12">
        <f>('TUSD BE'!$R$9+'TUSD BF'!$R$9+'TUSD CVA'!$R$9)*1</f>
        <v>0</v>
      </c>
      <c r="S9" s="12">
        <f>('TUSD BE'!$S$9+'TUSD BF'!$S$9+'TUSD CVA'!$S$9)*1</f>
        <v>0</v>
      </c>
      <c r="T9" s="12">
        <f>('TUSD BE'!$U$9+'TUSD BF'!$U$9+'TUSD CVA'!$U$9)*1</f>
        <v>0</v>
      </c>
      <c r="U9" s="12">
        <f>('TUSD BE'!$V$9+'TUSD BF'!$V$9+'TUSD CVA'!$V$9)*1</f>
        <v>0</v>
      </c>
      <c r="V9" s="12">
        <f>('TUSD BE'!$W$9+'TUSD BF'!$W$9+'TUSD CVA'!$W$9)*1</f>
        <v>0</v>
      </c>
      <c r="W9" s="12">
        <f>('TUSD BE'!$X$9+'TUSD BF'!$X$9+'TUSD CVA'!$X$9)*1</f>
        <v>0</v>
      </c>
      <c r="X9" s="12">
        <f>('TUSD BE'!$Y$9+'TUSD BF'!$Y$9+'TUSD CVA'!$Y$9)*1</f>
        <v>0</v>
      </c>
      <c r="Y9" s="12">
        <f>('TUSD BE'!$Z$9+'TUSD BF'!$Z$9+'TUSD CVA'!$Z$9)*1</f>
        <v>0</v>
      </c>
      <c r="Z9" s="12">
        <f>('TUSD BE'!$AA$9+'TUSD BF'!$AA$9+'TUSD CVA'!$AA$9)*1</f>
        <v>0</v>
      </c>
      <c r="AA9" s="12">
        <f>('TUSD BE'!$AC$9+'TUSD BF'!$AC$9+'TUSD CVA'!$AC$9)*1</f>
        <v>7.6403988003418846</v>
      </c>
      <c r="AB9" s="12">
        <f ca="1">('TUSD BE'!$AE$9+'TUSD BF'!$AE$9+'TUSD CVA'!$AE$9)*1</f>
        <v>0</v>
      </c>
      <c r="AC9" s="12">
        <f ca="1">('TUSD BE'!$AF$9+'TUSD BF'!$AF$9+'TUSD CVA'!$AF$9)*1</f>
        <v>0</v>
      </c>
      <c r="AD9" s="12">
        <f>('TUSD BE'!$AH$9+'TUSD BF'!$AH$9+'TUSD CVA'!$AH$9)*1</f>
        <v>0</v>
      </c>
      <c r="AE9" s="12">
        <f>('TUSD BE'!$AI$9+'TUSD BF'!$AI$9+'TUSD CVA'!$AI$9)*1</f>
        <v>0</v>
      </c>
      <c r="AF9" s="12">
        <f ca="1">('TUSD BE'!$AJ$9+'TUSD BF'!$AJ$9+'TUSD CVA'!$AJ$9)*1</f>
        <v>0</v>
      </c>
      <c r="AG9" s="12">
        <f ca="1">('TUSD BE'!$AK$9+'TUSD BF'!$AK$9+'TUSD CVA'!$AK$9)*1</f>
        <v>0</v>
      </c>
      <c r="AI9" s="12">
        <v>0</v>
      </c>
      <c r="AJ9" s="12">
        <v>2.1930894025256002E-2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7.0907045954585204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</row>
    <row r="10" spans="1:56" ht="11.25" customHeight="1" x14ac:dyDescent="0.25">
      <c r="A10" s="102"/>
      <c r="B10" s="102" t="s">
        <v>36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17" t="s">
        <v>9</v>
      </c>
      <c r="H10" s="17" t="s">
        <v>74</v>
      </c>
      <c r="I10" s="17">
        <f>'MERCADO TUSD'!$U$7</f>
        <v>109365</v>
      </c>
      <c r="J10" s="15"/>
      <c r="L10" s="12">
        <f>('TUSD BE'!$L$10+'TUSD BF'!$L$10+'TUSD CVA'!$L$10)*1</f>
        <v>0</v>
      </c>
      <c r="M10" s="12">
        <f>('TUSD BE'!$M$10+'TUSD BF'!$M$10+'TUSD CVA'!$M$10)*1</f>
        <v>0</v>
      </c>
      <c r="N10" s="12">
        <f ca="1">('TUSD BE'!$N$10+'TUSD BF'!$N$10+'TUSD CVA'!$N$10)*1</f>
        <v>0</v>
      </c>
      <c r="O10" s="12">
        <f>('TUSD BE'!$O$10+'TUSD BF'!$O$10+'TUSD CVA'!$O$10)*1</f>
        <v>0</v>
      </c>
      <c r="P10" s="12">
        <f>('TUSD BE'!$P$10+'TUSD BF'!$P$10+'TUSD CVA'!$P$10)*1</f>
        <v>0</v>
      </c>
      <c r="Q10" s="12">
        <f>('TUSD BE'!$Q$10+'TUSD BF'!$Q$10+'TUSD CVA'!$Q$10)*1</f>
        <v>0</v>
      </c>
      <c r="R10" s="12">
        <f>('TUSD BE'!$R$10+'TUSD BF'!$R$10+'TUSD CVA'!$R$10)*1</f>
        <v>0</v>
      </c>
      <c r="S10" s="12">
        <f>('TUSD BE'!$S$10+'TUSD BF'!$S$10+'TUSD CVA'!$S$10)*1</f>
        <v>0</v>
      </c>
      <c r="T10" s="12">
        <f>('TUSD BE'!$U$10+'TUSD BF'!$U$10+'TUSD CVA'!$U$10)*1</f>
        <v>0</v>
      </c>
      <c r="U10" s="12">
        <f>('TUSD BE'!$V$10+'TUSD BF'!$V$10+'TUSD CVA'!$V$10)*1</f>
        <v>0</v>
      </c>
      <c r="V10" s="12">
        <f>('TUSD BE'!$W$10+'TUSD BF'!$W$10+'TUSD CVA'!$W$10)*1</f>
        <v>0</v>
      </c>
      <c r="W10" s="12">
        <f>('TUSD BE'!$X$10+'TUSD BF'!$X$10+'TUSD CVA'!$X$10)*1</f>
        <v>0</v>
      </c>
      <c r="X10" s="12">
        <f>('TUSD BE'!$Y$10+'TUSD BF'!$Y$10+'TUSD CVA'!$Y$10)*1</f>
        <v>32.054423426160362</v>
      </c>
      <c r="Y10" s="12">
        <f>('TUSD BE'!$Z$10+'TUSD BF'!$Z$10+'TUSD CVA'!$Z$10)*1</f>
        <v>0</v>
      </c>
      <c r="Z10" s="12">
        <f>('TUSD BE'!$AA$10+'TUSD BF'!$AA$10+'TUSD CVA'!$AA$10)*1</f>
        <v>0</v>
      </c>
      <c r="AA10" s="12">
        <f>('TUSD BE'!$AC$10+'TUSD BF'!$AC$10+'TUSD CVA'!$AC$10)*1</f>
        <v>19.487091853598727</v>
      </c>
      <c r="AB10" s="12">
        <f ca="1">('TUSD BE'!$AE$10+'TUSD BF'!$AE$10+'TUSD CVA'!$AE$10)*1</f>
        <v>0</v>
      </c>
      <c r="AC10" s="12">
        <f ca="1">('TUSD BE'!$AF$10+'TUSD BF'!$AF$10+'TUSD CVA'!$AF$10)*1</f>
        <v>0</v>
      </c>
      <c r="AD10" s="12">
        <f>('TUSD BE'!$AH$10+'TUSD BF'!$AH$10+'TUSD CVA'!$AH$10)*1</f>
        <v>0</v>
      </c>
      <c r="AE10" s="12">
        <f>('TUSD BE'!$AI$10+'TUSD BF'!$AI$10+'TUSD CVA'!$AI$10)*1</f>
        <v>0</v>
      </c>
      <c r="AF10" s="12">
        <f ca="1">('TUSD BE'!$AJ$10+'TUSD BF'!$AJ$10+'TUSD CVA'!$AJ$10)*1</f>
        <v>0</v>
      </c>
      <c r="AG10" s="12">
        <f ca="1">('TUSD BE'!$AK$10+'TUSD BF'!$AK$10+'TUSD CVA'!$AK$10)*1</f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27.1471422058587</v>
      </c>
      <c r="AV10" s="12">
        <v>0</v>
      </c>
      <c r="AW10" s="12">
        <v>0</v>
      </c>
      <c r="AX10" s="12">
        <v>18.267882305243699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</row>
    <row r="11" spans="1:56" ht="11.25" customHeight="1" x14ac:dyDescent="0.25">
      <c r="A11" s="102"/>
      <c r="B11" s="102"/>
      <c r="C11" s="102"/>
      <c r="D11" s="102"/>
      <c r="E11" s="102"/>
      <c r="F11" s="102"/>
      <c r="G11" s="17" t="s">
        <v>72</v>
      </c>
      <c r="H11" s="17" t="s">
        <v>71</v>
      </c>
      <c r="I11" s="17">
        <f>'MERCADO TUSD'!$U$8</f>
        <v>931.37599999999986</v>
      </c>
      <c r="J11" s="15"/>
      <c r="L11" s="12">
        <f>('TUSD BE'!$L$11+'TUSD BF'!$L$11+'TUSD CVA'!$L$11)*1</f>
        <v>0</v>
      </c>
      <c r="M11" s="12">
        <f>('TUSD BE'!$M$11+'TUSD BF'!$M$11+'TUSD CVA'!$M$11)*1</f>
        <v>2.097975619535807</v>
      </c>
      <c r="N11" s="12">
        <f ca="1">('TUSD BE'!$N$11+'TUSD BF'!$N$11+'TUSD CVA'!$N$11)*1</f>
        <v>0</v>
      </c>
      <c r="O11" s="12">
        <f>('TUSD BE'!$O$11+'TUSD BF'!$O$11+'TUSD CVA'!$O$11)*1</f>
        <v>0</v>
      </c>
      <c r="P11" s="12">
        <f>('TUSD BE'!$P$11+'TUSD BF'!$P$11+'TUSD CVA'!$P$11)*1</f>
        <v>0</v>
      </c>
      <c r="Q11" s="12">
        <f>('TUSD BE'!$Q$11+'TUSD BF'!$Q$11+'TUSD CVA'!$Q$11)*1</f>
        <v>73.532091299300717</v>
      </c>
      <c r="R11" s="12">
        <f>('TUSD BE'!$R$11+'TUSD BF'!$R$11+'TUSD CVA'!$R$11)*1</f>
        <v>13.849389397227974</v>
      </c>
      <c r="S11" s="12">
        <f>('TUSD BE'!$S$11+'TUSD BF'!$S$11+'TUSD CVA'!$S$11)*1</f>
        <v>0</v>
      </c>
      <c r="T11" s="12">
        <f>('TUSD BE'!$U$11+'TUSD BF'!$U$11+'TUSD CVA'!$U$11)*1</f>
        <v>0</v>
      </c>
      <c r="U11" s="12">
        <f>('TUSD BE'!$V$11+'TUSD BF'!$V$11+'TUSD CVA'!$V$11)*1</f>
        <v>0</v>
      </c>
      <c r="V11" s="12">
        <f>('TUSD BE'!$W$11+'TUSD BF'!$W$11+'TUSD CVA'!$W$11)*1</f>
        <v>0</v>
      </c>
      <c r="W11" s="12">
        <f>('TUSD BE'!$X$11+'TUSD BF'!$X$11+'TUSD CVA'!$X$11)*1</f>
        <v>0</v>
      </c>
      <c r="X11" s="12">
        <f>('TUSD BE'!$Y$11+'TUSD BF'!$Y$11+'TUSD CVA'!$Y$11)*1</f>
        <v>760.84379444334229</v>
      </c>
      <c r="Y11" s="12">
        <f>('TUSD BE'!$Z$11+'TUSD BF'!$Z$11+'TUSD CVA'!$Z$11)*1</f>
        <v>0</v>
      </c>
      <c r="Z11" s="12">
        <f>('TUSD BE'!$AA$11+'TUSD BF'!$AA$11+'TUSD CVA'!$AA$11)*1</f>
        <v>0</v>
      </c>
      <c r="AA11" s="12">
        <f>('TUSD BE'!$AC$11+'TUSD BF'!$AC$11+'TUSD CVA'!$AC$11)*1</f>
        <v>789.06568335640486</v>
      </c>
      <c r="AB11" s="12">
        <f ca="1">('TUSD BE'!$AE$11+'TUSD BF'!$AE$11+'TUSD CVA'!$AE$11)*1</f>
        <v>0</v>
      </c>
      <c r="AC11" s="12">
        <f ca="1">('TUSD BE'!$AF$11+'TUSD BF'!$AF$11+'TUSD CVA'!$AF$11)*1</f>
        <v>0</v>
      </c>
      <c r="AD11" s="12">
        <f>('TUSD BE'!$AH$11+'TUSD BF'!$AH$11+'TUSD CVA'!$AH$11)*1</f>
        <v>13.236923136683352</v>
      </c>
      <c r="AE11" s="12">
        <f>('TUSD BE'!$AI$11+'TUSD BF'!$AI$11+'TUSD CVA'!$AI$11)*1</f>
        <v>0</v>
      </c>
      <c r="AF11" s="12">
        <f ca="1">('TUSD BE'!$AJ$11+'TUSD BF'!$AJ$11+'TUSD CVA'!$AJ$11)*1</f>
        <v>0</v>
      </c>
      <c r="AG11" s="12">
        <f ca="1">('TUSD BE'!$AK$11+'TUSD BF'!$AK$11+'TUSD CVA'!$AK$11)*1</f>
        <v>0</v>
      </c>
      <c r="AI11" s="12">
        <v>0</v>
      </c>
      <c r="AJ11" s="12">
        <v>2.3277788503379302</v>
      </c>
      <c r="AK11" s="12">
        <v>0</v>
      </c>
      <c r="AL11" s="12">
        <v>0</v>
      </c>
      <c r="AM11" s="12">
        <v>0</v>
      </c>
      <c r="AN11" s="12">
        <v>52.247542786505498</v>
      </c>
      <c r="AO11" s="12">
        <v>9.3208359179518592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646.10217232993602</v>
      </c>
      <c r="AV11" s="12">
        <v>0</v>
      </c>
      <c r="AW11" s="12">
        <v>0</v>
      </c>
      <c r="AX11" s="12">
        <v>739.70147583066603</v>
      </c>
      <c r="AY11" s="12">
        <v>0</v>
      </c>
      <c r="AZ11" s="12">
        <v>0</v>
      </c>
      <c r="BA11" s="12">
        <v>15.422841270275001</v>
      </c>
      <c r="BB11" s="12">
        <v>0</v>
      </c>
      <c r="BC11" s="12">
        <v>0</v>
      </c>
      <c r="BD11" s="12">
        <v>0</v>
      </c>
    </row>
    <row r="12" spans="1:56" ht="11.25" customHeight="1" x14ac:dyDescent="0.25">
      <c r="A12" s="102"/>
      <c r="B12" s="102"/>
      <c r="C12" s="102"/>
      <c r="D12" s="102"/>
      <c r="E12" s="102"/>
      <c r="F12" s="102"/>
      <c r="G12" s="17" t="s">
        <v>73</v>
      </c>
      <c r="H12" s="17" t="s">
        <v>71</v>
      </c>
      <c r="I12" s="17">
        <f>'MERCADO TUSD'!$U$9</f>
        <v>14483.396000000004</v>
      </c>
      <c r="J12" s="15"/>
      <c r="L12" s="12">
        <f>('TUSD BE'!$L$12+'TUSD BF'!$L$12+'TUSD CVA'!$L$12)*1</f>
        <v>0</v>
      </c>
      <c r="M12" s="12">
        <f>('TUSD BE'!$M$12+'TUSD BF'!$M$12+'TUSD CVA'!$M$12)*1</f>
        <v>2.097975619535807</v>
      </c>
      <c r="N12" s="12">
        <f ca="1">('TUSD BE'!$N$12+'TUSD BF'!$N$12+'TUSD CVA'!$N$12)*1</f>
        <v>0</v>
      </c>
      <c r="O12" s="12">
        <f>('TUSD BE'!$O$12+'TUSD BF'!$O$12+'TUSD CVA'!$O$12)*1</f>
        <v>0</v>
      </c>
      <c r="P12" s="12">
        <f>('TUSD BE'!$P$12+'TUSD BF'!$P$12+'TUSD CVA'!$P$12)*1</f>
        <v>0</v>
      </c>
      <c r="Q12" s="12">
        <f>('TUSD BE'!$Q$12+'TUSD BF'!$Q$12+'TUSD CVA'!$Q$12)*1</f>
        <v>73.532091299300717</v>
      </c>
      <c r="R12" s="12">
        <f>('TUSD BE'!$R$12+'TUSD BF'!$R$12+'TUSD CVA'!$R$12)*1</f>
        <v>13.849389397227974</v>
      </c>
      <c r="S12" s="12">
        <f>('TUSD BE'!$S$12+'TUSD BF'!$S$12+'TUSD CVA'!$S$12)*1</f>
        <v>0</v>
      </c>
      <c r="T12" s="12">
        <f>('TUSD BE'!$U$12+'TUSD BF'!$U$12+'TUSD CVA'!$U$12)*1</f>
        <v>0</v>
      </c>
      <c r="U12" s="12">
        <f>('TUSD BE'!$V$12+'TUSD BF'!$V$12+'TUSD CVA'!$V$12)*1</f>
        <v>0</v>
      </c>
      <c r="V12" s="12">
        <f>('TUSD BE'!$W$12+'TUSD BF'!$W$12+'TUSD CVA'!$W$12)*1</f>
        <v>0</v>
      </c>
      <c r="W12" s="12">
        <f>('TUSD BE'!$X$12+'TUSD BF'!$X$12+'TUSD CVA'!$X$12)*1</f>
        <v>0</v>
      </c>
      <c r="X12" s="12">
        <f>('TUSD BE'!$Y$12+'TUSD BF'!$Y$12+'TUSD CVA'!$Y$12)*1</f>
        <v>0</v>
      </c>
      <c r="Y12" s="12">
        <f>('TUSD BE'!$Z$12+'TUSD BF'!$Z$12+'TUSD CVA'!$Z$12)*1</f>
        <v>0</v>
      </c>
      <c r="Z12" s="12">
        <f>('TUSD BE'!$AA$12+'TUSD BF'!$AA$12+'TUSD CVA'!$AA$12)*1</f>
        <v>0</v>
      </c>
      <c r="AA12" s="12">
        <f>('TUSD BE'!$AC$12+'TUSD BF'!$AC$12+'TUSD CVA'!$AC$12)*1</f>
        <v>0</v>
      </c>
      <c r="AB12" s="12">
        <f ca="1">('TUSD BE'!$AE$12+'TUSD BF'!$AE$12+'TUSD CVA'!$AE$12)*1</f>
        <v>0</v>
      </c>
      <c r="AC12" s="12">
        <f ca="1">('TUSD BE'!$AF$12+'TUSD BF'!$AF$12+'TUSD CVA'!$AF$12)*1</f>
        <v>0</v>
      </c>
      <c r="AD12" s="12">
        <f>('TUSD BE'!$AH$12+'TUSD BF'!$AH$12+'TUSD CVA'!$AH$12)*1</f>
        <v>13.236923136683352</v>
      </c>
      <c r="AE12" s="12">
        <f>('TUSD BE'!$AI$12+'TUSD BF'!$AI$12+'TUSD CVA'!$AI$12)*1</f>
        <v>0</v>
      </c>
      <c r="AF12" s="12">
        <f ca="1">('TUSD BE'!$AJ$12+'TUSD BF'!$AJ$12+'TUSD CVA'!$AJ$12)*1</f>
        <v>0</v>
      </c>
      <c r="AG12" s="12">
        <f ca="1">('TUSD BE'!$AK$12+'TUSD BF'!$AK$12+'TUSD CVA'!$AK$12)*1</f>
        <v>0</v>
      </c>
      <c r="AI12" s="12">
        <v>0</v>
      </c>
      <c r="AJ12" s="12">
        <v>2.3277788503379302</v>
      </c>
      <c r="AK12" s="12">
        <v>0</v>
      </c>
      <c r="AL12" s="12">
        <v>0</v>
      </c>
      <c r="AM12" s="12">
        <v>0</v>
      </c>
      <c r="AN12" s="12">
        <v>52.247542786505498</v>
      </c>
      <c r="AO12" s="12">
        <v>9.3208359179518592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15.422841270275001</v>
      </c>
      <c r="BB12" s="12">
        <v>0</v>
      </c>
      <c r="BC12" s="12">
        <v>0</v>
      </c>
      <c r="BD12" s="12">
        <v>0</v>
      </c>
    </row>
    <row r="13" spans="1:56" ht="11.25" customHeight="1" x14ac:dyDescent="0.25">
      <c r="A13" s="102"/>
      <c r="B13" s="102"/>
      <c r="C13" s="102"/>
      <c r="D13" s="102"/>
      <c r="E13" s="102" t="s">
        <v>78</v>
      </c>
      <c r="F13" s="102" t="s">
        <v>25</v>
      </c>
      <c r="G13" s="17" t="s">
        <v>72</v>
      </c>
      <c r="H13" s="17" t="s">
        <v>71</v>
      </c>
      <c r="I13" s="17">
        <f>'MERCADO TUSD'!$U$10</f>
        <v>0</v>
      </c>
      <c r="J13" s="15"/>
      <c r="L13" s="12">
        <f>('TUSD BE'!$L$13+'TUSD BF'!$L$13+'TUSD CVA'!$L$13)*1</f>
        <v>0</v>
      </c>
      <c r="M13" s="12">
        <f>('TUSD BE'!$M$13+'TUSD BF'!$M$13+'TUSD CVA'!$M$13)*1</f>
        <v>2.097975619535807</v>
      </c>
      <c r="N13" s="12">
        <f ca="1">('TUSD BE'!$N$13+'TUSD BF'!$N$13+'TUSD CVA'!$N$13)*1</f>
        <v>0</v>
      </c>
      <c r="O13" s="12">
        <f>('TUSD BE'!$O$13+'TUSD BF'!$O$13+'TUSD CVA'!$O$13)*1</f>
        <v>0</v>
      </c>
      <c r="P13" s="12">
        <f>('TUSD BE'!$P$13+'TUSD BF'!$P$13+'TUSD CVA'!$P$13)*1</f>
        <v>0</v>
      </c>
      <c r="Q13" s="12">
        <f>('TUSD BE'!$Q$13+'TUSD BF'!$Q$13+'TUSD CVA'!$Q$13)*1</f>
        <v>0</v>
      </c>
      <c r="R13" s="12">
        <f>('TUSD BE'!$R$13+'TUSD BF'!$R$13+'TUSD CVA'!$R$13)*1</f>
        <v>0</v>
      </c>
      <c r="S13" s="12">
        <f>('TUSD BE'!$S$13+'TUSD BF'!$S$13+'TUSD CVA'!$S$13)*1</f>
        <v>0</v>
      </c>
      <c r="T13" s="12">
        <f>('TUSD BE'!$U$13+'TUSD BF'!$U$13+'TUSD CVA'!$U$13)*1</f>
        <v>0</v>
      </c>
      <c r="U13" s="12">
        <f>('TUSD BE'!$V$13+'TUSD BF'!$V$13+'TUSD CVA'!$V$13)*1</f>
        <v>0</v>
      </c>
      <c r="V13" s="12">
        <f>('TUSD BE'!$W$13+'TUSD BF'!$W$13+'TUSD CVA'!$W$13)*1</f>
        <v>0</v>
      </c>
      <c r="W13" s="12">
        <f>('TUSD BE'!$X$13+'TUSD BF'!$X$13+'TUSD CVA'!$X$13)*1</f>
        <v>0</v>
      </c>
      <c r="X13" s="12">
        <f>('TUSD BE'!$Y$13+'TUSD BF'!$Y$13+'TUSD CVA'!$Y$13)*1</f>
        <v>760.84379444334229</v>
      </c>
      <c r="Y13" s="12">
        <f>('TUSD BE'!$Z$13+'TUSD BF'!$Z$13+'TUSD CVA'!$Z$13)*1</f>
        <v>0</v>
      </c>
      <c r="Z13" s="12">
        <f>('TUSD BE'!$AA$13+'TUSD BF'!$AA$13+'TUSD CVA'!$AA$13)*1</f>
        <v>0</v>
      </c>
      <c r="AA13" s="12">
        <f>('TUSD BE'!$AC$13+'TUSD BF'!$AC$13+'TUSD CVA'!$AC$13)*1</f>
        <v>789.06568335640486</v>
      </c>
      <c r="AB13" s="12">
        <f ca="1">('TUSD BE'!$AE$13+'TUSD BF'!$AE$13+'TUSD CVA'!$AE$13)*1</f>
        <v>0</v>
      </c>
      <c r="AC13" s="12">
        <f ca="1">('TUSD BE'!$AF$13+'TUSD BF'!$AF$13+'TUSD CVA'!$AF$13)*1</f>
        <v>0</v>
      </c>
      <c r="AD13" s="12">
        <f>('TUSD BE'!$AH$13+'TUSD BF'!$AH$13+'TUSD CVA'!$AH$13)*1</f>
        <v>13.236923136683352</v>
      </c>
      <c r="AE13" s="12">
        <f>('TUSD BE'!$AI$13+'TUSD BF'!$AI$13+'TUSD CVA'!$AI$13)*1</f>
        <v>0</v>
      </c>
      <c r="AF13" s="12">
        <f ca="1">('TUSD BE'!$AJ$13+'TUSD BF'!$AJ$13+'TUSD CVA'!$AJ$13)*1</f>
        <v>0</v>
      </c>
      <c r="AG13" s="12">
        <f ca="1">('TUSD BE'!$AK$13+'TUSD BF'!$AK$13+'TUSD CVA'!$AK$13)*1</f>
        <v>0</v>
      </c>
      <c r="AI13" s="12">
        <v>0</v>
      </c>
      <c r="AJ13" s="12">
        <v>2.3277788503379302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646.10217232993602</v>
      </c>
      <c r="AV13" s="12">
        <v>0</v>
      </c>
      <c r="AW13" s="12">
        <v>0</v>
      </c>
      <c r="AX13" s="12">
        <v>739.70147583066603</v>
      </c>
      <c r="AY13" s="12">
        <v>0</v>
      </c>
      <c r="AZ13" s="12">
        <v>0</v>
      </c>
      <c r="BA13" s="12">
        <v>15.422841270275001</v>
      </c>
      <c r="BB13" s="12">
        <v>0</v>
      </c>
      <c r="BC13" s="12">
        <v>0</v>
      </c>
      <c r="BD13" s="12">
        <v>0</v>
      </c>
    </row>
    <row r="14" spans="1:56" ht="11.25" customHeight="1" x14ac:dyDescent="0.25">
      <c r="A14" s="102"/>
      <c r="B14" s="102"/>
      <c r="C14" s="102"/>
      <c r="D14" s="102"/>
      <c r="E14" s="102"/>
      <c r="F14" s="102"/>
      <c r="G14" s="17" t="s">
        <v>73</v>
      </c>
      <c r="H14" s="17" t="s">
        <v>71</v>
      </c>
      <c r="I14" s="17">
        <f>'MERCADO TUSD'!$U$11</f>
        <v>0</v>
      </c>
      <c r="J14" s="15"/>
      <c r="L14" s="12">
        <f>('TUSD BE'!$L$14+'TUSD BF'!$L$14+'TUSD CVA'!$L$14)*1</f>
        <v>0</v>
      </c>
      <c r="M14" s="12">
        <f>('TUSD BE'!$M$14+'TUSD BF'!$M$14+'TUSD CVA'!$M$14)*1</f>
        <v>2.097975619535807</v>
      </c>
      <c r="N14" s="12">
        <f ca="1">('TUSD BE'!$N$14+'TUSD BF'!$N$14+'TUSD CVA'!$N$14)*1</f>
        <v>0</v>
      </c>
      <c r="O14" s="12">
        <f>('TUSD BE'!$O$14+'TUSD BF'!$O$14+'TUSD CVA'!$O$14)*1</f>
        <v>0</v>
      </c>
      <c r="P14" s="12">
        <f>('TUSD BE'!$P$14+'TUSD BF'!$P$14+'TUSD CVA'!$P$14)*1</f>
        <v>0</v>
      </c>
      <c r="Q14" s="12">
        <f>('TUSD BE'!$Q$14+'TUSD BF'!$Q$14+'TUSD CVA'!$Q$14)*1</f>
        <v>0</v>
      </c>
      <c r="R14" s="12">
        <f>('TUSD BE'!$R$14+'TUSD BF'!$R$14+'TUSD CVA'!$R$14)*1</f>
        <v>0</v>
      </c>
      <c r="S14" s="12">
        <f>('TUSD BE'!$S$14+'TUSD BF'!$S$14+'TUSD CVA'!$S$14)*1</f>
        <v>0</v>
      </c>
      <c r="T14" s="12">
        <f>('TUSD BE'!$U$14+'TUSD BF'!$U$14+'TUSD CVA'!$U$14)*1</f>
        <v>0</v>
      </c>
      <c r="U14" s="12">
        <f>('TUSD BE'!$V$14+'TUSD BF'!$V$14+'TUSD CVA'!$V$14)*1</f>
        <v>0</v>
      </c>
      <c r="V14" s="12">
        <f>('TUSD BE'!$W$14+'TUSD BF'!$W$14+'TUSD CVA'!$W$14)*1</f>
        <v>0</v>
      </c>
      <c r="W14" s="12">
        <f>('TUSD BE'!$X$14+'TUSD BF'!$X$14+'TUSD CVA'!$X$14)*1</f>
        <v>0</v>
      </c>
      <c r="X14" s="12">
        <f>('TUSD BE'!$Y$14+'TUSD BF'!$Y$14+'TUSD CVA'!$Y$14)*1</f>
        <v>0</v>
      </c>
      <c r="Y14" s="12">
        <f>('TUSD BE'!$Z$14+'TUSD BF'!$Z$14+'TUSD CVA'!$Z$14)*1</f>
        <v>0</v>
      </c>
      <c r="Z14" s="12">
        <f>('TUSD BE'!$AA$14+'TUSD BF'!$AA$14+'TUSD CVA'!$AA$14)*1</f>
        <v>0</v>
      </c>
      <c r="AA14" s="12">
        <f>('TUSD BE'!$AC$14+'TUSD BF'!$AC$14+'TUSD CVA'!$AC$14)*1</f>
        <v>0</v>
      </c>
      <c r="AB14" s="12">
        <f ca="1">('TUSD BE'!$AE$14+'TUSD BF'!$AE$14+'TUSD CVA'!$AE$14)*1</f>
        <v>0</v>
      </c>
      <c r="AC14" s="12">
        <f ca="1">('TUSD BE'!$AF$14+'TUSD BF'!$AF$14+'TUSD CVA'!$AF$14)*1</f>
        <v>0</v>
      </c>
      <c r="AD14" s="12">
        <f>('TUSD BE'!$AH$14+'TUSD BF'!$AH$14+'TUSD CVA'!$AH$14)*1</f>
        <v>13.236923136683352</v>
      </c>
      <c r="AE14" s="12">
        <f>('TUSD BE'!$AI$14+'TUSD BF'!$AI$14+'TUSD CVA'!$AI$14)*1</f>
        <v>0</v>
      </c>
      <c r="AF14" s="12">
        <f ca="1">('TUSD BE'!$AJ$14+'TUSD BF'!$AJ$14+'TUSD CVA'!$AJ$14)*1</f>
        <v>0</v>
      </c>
      <c r="AG14" s="12">
        <f ca="1">('TUSD BE'!$AK$14+'TUSD BF'!$AK$14+'TUSD CVA'!$AK$14)*1</f>
        <v>0</v>
      </c>
      <c r="AI14" s="12">
        <v>0</v>
      </c>
      <c r="AJ14" s="12">
        <v>2.3277788503379302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15.422841270275001</v>
      </c>
      <c r="BB14" s="12">
        <v>0</v>
      </c>
      <c r="BC14" s="12">
        <v>0</v>
      </c>
      <c r="BD14" s="12">
        <v>0</v>
      </c>
    </row>
    <row r="15" spans="1:56" ht="11.25" customHeight="1" x14ac:dyDescent="0.25">
      <c r="A15" s="102" t="s">
        <v>80</v>
      </c>
      <c r="B15" s="102" t="s">
        <v>79</v>
      </c>
      <c r="C15" s="102" t="s">
        <v>25</v>
      </c>
      <c r="D15" s="102" t="s">
        <v>25</v>
      </c>
      <c r="E15" s="18" t="s">
        <v>81</v>
      </c>
      <c r="F15" s="18" t="s">
        <v>25</v>
      </c>
      <c r="G15" s="17" t="s">
        <v>9</v>
      </c>
      <c r="H15" s="17" t="s">
        <v>74</v>
      </c>
      <c r="I15" s="17">
        <f>'MERCADO TUSD'!$U$12+0.00000001</f>
        <v>1E-8</v>
      </c>
      <c r="J15" s="15"/>
      <c r="L15" s="12">
        <f>('TUSD BE'!$L$15+'TUSD BF'!$L$15+'TUSD CVA'!$L$15)*1</f>
        <v>0</v>
      </c>
      <c r="M15" s="12">
        <f>('TUSD BE'!$M$15+'TUSD BF'!$M$15+'TUSD CVA'!$M$15)*1</f>
        <v>1.2255746382789734E-2</v>
      </c>
      <c r="N15" s="12">
        <f ca="1">('TUSD BE'!$N$15+'TUSD BF'!$N$15+'TUSD CVA'!$N$15)*1</f>
        <v>0</v>
      </c>
      <c r="O15" s="12">
        <f>('TUSD BE'!$O$15+'TUSD BF'!$O$15+'TUSD CVA'!$O$15)*1</f>
        <v>0</v>
      </c>
      <c r="P15" s="12">
        <f>('TUSD BE'!$P$15+'TUSD BF'!$P$15+'TUSD CVA'!$P$15)*1</f>
        <v>0</v>
      </c>
      <c r="Q15" s="12">
        <f>('TUSD BE'!$Q$15+'TUSD BF'!$Q$15+'TUSD CVA'!$Q$15)*1</f>
        <v>0</v>
      </c>
      <c r="R15" s="12">
        <f>('TUSD BE'!$R$15+'TUSD BF'!$R$15+'TUSD CVA'!$R$15)*1</f>
        <v>0</v>
      </c>
      <c r="S15" s="12">
        <f>('TUSD BE'!$S$15+'TUSD BF'!$S$15+'TUSD CVA'!$S$15)*1</f>
        <v>0</v>
      </c>
      <c r="T15" s="12">
        <f>('TUSD BE'!$U$15+'TUSD BF'!$U$15+'TUSD CVA'!$U$15)*1</f>
        <v>0</v>
      </c>
      <c r="U15" s="12">
        <f>('TUSD BE'!$V$15+'TUSD BF'!$V$15+'TUSD CVA'!$V$15)*1</f>
        <v>0</v>
      </c>
      <c r="V15" s="12">
        <f>('TUSD BE'!$W$15+'TUSD BF'!$W$15+'TUSD CVA'!$W$15)*1</f>
        <v>0</v>
      </c>
      <c r="W15" s="12">
        <f>('TUSD BE'!$X$15+'TUSD BF'!$X$15+'TUSD CVA'!$X$15)*1</f>
        <v>0</v>
      </c>
      <c r="X15" s="12">
        <f>('TUSD BE'!$Y$15+'TUSD BF'!$Y$15+'TUSD CVA'!$Y$15)*1</f>
        <v>0</v>
      </c>
      <c r="Y15" s="12">
        <f>('TUSD BE'!$Z$15+'TUSD BF'!$Z$15+'TUSD CVA'!$Z$15)*1</f>
        <v>0</v>
      </c>
      <c r="Z15" s="12">
        <f>('TUSD BE'!$AA$15+'TUSD BF'!$AA$15+'TUSD CVA'!$AA$15)*1</f>
        <v>0</v>
      </c>
      <c r="AA15" s="12">
        <f>('TUSD BE'!$AC$15+'TUSD BF'!$AC$15+'TUSD CVA'!$AC$15)*1</f>
        <v>4.5334551068551132</v>
      </c>
      <c r="AB15" s="12">
        <f ca="1">('TUSD BE'!$AE$15+'TUSD BF'!$AE$15+'TUSD CVA'!$AE$15)*1</f>
        <v>0</v>
      </c>
      <c r="AC15" s="12">
        <f ca="1">('TUSD BE'!$AF$15+'TUSD BF'!$AF$15+'TUSD CVA'!$AF$15)*1</f>
        <v>0</v>
      </c>
      <c r="AD15" s="12">
        <f>('TUSD BE'!$AH$15+'TUSD BF'!$AH$15+'TUSD CVA'!$AH$15)*1</f>
        <v>0</v>
      </c>
      <c r="AE15" s="12">
        <f>('TUSD BE'!$AI$15+'TUSD BF'!$AI$15+'TUSD CVA'!$AI$15)*1</f>
        <v>0</v>
      </c>
      <c r="AF15" s="12">
        <f ca="1">('TUSD BE'!$AJ$15+'TUSD BF'!$AJ$15+'TUSD CVA'!$AJ$15)*1</f>
        <v>0</v>
      </c>
      <c r="AG15" s="12">
        <f ca="1">('TUSD BE'!$AK$15+'TUSD BF'!$AK$15+'TUSD CVA'!$AK$15)*1</f>
        <v>0</v>
      </c>
      <c r="AI15" s="12">
        <v>0</v>
      </c>
      <c r="AJ15" s="12">
        <v>1.3098995526397201E-2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4.2498371014949496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ht="11.25" customHeight="1" x14ac:dyDescent="0.25">
      <c r="A16" s="102"/>
      <c r="B16" s="102"/>
      <c r="C16" s="102"/>
      <c r="D16" s="102"/>
      <c r="E16" s="18" t="s">
        <v>82</v>
      </c>
      <c r="F16" s="18" t="s">
        <v>25</v>
      </c>
      <c r="G16" s="17" t="s">
        <v>9</v>
      </c>
      <c r="H16" s="17" t="s">
        <v>74</v>
      </c>
      <c r="I16" s="17">
        <f>'MERCADO TUSD'!$U$13+0.00000001</f>
        <v>1E-8</v>
      </c>
      <c r="J16" s="15"/>
      <c r="L16" s="12">
        <f>('TUSD BE'!$L$16+'TUSD BF'!$L$16+'TUSD CVA'!$L$16)*1</f>
        <v>0</v>
      </c>
      <c r="M16" s="12">
        <f>('TUSD BE'!$M$16+'TUSD BF'!$M$16+'TUSD CVA'!$M$16)*1</f>
        <v>1.2255746382789734E-2</v>
      </c>
      <c r="N16" s="12">
        <f ca="1">('TUSD BE'!$N$16+'TUSD BF'!$N$16+'TUSD CVA'!$N$16)*1</f>
        <v>0</v>
      </c>
      <c r="O16" s="12">
        <f>('TUSD BE'!$O$16+'TUSD BF'!$O$16+'TUSD CVA'!$O$16)*1</f>
        <v>0</v>
      </c>
      <c r="P16" s="12">
        <f>('TUSD BE'!$P$16+'TUSD BF'!$P$16+'TUSD CVA'!$P$16)*1</f>
        <v>0</v>
      </c>
      <c r="Q16" s="12">
        <f>('TUSD BE'!$Q$16+'TUSD BF'!$Q$16+'TUSD CVA'!$Q$16)*1</f>
        <v>0</v>
      </c>
      <c r="R16" s="12">
        <f>('TUSD BE'!$R$16+'TUSD BF'!$R$16+'TUSD CVA'!$R$16)*1</f>
        <v>0</v>
      </c>
      <c r="S16" s="12">
        <f>('TUSD BE'!$S$16+'TUSD BF'!$S$16+'TUSD CVA'!$S$16)*1</f>
        <v>0</v>
      </c>
      <c r="T16" s="12">
        <f>('TUSD BE'!$U$16+'TUSD BF'!$U$16+'TUSD CVA'!$U$16)*1</f>
        <v>0</v>
      </c>
      <c r="U16" s="12">
        <f>('TUSD BE'!$V$16+'TUSD BF'!$V$16+'TUSD CVA'!$V$16)*1</f>
        <v>0</v>
      </c>
      <c r="V16" s="12">
        <f>('TUSD BE'!$W$16+'TUSD BF'!$W$16+'TUSD CVA'!$W$16)*1</f>
        <v>0</v>
      </c>
      <c r="W16" s="12">
        <f>('TUSD BE'!$X$16+'TUSD BF'!$X$16+'TUSD CVA'!$X$16)*1</f>
        <v>0</v>
      </c>
      <c r="X16" s="12">
        <f>('TUSD BE'!$Y$16+'TUSD BF'!$Y$16+'TUSD CVA'!$Y$16)*1</f>
        <v>0</v>
      </c>
      <c r="Y16" s="12">
        <f>('TUSD BE'!$Z$16+'TUSD BF'!$Z$16+'TUSD CVA'!$Z$16)*1</f>
        <v>0</v>
      </c>
      <c r="Z16" s="12">
        <f>('TUSD BE'!$AA$16+'TUSD BF'!$AA$16+'TUSD CVA'!$AA$16)*1</f>
        <v>0</v>
      </c>
      <c r="AA16" s="12">
        <f>('TUSD BE'!$AC$16+'TUSD BF'!$AC$16+'TUSD CVA'!$AC$16)*1</f>
        <v>11.790470101814805</v>
      </c>
      <c r="AB16" s="12">
        <f ca="1">('TUSD BE'!$AE$16+'TUSD BF'!$AE$16+'TUSD CVA'!$AE$16)*1</f>
        <v>0</v>
      </c>
      <c r="AC16" s="12">
        <f ca="1">('TUSD BE'!$AF$16+'TUSD BF'!$AF$16+'TUSD CVA'!$AF$16)*1</f>
        <v>0</v>
      </c>
      <c r="AD16" s="12">
        <f>('TUSD BE'!$AH$16+'TUSD BF'!$AH$16+'TUSD CVA'!$AH$16)*1</f>
        <v>0</v>
      </c>
      <c r="AE16" s="12">
        <f>('TUSD BE'!$AI$16+'TUSD BF'!$AI$16+'TUSD CVA'!$AI$16)*1</f>
        <v>0</v>
      </c>
      <c r="AF16" s="12">
        <f ca="1">('TUSD BE'!$AJ$16+'TUSD BF'!$AJ$16+'TUSD CVA'!$AJ$16)*1</f>
        <v>0</v>
      </c>
      <c r="AG16" s="12">
        <f ca="1">('TUSD BE'!$AK$16+'TUSD BF'!$AK$16+'TUSD CVA'!$AK$16)*1</f>
        <v>0</v>
      </c>
      <c r="AI16" s="12">
        <v>0</v>
      </c>
      <c r="AJ16" s="12">
        <v>1.3098995526397201E-2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11.052863447619901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ht="11.25" customHeight="1" x14ac:dyDescent="0.25">
      <c r="A17" s="102" t="s">
        <v>22</v>
      </c>
      <c r="B17" s="102" t="s">
        <v>85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17" t="s">
        <v>72</v>
      </c>
      <c r="H17" s="17" t="s">
        <v>71</v>
      </c>
      <c r="I17" s="17">
        <f>'MERCADO TUSD'!$U$14</f>
        <v>0</v>
      </c>
      <c r="J17" s="15"/>
      <c r="L17" s="12">
        <f>('TUSD BE'!$L$17+'TUSD BF'!$L$17+'TUSD CVA'!$L$17)*1</f>
        <v>0</v>
      </c>
      <c r="M17" s="12">
        <f>('TUSD BE'!$M$17+'TUSD BF'!$M$17+'TUSD CVA'!$M$17)*1</f>
        <v>2.3730294380749659</v>
      </c>
      <c r="N17" s="12">
        <f ca="1">('TUSD BE'!$N$17+'TUSD BF'!$N$17+'TUSD CVA'!$N$17)*1</f>
        <v>0</v>
      </c>
      <c r="O17" s="12">
        <f>('TUSD BE'!$O$17+'TUSD BF'!$O$17+'TUSD CVA'!$O$17)*1</f>
        <v>0</v>
      </c>
      <c r="P17" s="12">
        <f>('TUSD BE'!$P$17+'TUSD BF'!$P$17+'TUSD CVA'!$P$17)*1</f>
        <v>0</v>
      </c>
      <c r="Q17" s="12">
        <f>('TUSD BE'!$Q$17+'TUSD BF'!$Q$17+'TUSD CVA'!$Q$17)*1</f>
        <v>87.538203927738948</v>
      </c>
      <c r="R17" s="12">
        <f>('TUSD BE'!$R$17+'TUSD BF'!$R$17+'TUSD CVA'!$R$17)*1</f>
        <v>13.849389397227974</v>
      </c>
      <c r="S17" s="12">
        <f>('TUSD BE'!$S$17+'TUSD BF'!$S$17+'TUSD CVA'!$S$17)*1</f>
        <v>0</v>
      </c>
      <c r="T17" s="12">
        <f>('TUSD BE'!$U$17+'TUSD BF'!$U$17+'TUSD CVA'!$U$17)*1</f>
        <v>0</v>
      </c>
      <c r="U17" s="12">
        <f>('TUSD BE'!$V$17+'TUSD BF'!$V$17+'TUSD CVA'!$V$17)*1</f>
        <v>0</v>
      </c>
      <c r="V17" s="12">
        <f>('TUSD BE'!$W$17+'TUSD BF'!$W$17+'TUSD CVA'!$W$17)*1</f>
        <v>0</v>
      </c>
      <c r="W17" s="12">
        <f>('TUSD BE'!$X$17+'TUSD BF'!$X$17+'TUSD CVA'!$X$17)*1</f>
        <v>0</v>
      </c>
      <c r="X17" s="12">
        <f>('TUSD BE'!$Y$17+'TUSD BF'!$Y$17+'TUSD CVA'!$Y$17)*1</f>
        <v>362.47142010302139</v>
      </c>
      <c r="Y17" s="12">
        <f>('TUSD BE'!$Z$17+'TUSD BF'!$Z$17+'TUSD CVA'!$Z$17)*1</f>
        <v>0</v>
      </c>
      <c r="Z17" s="12">
        <f>('TUSD BE'!$AA$17+'TUSD BF'!$AA$17+'TUSD CVA'!$AA$17)*1</f>
        <v>0</v>
      </c>
      <c r="AA17" s="12">
        <f>('TUSD BE'!$AC$17+'TUSD BF'!$AC$17+'TUSD CVA'!$AC$17)*1</f>
        <v>523.04887402945769</v>
      </c>
      <c r="AB17" s="12">
        <f ca="1">('TUSD BE'!$AE$17+'TUSD BF'!$AE$17+'TUSD CVA'!$AE$17)*1</f>
        <v>0</v>
      </c>
      <c r="AC17" s="12">
        <f ca="1">('TUSD BE'!$AF$17+'TUSD BF'!$AF$17+'TUSD CVA'!$AF$17)*1</f>
        <v>0</v>
      </c>
      <c r="AD17" s="12">
        <f>('TUSD BE'!$AH$17+'TUSD BF'!$AH$17+'TUSD CVA'!$AH$17)*1</f>
        <v>29.862706514537237</v>
      </c>
      <c r="AE17" s="12">
        <f>('TUSD BE'!$AI$17+'TUSD BF'!$AI$17+'TUSD CVA'!$AI$17)*1</f>
        <v>0</v>
      </c>
      <c r="AF17" s="12">
        <f ca="1">('TUSD BE'!$AJ$17+'TUSD BF'!$AJ$17+'TUSD CVA'!$AJ$17)*1</f>
        <v>0</v>
      </c>
      <c r="AG17" s="12">
        <f ca="1">('TUSD BE'!$AK$17+'TUSD BF'!$AK$17+'TUSD CVA'!$AK$17)*1</f>
        <v>0</v>
      </c>
      <c r="AI17" s="12">
        <v>0</v>
      </c>
      <c r="AJ17" s="12">
        <v>2.2672043161630899</v>
      </c>
      <c r="AK17" s="12">
        <v>0</v>
      </c>
      <c r="AL17" s="12">
        <v>0</v>
      </c>
      <c r="AM17" s="12">
        <v>0</v>
      </c>
      <c r="AN17" s="12">
        <v>60.054646881040803</v>
      </c>
      <c r="AO17" s="12">
        <v>9.3208359179518592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307.78080190359202</v>
      </c>
      <c r="AV17" s="12">
        <v>0</v>
      </c>
      <c r="AW17" s="12">
        <v>0</v>
      </c>
      <c r="AX17" s="12">
        <v>490.32679723628797</v>
      </c>
      <c r="AY17" s="12">
        <v>0</v>
      </c>
      <c r="AZ17" s="12">
        <v>0</v>
      </c>
      <c r="BA17" s="12">
        <v>34.794247956690299</v>
      </c>
      <c r="BB17" s="12">
        <v>0</v>
      </c>
      <c r="BC17" s="12">
        <v>0</v>
      </c>
      <c r="BD17" s="12">
        <v>0</v>
      </c>
    </row>
    <row r="18" spans="1:56" ht="11.25" customHeight="1" x14ac:dyDescent="0.25">
      <c r="A18" s="102"/>
      <c r="B18" s="102"/>
      <c r="C18" s="102"/>
      <c r="D18" s="102"/>
      <c r="E18" s="102"/>
      <c r="F18" s="102"/>
      <c r="G18" s="17" t="s">
        <v>83</v>
      </c>
      <c r="H18" s="17" t="s">
        <v>71</v>
      </c>
      <c r="I18" s="17">
        <f>'MERCADO TUSD'!$U$15</f>
        <v>0</v>
      </c>
      <c r="J18" s="15"/>
      <c r="L18" s="12">
        <f>('TUSD BE'!$L$18+'TUSD BF'!$L$18+'TUSD CVA'!$L$18)*1</f>
        <v>0</v>
      </c>
      <c r="M18" s="12">
        <f>('TUSD BE'!$M$18+'TUSD BF'!$M$18+'TUSD CVA'!$M$18)*1</f>
        <v>2.3730294380749659</v>
      </c>
      <c r="N18" s="12">
        <f ca="1">('TUSD BE'!$N$18+'TUSD BF'!$N$18+'TUSD CVA'!$N$18)*1</f>
        <v>0</v>
      </c>
      <c r="O18" s="12">
        <f>('TUSD BE'!$O$18+'TUSD BF'!$O$18+'TUSD CVA'!$O$18)*1</f>
        <v>0</v>
      </c>
      <c r="P18" s="12">
        <f>('TUSD BE'!$P$18+'TUSD BF'!$P$18+'TUSD CVA'!$P$18)*1</f>
        <v>0</v>
      </c>
      <c r="Q18" s="12">
        <f>('TUSD BE'!$Q$18+'TUSD BF'!$Q$18+'TUSD CVA'!$Q$18)*1</f>
        <v>87.538203927738948</v>
      </c>
      <c r="R18" s="12">
        <f>('TUSD BE'!$R$18+'TUSD BF'!$R$18+'TUSD CVA'!$R$18)*1</f>
        <v>13.849389397227974</v>
      </c>
      <c r="S18" s="12">
        <f>('TUSD BE'!$S$18+'TUSD BF'!$S$18+'TUSD CVA'!$S$18)*1</f>
        <v>0</v>
      </c>
      <c r="T18" s="12">
        <f>('TUSD BE'!$U$18+'TUSD BF'!$U$18+'TUSD CVA'!$U$18)*1</f>
        <v>0</v>
      </c>
      <c r="U18" s="12">
        <f>('TUSD BE'!$V$18+'TUSD BF'!$V$18+'TUSD CVA'!$V$18)*1</f>
        <v>0</v>
      </c>
      <c r="V18" s="12">
        <f>('TUSD BE'!$W$18+'TUSD BF'!$W$18+'TUSD CVA'!$W$18)*1</f>
        <v>0</v>
      </c>
      <c r="W18" s="12">
        <f>('TUSD BE'!$X$18+'TUSD BF'!$X$18+'TUSD CVA'!$X$18)*1</f>
        <v>0</v>
      </c>
      <c r="X18" s="12">
        <f>('TUSD BE'!$Y$18+'TUSD BF'!$Y$18+'TUSD CVA'!$Y$18)*1</f>
        <v>217.52131736992422</v>
      </c>
      <c r="Y18" s="12">
        <f>('TUSD BE'!$Z$18+'TUSD BF'!$Z$18+'TUSD CVA'!$Z$18)*1</f>
        <v>0</v>
      </c>
      <c r="Z18" s="12">
        <f>('TUSD BE'!$AA$18+'TUSD BF'!$AA$18+'TUSD CVA'!$AA$18)*1</f>
        <v>0</v>
      </c>
      <c r="AA18" s="12">
        <f>('TUSD BE'!$AC$18+'TUSD BF'!$AC$18+'TUSD CVA'!$AC$18)*1</f>
        <v>313.82934110104304</v>
      </c>
      <c r="AB18" s="12">
        <f ca="1">('TUSD BE'!$AE$18+'TUSD BF'!$AE$18+'TUSD CVA'!$AE$18)*1</f>
        <v>0</v>
      </c>
      <c r="AC18" s="12">
        <f ca="1">('TUSD BE'!$AF$18+'TUSD BF'!$AF$18+'TUSD CVA'!$AF$18)*1</f>
        <v>0</v>
      </c>
      <c r="AD18" s="12">
        <f>('TUSD BE'!$AH$18+'TUSD BF'!$AH$18+'TUSD CVA'!$AH$18)*1</f>
        <v>29.862706514537237</v>
      </c>
      <c r="AE18" s="12">
        <f>('TUSD BE'!$AI$18+'TUSD BF'!$AI$18+'TUSD CVA'!$AI$18)*1</f>
        <v>0</v>
      </c>
      <c r="AF18" s="12">
        <f ca="1">('TUSD BE'!$AJ$18+'TUSD BF'!$AJ$18+'TUSD CVA'!$AJ$18)*1</f>
        <v>0</v>
      </c>
      <c r="AG18" s="12">
        <f ca="1">('TUSD BE'!$AK$18+'TUSD BF'!$AK$18+'TUSD CVA'!$AK$18)*1</f>
        <v>0</v>
      </c>
      <c r="AI18" s="12">
        <v>0</v>
      </c>
      <c r="AJ18" s="12">
        <v>2.2672043161630899</v>
      </c>
      <c r="AK18" s="12">
        <v>0</v>
      </c>
      <c r="AL18" s="12">
        <v>0</v>
      </c>
      <c r="AM18" s="12">
        <v>0</v>
      </c>
      <c r="AN18" s="12">
        <v>60.054646881040803</v>
      </c>
      <c r="AO18" s="12">
        <v>9.3208359179518592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184.71372145979501</v>
      </c>
      <c r="AV18" s="12">
        <v>0</v>
      </c>
      <c r="AW18" s="12">
        <v>0</v>
      </c>
      <c r="AX18" s="12">
        <v>294.19610521085002</v>
      </c>
      <c r="AY18" s="12">
        <v>0</v>
      </c>
      <c r="AZ18" s="12">
        <v>0</v>
      </c>
      <c r="BA18" s="12">
        <v>34.794247956690299</v>
      </c>
      <c r="BB18" s="12">
        <v>0</v>
      </c>
      <c r="BC18" s="12">
        <v>0</v>
      </c>
      <c r="BD18" s="12">
        <v>0</v>
      </c>
    </row>
    <row r="19" spans="1:56" ht="11.25" customHeight="1" x14ac:dyDescent="0.25">
      <c r="A19" s="102"/>
      <c r="B19" s="102"/>
      <c r="C19" s="102"/>
      <c r="D19" s="102"/>
      <c r="E19" s="102"/>
      <c r="F19" s="102"/>
      <c r="G19" s="17" t="s">
        <v>73</v>
      </c>
      <c r="H19" s="17" t="s">
        <v>71</v>
      </c>
      <c r="I19" s="17">
        <f>'MERCADO TUSD'!$U$16</f>
        <v>0</v>
      </c>
      <c r="J19" s="15"/>
      <c r="L19" s="12">
        <f>('TUSD BE'!$L$19+'TUSD BF'!$L$19+'TUSD CVA'!$L$19)*1</f>
        <v>0</v>
      </c>
      <c r="M19" s="12">
        <f>('TUSD BE'!$M$19+'TUSD BF'!$M$19+'TUSD CVA'!$M$19)*1</f>
        <v>2.3730294380749659</v>
      </c>
      <c r="N19" s="12">
        <f ca="1">('TUSD BE'!$N$19+'TUSD BF'!$N$19+'TUSD CVA'!$N$19)*1</f>
        <v>0</v>
      </c>
      <c r="O19" s="12">
        <f>('TUSD BE'!$O$19+'TUSD BF'!$O$19+'TUSD CVA'!$O$19)*1</f>
        <v>0</v>
      </c>
      <c r="P19" s="12">
        <f>('TUSD BE'!$P$19+'TUSD BF'!$P$19+'TUSD CVA'!$P$19)*1</f>
        <v>0</v>
      </c>
      <c r="Q19" s="12">
        <f>('TUSD BE'!$Q$19+'TUSD BF'!$Q$19+'TUSD CVA'!$Q$19)*1</f>
        <v>87.538203927738948</v>
      </c>
      <c r="R19" s="12">
        <f>('TUSD BE'!$R$19+'TUSD BF'!$R$19+'TUSD CVA'!$R$19)*1</f>
        <v>13.849389397227974</v>
      </c>
      <c r="S19" s="12">
        <f>('TUSD BE'!$S$19+'TUSD BF'!$S$19+'TUSD CVA'!$S$19)*1</f>
        <v>0</v>
      </c>
      <c r="T19" s="12">
        <f>('TUSD BE'!$U$19+'TUSD BF'!$U$19+'TUSD CVA'!$U$19)*1</f>
        <v>0</v>
      </c>
      <c r="U19" s="12">
        <f>('TUSD BE'!$V$19+'TUSD BF'!$V$19+'TUSD CVA'!$V$19)*1</f>
        <v>0</v>
      </c>
      <c r="V19" s="12">
        <f>('TUSD BE'!$W$19+'TUSD BF'!$W$19+'TUSD CVA'!$W$19)*1</f>
        <v>0</v>
      </c>
      <c r="W19" s="12">
        <f>('TUSD BE'!$X$19+'TUSD BF'!$X$19+'TUSD CVA'!$X$19)*1</f>
        <v>0</v>
      </c>
      <c r="X19" s="12">
        <f>('TUSD BE'!$Y$19+'TUSD BF'!$Y$19+'TUSD CVA'!$Y$19)*1</f>
        <v>72.50710578997473</v>
      </c>
      <c r="Y19" s="12">
        <f>('TUSD BE'!$Z$19+'TUSD BF'!$Z$19+'TUSD CVA'!$Z$19)*1</f>
        <v>0</v>
      </c>
      <c r="Z19" s="12">
        <f>('TUSD BE'!$AA$19+'TUSD BF'!$AA$19+'TUSD CVA'!$AA$19)*1</f>
        <v>0</v>
      </c>
      <c r="AA19" s="12">
        <f>('TUSD BE'!$AC$19+'TUSD BF'!$AC$19+'TUSD CVA'!$AC$19)*1</f>
        <v>104.6097247557864</v>
      </c>
      <c r="AB19" s="12">
        <f ca="1">('TUSD BE'!$AE$19+'TUSD BF'!$AE$19+'TUSD CVA'!$AE$19)*1</f>
        <v>0</v>
      </c>
      <c r="AC19" s="12">
        <f ca="1">('TUSD BE'!$AF$19+'TUSD BF'!$AF$19+'TUSD CVA'!$AF$19)*1</f>
        <v>0</v>
      </c>
      <c r="AD19" s="12">
        <f>('TUSD BE'!$AH$19+'TUSD BF'!$AH$19+'TUSD CVA'!$AH$19)*1</f>
        <v>29.862706514537237</v>
      </c>
      <c r="AE19" s="12">
        <f>('TUSD BE'!$AI$19+'TUSD BF'!$AI$19+'TUSD CVA'!$AI$19)*1</f>
        <v>0</v>
      </c>
      <c r="AF19" s="12">
        <f ca="1">('TUSD BE'!$AJ$19+'TUSD BF'!$AJ$19+'TUSD CVA'!$AJ$19)*1</f>
        <v>0</v>
      </c>
      <c r="AG19" s="12">
        <f ca="1">('TUSD BE'!$AK$19+'TUSD BF'!$AK$19+'TUSD CVA'!$AK$19)*1</f>
        <v>0</v>
      </c>
      <c r="AI19" s="12">
        <v>0</v>
      </c>
      <c r="AJ19" s="12">
        <v>2.2672043161630899</v>
      </c>
      <c r="AK19" s="12">
        <v>0</v>
      </c>
      <c r="AL19" s="12">
        <v>0</v>
      </c>
      <c r="AM19" s="12">
        <v>0</v>
      </c>
      <c r="AN19" s="12">
        <v>60.054646881040803</v>
      </c>
      <c r="AO19" s="12">
        <v>9.3208359179518592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61.533540221898697</v>
      </c>
      <c r="AV19" s="12">
        <v>0</v>
      </c>
      <c r="AW19" s="12">
        <v>0</v>
      </c>
      <c r="AX19" s="12">
        <v>98.065278840027105</v>
      </c>
      <c r="AY19" s="12">
        <v>0</v>
      </c>
      <c r="AZ19" s="12">
        <v>0</v>
      </c>
      <c r="BA19" s="12">
        <v>34.794247956690299</v>
      </c>
      <c r="BB19" s="12">
        <v>0</v>
      </c>
      <c r="BC19" s="12">
        <v>0</v>
      </c>
      <c r="BD19" s="12">
        <v>0</v>
      </c>
    </row>
    <row r="20" spans="1:56" ht="11.25" customHeight="1" x14ac:dyDescent="0.25">
      <c r="A20" s="102"/>
      <c r="B20" s="102" t="s">
        <v>23</v>
      </c>
      <c r="C20" s="102" t="s">
        <v>24</v>
      </c>
      <c r="D20" s="18" t="s">
        <v>24</v>
      </c>
      <c r="E20" s="18" t="s">
        <v>25</v>
      </c>
      <c r="F20" s="18" t="s">
        <v>25</v>
      </c>
      <c r="G20" s="17" t="s">
        <v>77</v>
      </c>
      <c r="H20" s="17" t="s">
        <v>71</v>
      </c>
      <c r="I20" s="17">
        <f>'MERCADO TUSD'!$U$17</f>
        <v>13817.398000000001</v>
      </c>
      <c r="J20" s="15"/>
      <c r="L20" s="12">
        <f>('TUSD BE'!$L$20+'TUSD BF'!$L$20+'TUSD CVA'!$L$20)*1</f>
        <v>0</v>
      </c>
      <c r="M20" s="12">
        <f>('TUSD BE'!$M$20+'TUSD BF'!$M$20+'TUSD CVA'!$M$20)*1</f>
        <v>2.3730294380749659</v>
      </c>
      <c r="N20" s="12">
        <f ca="1">('TUSD BE'!$N$20+'TUSD BF'!$N$20+'TUSD CVA'!$N$20)*1</f>
        <v>0</v>
      </c>
      <c r="O20" s="12">
        <f>('TUSD BE'!$O$20+'TUSD BF'!$O$20+'TUSD CVA'!$O$20)*1</f>
        <v>0</v>
      </c>
      <c r="P20" s="12">
        <f>('TUSD BE'!$P$20+'TUSD BF'!$P$20+'TUSD CVA'!$P$20)*1</f>
        <v>0</v>
      </c>
      <c r="Q20" s="12">
        <f>('TUSD BE'!$Q$20+'TUSD BF'!$Q$20+'TUSD CVA'!$Q$20)*1</f>
        <v>87.538203927738948</v>
      </c>
      <c r="R20" s="12">
        <f>('TUSD BE'!$R$20+'TUSD BF'!$R$20+'TUSD CVA'!$R$20)*1</f>
        <v>13.849389397227974</v>
      </c>
      <c r="S20" s="12">
        <f>('TUSD BE'!$S$20+'TUSD BF'!$S$20+'TUSD CVA'!$S$20)*1</f>
        <v>0</v>
      </c>
      <c r="T20" s="12">
        <f>('TUSD BE'!$U$20+'TUSD BF'!$U$20+'TUSD CVA'!$U$20)*1</f>
        <v>0</v>
      </c>
      <c r="U20" s="12">
        <f>('TUSD BE'!$V$20+'TUSD BF'!$V$20+'TUSD CVA'!$V$20)*1</f>
        <v>0</v>
      </c>
      <c r="V20" s="12">
        <f>('TUSD BE'!$W$20+'TUSD BF'!$W$20+'TUSD CVA'!$W$20)*1</f>
        <v>0</v>
      </c>
      <c r="W20" s="12">
        <f>('TUSD BE'!$X$20+'TUSD BF'!$X$20+'TUSD CVA'!$X$20)*1</f>
        <v>0</v>
      </c>
      <c r="X20" s="12">
        <f>('TUSD BE'!$Y$20+'TUSD BF'!$Y$20+'TUSD CVA'!$Y$20)*1</f>
        <v>145.01421157994946</v>
      </c>
      <c r="Y20" s="12">
        <f>('TUSD BE'!$Z$20+'TUSD BF'!$Z$20+'TUSD CVA'!$Z$20)*1</f>
        <v>0</v>
      </c>
      <c r="Z20" s="12">
        <f>('TUSD BE'!$AA$20+'TUSD BF'!$AA$20+'TUSD CVA'!$AA$20)*1</f>
        <v>0</v>
      </c>
      <c r="AA20" s="12">
        <f>('TUSD BE'!$AC$20+'TUSD BF'!$AC$20+'TUSD CVA'!$AC$20)*1</f>
        <v>209.2194495115728</v>
      </c>
      <c r="AB20" s="12">
        <f ca="1">('TUSD BE'!$AE$20+'TUSD BF'!$AE$20+'TUSD CVA'!$AE$20)*1</f>
        <v>0</v>
      </c>
      <c r="AC20" s="12">
        <f ca="1">('TUSD BE'!$AF$20+'TUSD BF'!$AF$20+'TUSD CVA'!$AF$20)*1</f>
        <v>0</v>
      </c>
      <c r="AD20" s="12">
        <f>('TUSD BE'!$AH$20+'TUSD BF'!$AH$20+'TUSD CVA'!$AH$20)*1</f>
        <v>29.862706514537237</v>
      </c>
      <c r="AE20" s="12">
        <f>('TUSD BE'!$AI$20+'TUSD BF'!$AI$20+'TUSD CVA'!$AI$20)*1</f>
        <v>0</v>
      </c>
      <c r="AF20" s="12">
        <f ca="1">('TUSD BE'!$AJ$20+'TUSD BF'!$AJ$20+'TUSD CVA'!$AJ$20)*1</f>
        <v>0</v>
      </c>
      <c r="AG20" s="12">
        <f ca="1">('TUSD BE'!$AK$20+'TUSD BF'!$AK$20+'TUSD CVA'!$AK$20)*1</f>
        <v>0</v>
      </c>
      <c r="AI20" s="12">
        <v>0</v>
      </c>
      <c r="AJ20" s="12">
        <v>2.2672043161630899</v>
      </c>
      <c r="AK20" s="12">
        <v>0</v>
      </c>
      <c r="AL20" s="12">
        <v>0</v>
      </c>
      <c r="AM20" s="12">
        <v>0</v>
      </c>
      <c r="AN20" s="12">
        <v>60.054646881040803</v>
      </c>
      <c r="AO20" s="12">
        <v>9.3208359179518592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123.18018123789599</v>
      </c>
      <c r="AV20" s="12">
        <v>0</v>
      </c>
      <c r="AW20" s="12">
        <v>0</v>
      </c>
      <c r="AX20" s="12">
        <v>196.13069202543801</v>
      </c>
      <c r="AY20" s="12">
        <v>0</v>
      </c>
      <c r="AZ20" s="12">
        <v>0</v>
      </c>
      <c r="BA20" s="12">
        <v>34.794247956690299</v>
      </c>
      <c r="BB20" s="12">
        <v>0</v>
      </c>
      <c r="BC20" s="12">
        <v>0</v>
      </c>
      <c r="BD20" s="12">
        <v>0</v>
      </c>
    </row>
    <row r="21" spans="1:56" ht="11.25" customHeight="1" x14ac:dyDescent="0.25">
      <c r="A21" s="102"/>
      <c r="B21" s="102"/>
      <c r="C21" s="102"/>
      <c r="D21" s="18" t="s">
        <v>29</v>
      </c>
      <c r="E21" s="18" t="s">
        <v>25</v>
      </c>
      <c r="F21" s="18" t="s">
        <v>25</v>
      </c>
      <c r="G21" s="17" t="s">
        <v>77</v>
      </c>
      <c r="H21" s="17" t="s">
        <v>71</v>
      </c>
      <c r="I21" s="17">
        <f>'MERCADO TUSD'!$U$18</f>
        <v>152.22200000000001</v>
      </c>
      <c r="J21" s="15"/>
      <c r="L21" s="12">
        <f>('TUSD BE'!$L$21+'TUSD BF'!$L$21+'TUSD CVA'!$L$21)*(1 - 0.65)</f>
        <v>0</v>
      </c>
      <c r="M21" s="12">
        <f>('TUSD BE'!$M$21+'TUSD BF'!$M$21+'TUSD CVA'!$M$21)*(1 - 0.65)</f>
        <v>0.83056030332623798</v>
      </c>
      <c r="N21" s="12">
        <f ca="1">('TUSD BE'!$N$21+'TUSD BF'!$N$21+'TUSD CVA'!$N$21)*(1 - 0.65)</f>
        <v>0</v>
      </c>
      <c r="O21" s="12">
        <f>('TUSD BE'!$O$21+'TUSD BF'!$O$21+'TUSD CVA'!$O$21)*(1 - 0.65)</f>
        <v>0</v>
      </c>
      <c r="P21" s="12">
        <v>0</v>
      </c>
      <c r="Q21" s="12">
        <f>('TUSD BE'!$Q$21+'TUSD BF'!$Q$21+'TUSD CVA'!$Q$21)*(1 - 0.65)</f>
        <v>0</v>
      </c>
      <c r="R21" s="12">
        <v>0</v>
      </c>
      <c r="S21" s="12">
        <f>('TUSD BE'!$S$21+'TUSD BF'!$S$21+'TUSD CVA'!$S$21)*(1 - 0.65)</f>
        <v>0</v>
      </c>
      <c r="T21" s="12">
        <f>('TUSD BE'!$U$21+'TUSD BF'!$U$21+'TUSD CVA'!$U$21)*(1 - 0.65)</f>
        <v>0</v>
      </c>
      <c r="U21" s="12">
        <f>('TUSD BE'!$V$21+'TUSD BF'!$V$21+'TUSD CVA'!$V$21)*(1 - 0.65)</f>
        <v>0</v>
      </c>
      <c r="V21" s="12">
        <f>('TUSD BE'!$W$21+'TUSD BF'!$W$21+'TUSD CVA'!$W$21)*(1 - 0.65)</f>
        <v>0</v>
      </c>
      <c r="W21" s="12">
        <f>('TUSD BE'!$X$21+'TUSD BF'!$X$21+'TUSD CVA'!$X$21)*(1 - 0.65)</f>
        <v>0</v>
      </c>
      <c r="X21" s="12">
        <f>('TUSD BE'!$Y$21+'TUSD BF'!$Y$21+'TUSD CVA'!$Y$21)*(1 - 0.65)</f>
        <v>50.754974052982305</v>
      </c>
      <c r="Y21" s="12">
        <f>('TUSD BE'!$Z$21+'TUSD BF'!$Z$21+'TUSD CVA'!$Z$21)*(1 - 0.65)</f>
        <v>0</v>
      </c>
      <c r="Z21" s="12">
        <f>('TUSD BE'!$AA$21+'TUSD BF'!$AA$21+'TUSD CVA'!$AA$21)*(1 - 0.65)</f>
        <v>0</v>
      </c>
      <c r="AA21" s="12">
        <f>('TUSD BE'!$AC$21+'TUSD BF'!$AC$21+'TUSD CVA'!$AC$21)*(1 - 0.65)</f>
        <v>73.226807329050473</v>
      </c>
      <c r="AB21" s="12">
        <f ca="1">('TUSD BE'!$AE$21+'TUSD BF'!$AE$21+'TUSD CVA'!$AE$21)*(1 - 0.65)</f>
        <v>0</v>
      </c>
      <c r="AC21" s="12">
        <f ca="1">('TUSD BE'!$AF$21+'TUSD BF'!$AF$21+'TUSD CVA'!$AF$21)*(1 - 0.65)</f>
        <v>0</v>
      </c>
      <c r="AD21" s="12">
        <f>('TUSD BE'!$AH$21+'TUSD BF'!$AH$21+'TUSD CVA'!$AH$21)*(1 - 0.65)</f>
        <v>10.451947280088032</v>
      </c>
      <c r="AE21" s="12">
        <f>('TUSD BE'!$AI$21+'TUSD BF'!$AI$21+'TUSD CVA'!$AI$21)*(1 - 0.65)</f>
        <v>0</v>
      </c>
      <c r="AF21" s="12">
        <f ca="1">('TUSD BE'!$AJ$21+'TUSD BF'!$AJ$21+'TUSD CVA'!$AJ$21)*(1 - 0.65)</f>
        <v>0</v>
      </c>
      <c r="AG21" s="12">
        <f ca="1">('TUSD BE'!$AK$21+'TUSD BF'!$AK$21+'TUSD CVA'!$AK$21)*(1 - 0.65)</f>
        <v>0</v>
      </c>
      <c r="AI21" s="12">
        <v>0</v>
      </c>
      <c r="AJ21" s="12">
        <v>0.79352151065708099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43.113063433263697</v>
      </c>
      <c r="AV21" s="12">
        <v>0</v>
      </c>
      <c r="AW21" s="12">
        <v>0</v>
      </c>
      <c r="AX21" s="12">
        <v>68.6457422089034</v>
      </c>
      <c r="AY21" s="12">
        <v>0</v>
      </c>
      <c r="AZ21" s="12">
        <v>0</v>
      </c>
      <c r="BA21" s="12">
        <v>12.1779867848416</v>
      </c>
      <c r="BB21" s="12">
        <v>0</v>
      </c>
      <c r="BC21" s="12">
        <v>0</v>
      </c>
      <c r="BD21" s="12">
        <v>0</v>
      </c>
    </row>
    <row r="22" spans="1:56" ht="11.25" customHeight="1" x14ac:dyDescent="0.25">
      <c r="A22" s="102"/>
      <c r="B22" s="102"/>
      <c r="C22" s="102"/>
      <c r="D22" s="18" t="s">
        <v>30</v>
      </c>
      <c r="E22" s="18" t="s">
        <v>25</v>
      </c>
      <c r="F22" s="18" t="s">
        <v>25</v>
      </c>
      <c r="G22" s="17" t="s">
        <v>77</v>
      </c>
      <c r="H22" s="17" t="s">
        <v>71</v>
      </c>
      <c r="I22" s="17">
        <f>'MERCADO TUSD'!$U$19</f>
        <v>271.62199999999996</v>
      </c>
      <c r="J22" s="15"/>
      <c r="L22" s="12">
        <f>('TUSD BE'!$L$22+'TUSD BF'!$L$22+'TUSD CVA'!$L$22)*(1 - 0.4)</f>
        <v>0</v>
      </c>
      <c r="M22" s="12">
        <f>('TUSD BE'!$M$22+'TUSD BF'!$M$22+'TUSD CVA'!$M$22)*(1 - 0.4)</f>
        <v>1.4238176628449795</v>
      </c>
      <c r="N22" s="12">
        <f ca="1">('TUSD BE'!$N$22+'TUSD BF'!$N$22+'TUSD CVA'!$N$22)*(1 - 0.4)</f>
        <v>0</v>
      </c>
      <c r="O22" s="12">
        <f>('TUSD BE'!$O$22+'TUSD BF'!$O$22+'TUSD CVA'!$O$22)*(1 - 0.4)</f>
        <v>0</v>
      </c>
      <c r="P22" s="12">
        <v>0</v>
      </c>
      <c r="Q22" s="12">
        <f>('TUSD BE'!$Q$22+'TUSD BF'!$Q$22+'TUSD CVA'!$Q$22)*(1 - 0.4)</f>
        <v>0</v>
      </c>
      <c r="R22" s="12">
        <v>0</v>
      </c>
      <c r="S22" s="12">
        <f>('TUSD BE'!$S$22+'TUSD BF'!$S$22+'TUSD CVA'!$S$22)*(1 - 0.4)</f>
        <v>0</v>
      </c>
      <c r="T22" s="12">
        <f>('TUSD BE'!$U$22+'TUSD BF'!$U$22+'TUSD CVA'!$U$22)*(1 - 0.4)</f>
        <v>0</v>
      </c>
      <c r="U22" s="12">
        <f>('TUSD BE'!$V$22+'TUSD BF'!$V$22+'TUSD CVA'!$V$22)*(1 - 0.4)</f>
        <v>0</v>
      </c>
      <c r="V22" s="12">
        <f>('TUSD BE'!$W$22+'TUSD BF'!$W$22+'TUSD CVA'!$W$22)*(1 - 0.4)</f>
        <v>0</v>
      </c>
      <c r="W22" s="12">
        <f>('TUSD BE'!$X$22+'TUSD BF'!$X$22+'TUSD CVA'!$X$22)*(1 - 0.4)</f>
        <v>0</v>
      </c>
      <c r="X22" s="12">
        <f>('TUSD BE'!$Y$22+'TUSD BF'!$Y$22+'TUSD CVA'!$Y$22)*(1 - 0.4)</f>
        <v>87.008526947969671</v>
      </c>
      <c r="Y22" s="12">
        <f>('TUSD BE'!$Z$22+'TUSD BF'!$Z$22+'TUSD CVA'!$Z$22)*(1 - 0.4)</f>
        <v>0</v>
      </c>
      <c r="Z22" s="12">
        <f>('TUSD BE'!$AA$22+'TUSD BF'!$AA$22+'TUSD CVA'!$AA$22)*(1 - 0.4)</f>
        <v>0</v>
      </c>
      <c r="AA22" s="12">
        <f>('TUSD BE'!$AC$22+'TUSD BF'!$AC$22+'TUSD CVA'!$AC$22)*(1 - 0.4)</f>
        <v>125.53166970694367</v>
      </c>
      <c r="AB22" s="12">
        <f ca="1">('TUSD BE'!$AE$22+'TUSD BF'!$AE$22+'TUSD CVA'!$AE$22)*(1 - 0.4)</f>
        <v>0</v>
      </c>
      <c r="AC22" s="12">
        <f ca="1">('TUSD BE'!$AF$22+'TUSD BF'!$AF$22+'TUSD CVA'!$AF$22)*(1 - 0.4)</f>
        <v>0</v>
      </c>
      <c r="AD22" s="12">
        <f>('TUSD BE'!$AH$22+'TUSD BF'!$AH$22+'TUSD CVA'!$AH$22)*(1 - 0.4)</f>
        <v>17.917623908722341</v>
      </c>
      <c r="AE22" s="12">
        <f>('TUSD BE'!$AI$22+'TUSD BF'!$AI$22+'TUSD CVA'!$AI$22)*(1 - 0.4)</f>
        <v>0</v>
      </c>
      <c r="AF22" s="12">
        <f ca="1">('TUSD BE'!$AJ$22+'TUSD BF'!$AJ$22+'TUSD CVA'!$AJ$22)*(1 - 0.4)</f>
        <v>0</v>
      </c>
      <c r="AG22" s="12">
        <f ca="1">('TUSD BE'!$AK$22+'TUSD BF'!$AK$22+'TUSD CVA'!$AK$22)*(1 - 0.4)</f>
        <v>0</v>
      </c>
      <c r="AI22" s="12">
        <v>0</v>
      </c>
      <c r="AJ22" s="12">
        <v>1.3603225896978499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73.908108742737696</v>
      </c>
      <c r="AV22" s="12">
        <v>0</v>
      </c>
      <c r="AW22" s="12">
        <v>0</v>
      </c>
      <c r="AX22" s="12">
        <v>117.678415215263</v>
      </c>
      <c r="AY22" s="12">
        <v>0</v>
      </c>
      <c r="AZ22" s="12">
        <v>0</v>
      </c>
      <c r="BA22" s="12">
        <v>20.8765487740142</v>
      </c>
      <c r="BB22" s="12">
        <v>0</v>
      </c>
      <c r="BC22" s="12">
        <v>0</v>
      </c>
      <c r="BD22" s="12">
        <v>0</v>
      </c>
    </row>
    <row r="23" spans="1:56" ht="11.25" customHeight="1" x14ac:dyDescent="0.25">
      <c r="A23" s="102"/>
      <c r="B23" s="102"/>
      <c r="C23" s="102"/>
      <c r="D23" s="18" t="s">
        <v>31</v>
      </c>
      <c r="E23" s="18" t="s">
        <v>25</v>
      </c>
      <c r="F23" s="18" t="s">
        <v>25</v>
      </c>
      <c r="G23" s="17" t="s">
        <v>77</v>
      </c>
      <c r="H23" s="17" t="s">
        <v>71</v>
      </c>
      <c r="I23" s="17">
        <f>'MERCADO TUSD'!$U$20</f>
        <v>195.72200000000001</v>
      </c>
      <c r="J23" s="15"/>
      <c r="L23" s="12">
        <f>('TUSD BE'!$L$23+'TUSD BF'!$L$23+'TUSD CVA'!$L$23)*(1 - 0.1)</f>
        <v>0</v>
      </c>
      <c r="M23" s="12">
        <f>('TUSD BE'!$M$23+'TUSD BF'!$M$23+'TUSD CVA'!$M$23)*(1 - 0.1)</f>
        <v>2.1357264942674692</v>
      </c>
      <c r="N23" s="12">
        <f ca="1">('TUSD BE'!$N$23+'TUSD BF'!$N$23+'TUSD CVA'!$N$23)*(1 - 0.1)</f>
        <v>0</v>
      </c>
      <c r="O23" s="12">
        <f>('TUSD BE'!$O$23+'TUSD BF'!$O$23+'TUSD CVA'!$O$23)*(1 - 0.1)</f>
        <v>0</v>
      </c>
      <c r="P23" s="12">
        <v>0</v>
      </c>
      <c r="Q23" s="12">
        <f>('TUSD BE'!$Q$23+'TUSD BF'!$Q$23+'TUSD CVA'!$Q$23)*(1 - 0.1)</f>
        <v>0</v>
      </c>
      <c r="R23" s="12">
        <v>0</v>
      </c>
      <c r="S23" s="12">
        <f>('TUSD BE'!$S$23+'TUSD BF'!$S$23+'TUSD CVA'!$S$23)*(1 - 0.1)</f>
        <v>0</v>
      </c>
      <c r="T23" s="12">
        <f>('TUSD BE'!$U$23+'TUSD BF'!$U$23+'TUSD CVA'!$U$23)*(1 - 0.1)</f>
        <v>0</v>
      </c>
      <c r="U23" s="12">
        <f>('TUSD BE'!$V$23+'TUSD BF'!$V$23+'TUSD CVA'!$V$23)*(1 - 0.1)</f>
        <v>0</v>
      </c>
      <c r="V23" s="12">
        <f>('TUSD BE'!$W$23+'TUSD BF'!$W$23+'TUSD CVA'!$W$23)*(1 - 0.1)</f>
        <v>0</v>
      </c>
      <c r="W23" s="12">
        <f>('TUSD BE'!$X$23+'TUSD BF'!$X$23+'TUSD CVA'!$X$23)*(1 - 0.1)</f>
        <v>0</v>
      </c>
      <c r="X23" s="12">
        <f>('TUSD BE'!$Y$23+'TUSD BF'!$Y$23+'TUSD CVA'!$Y$23)*(1 - 0.1)</f>
        <v>130.51279042195452</v>
      </c>
      <c r="Y23" s="12">
        <f>('TUSD BE'!$Z$23+'TUSD BF'!$Z$23+'TUSD CVA'!$Z$23)*(1 - 0.1)</f>
        <v>0</v>
      </c>
      <c r="Z23" s="12">
        <f>('TUSD BE'!$AA$23+'TUSD BF'!$AA$23+'TUSD CVA'!$AA$23)*(1 - 0.1)</f>
        <v>0</v>
      </c>
      <c r="AA23" s="12">
        <f>('TUSD BE'!$AC$23+'TUSD BF'!$AC$23+'TUSD CVA'!$AC$23)*(1 - 0.1)</f>
        <v>188.29750456041552</v>
      </c>
      <c r="AB23" s="12">
        <f ca="1">('TUSD BE'!$AE$23+'TUSD BF'!$AE$23+'TUSD CVA'!$AE$23)*(1 - 0.1)</f>
        <v>0</v>
      </c>
      <c r="AC23" s="12">
        <f ca="1">('TUSD BE'!$AF$23+'TUSD BF'!$AF$23+'TUSD CVA'!$AF$23)*(1 - 0.1)</f>
        <v>0</v>
      </c>
      <c r="AD23" s="12">
        <f>('TUSD BE'!$AH$23+'TUSD BF'!$AH$23+'TUSD CVA'!$AH$23)*(1 - 0.1)</f>
        <v>26.876435863083515</v>
      </c>
      <c r="AE23" s="12">
        <f>('TUSD BE'!$AI$23+'TUSD BF'!$AI$23+'TUSD CVA'!$AI$23)*(1 - 0.1)</f>
        <v>0</v>
      </c>
      <c r="AF23" s="12">
        <f ca="1">('TUSD BE'!$AJ$23+'TUSD BF'!$AJ$23+'TUSD CVA'!$AJ$23)*(1 - 0.1)</f>
        <v>0</v>
      </c>
      <c r="AG23" s="12">
        <f ca="1">('TUSD BE'!$AK$23+'TUSD BF'!$AK$23+'TUSD CVA'!$AK$23)*(1 - 0.1)</f>
        <v>0</v>
      </c>
      <c r="AI23" s="12">
        <v>0</v>
      </c>
      <c r="AJ23" s="12">
        <v>2.0404838845467799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110.86216311410701</v>
      </c>
      <c r="AV23" s="12">
        <v>0</v>
      </c>
      <c r="AW23" s="12">
        <v>0</v>
      </c>
      <c r="AX23" s="12">
        <v>176.51762282289499</v>
      </c>
      <c r="AY23" s="12">
        <v>0</v>
      </c>
      <c r="AZ23" s="12">
        <v>0</v>
      </c>
      <c r="BA23" s="12">
        <v>31.314823161021302</v>
      </c>
      <c r="BB23" s="12">
        <v>0</v>
      </c>
      <c r="BC23" s="12">
        <v>0</v>
      </c>
      <c r="BD23" s="12">
        <v>0</v>
      </c>
    </row>
    <row r="24" spans="1:56" ht="11.25" customHeight="1" x14ac:dyDescent="0.25">
      <c r="A24" s="102"/>
      <c r="B24" s="102"/>
      <c r="C24" s="102"/>
      <c r="D24" s="18" t="s">
        <v>32</v>
      </c>
      <c r="E24" s="18" t="s">
        <v>25</v>
      </c>
      <c r="F24" s="18" t="s">
        <v>25</v>
      </c>
      <c r="G24" s="17" t="s">
        <v>77</v>
      </c>
      <c r="H24" s="17" t="s">
        <v>71</v>
      </c>
      <c r="I24" s="17">
        <f>'MERCADO TUSD'!$U$21</f>
        <v>56.320999999999998</v>
      </c>
      <c r="J24" s="15"/>
      <c r="L24" s="12">
        <f>('TUSD BE'!$L$24+'TUSD BF'!$L$24+'TUSD CVA'!$L$24)*1</f>
        <v>0</v>
      </c>
      <c r="M24" s="12">
        <f>('TUSD BE'!$M$24+'TUSD BF'!$M$24+'TUSD CVA'!$M$24)*1</f>
        <v>2.3730294380749659</v>
      </c>
      <c r="N24" s="12">
        <f ca="1">('TUSD BE'!$N$24+'TUSD BF'!$N$24+'TUSD CVA'!$N$24)*1</f>
        <v>0</v>
      </c>
      <c r="O24" s="12">
        <f>('TUSD BE'!$O$24+'TUSD BF'!$O$24+'TUSD CVA'!$O$24)*1</f>
        <v>0</v>
      </c>
      <c r="P24" s="12">
        <v>0</v>
      </c>
      <c r="Q24" s="12">
        <f>('TUSD BE'!$Q$24+'TUSD BF'!$Q$24+'TUSD CVA'!$Q$24)*1</f>
        <v>0</v>
      </c>
      <c r="R24" s="12">
        <v>0</v>
      </c>
      <c r="S24" s="12">
        <f>('TUSD BE'!$S$24+'TUSD BF'!$S$24+'TUSD CVA'!$S$24)*1</f>
        <v>0</v>
      </c>
      <c r="T24" s="12">
        <f>('TUSD BE'!$U$24+'TUSD BF'!$U$24+'TUSD CVA'!$U$24)*1</f>
        <v>0</v>
      </c>
      <c r="U24" s="12">
        <f>('TUSD BE'!$V$24+'TUSD BF'!$V$24+'TUSD CVA'!$V$24)*1</f>
        <v>0</v>
      </c>
      <c r="V24" s="12">
        <f>('TUSD BE'!$W$24+'TUSD BF'!$W$24+'TUSD CVA'!$W$24)*1</f>
        <v>0</v>
      </c>
      <c r="W24" s="12">
        <f>('TUSD BE'!$X$24+'TUSD BF'!$X$24+'TUSD CVA'!$X$24)*1</f>
        <v>0</v>
      </c>
      <c r="X24" s="12">
        <f>('TUSD BE'!$Y$24+'TUSD BF'!$Y$24+'TUSD CVA'!$Y$24)*1</f>
        <v>145.01421157994946</v>
      </c>
      <c r="Y24" s="12">
        <f>('TUSD BE'!$Z$24+'TUSD BF'!$Z$24+'TUSD CVA'!$Z$24)*1</f>
        <v>0</v>
      </c>
      <c r="Z24" s="12">
        <f>('TUSD BE'!$AA$24+'TUSD BF'!$AA$24+'TUSD CVA'!$AA$24)*1</f>
        <v>0</v>
      </c>
      <c r="AA24" s="12">
        <f>('TUSD BE'!$AC$24+'TUSD BF'!$AC$24+'TUSD CVA'!$AC$24)*1</f>
        <v>209.2194495115728</v>
      </c>
      <c r="AB24" s="12">
        <f ca="1">('TUSD BE'!$AE$24+'TUSD BF'!$AE$24+'TUSD CVA'!$AE$24)*1</f>
        <v>0</v>
      </c>
      <c r="AC24" s="12">
        <f ca="1">('TUSD BE'!$AF$24+'TUSD BF'!$AF$24+'TUSD CVA'!$AF$24)*1</f>
        <v>0</v>
      </c>
      <c r="AD24" s="12">
        <f>('TUSD BE'!$AH$24+'TUSD BF'!$AH$24+'TUSD CVA'!$AH$24)*1</f>
        <v>29.862706514537237</v>
      </c>
      <c r="AE24" s="12">
        <f>('TUSD BE'!$AI$24+'TUSD BF'!$AI$24+'TUSD CVA'!$AI$24)*1</f>
        <v>0</v>
      </c>
      <c r="AF24" s="12">
        <f ca="1">('TUSD BE'!$AJ$24+'TUSD BF'!$AJ$24+'TUSD CVA'!$AJ$24)*1</f>
        <v>0</v>
      </c>
      <c r="AG24" s="12">
        <f ca="1">('TUSD BE'!$AK$24+'TUSD BF'!$AK$24+'TUSD CVA'!$AK$24)*1</f>
        <v>0</v>
      </c>
      <c r="AI24" s="12">
        <v>0</v>
      </c>
      <c r="AJ24" s="12">
        <v>2.2672043161630899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123.18018123789599</v>
      </c>
      <c r="AV24" s="12">
        <v>0</v>
      </c>
      <c r="AW24" s="12">
        <v>0</v>
      </c>
      <c r="AX24" s="12">
        <v>196.13069202543801</v>
      </c>
      <c r="AY24" s="12">
        <v>0</v>
      </c>
      <c r="AZ24" s="12">
        <v>0</v>
      </c>
      <c r="BA24" s="12">
        <v>34.794247956690299</v>
      </c>
      <c r="BB24" s="12">
        <v>0</v>
      </c>
      <c r="BC24" s="12">
        <v>0</v>
      </c>
      <c r="BD24" s="12">
        <v>0</v>
      </c>
    </row>
    <row r="25" spans="1:56" ht="11.25" customHeight="1" x14ac:dyDescent="0.25">
      <c r="A25" s="102"/>
      <c r="B25" s="102" t="s">
        <v>87</v>
      </c>
      <c r="C25" s="102" t="s">
        <v>24</v>
      </c>
      <c r="D25" s="18" t="s">
        <v>24</v>
      </c>
      <c r="E25" s="18" t="s">
        <v>25</v>
      </c>
      <c r="F25" s="18" t="s">
        <v>25</v>
      </c>
      <c r="G25" s="17" t="s">
        <v>77</v>
      </c>
      <c r="H25" s="17" t="s">
        <v>71</v>
      </c>
      <c r="I25" s="17">
        <f>'MERCADO TUSD'!$U$22</f>
        <v>0</v>
      </c>
      <c r="J25" s="15"/>
      <c r="L25" s="12">
        <f>('TUSD BE'!$L$25+'TUSD BF'!$L$25+'TUSD CVA'!$L$25)*1</f>
        <v>0</v>
      </c>
      <c r="M25" s="12">
        <f>('TUSD BE'!$M$25+'TUSD BF'!$M$25+'TUSD CVA'!$M$25)*1</f>
        <v>2.3730294380749659</v>
      </c>
      <c r="N25" s="12">
        <f ca="1">('TUSD BE'!$N$25+'TUSD BF'!$N$25+'TUSD CVA'!$N$25)*1</f>
        <v>0</v>
      </c>
      <c r="O25" s="12">
        <f>('TUSD BE'!$O$25+'TUSD BF'!$O$25+'TUSD CVA'!$O$25)*1</f>
        <v>0</v>
      </c>
      <c r="P25" s="12">
        <f>('TUSD BE'!$P$25+'TUSD BF'!$P$25+'TUSD CVA'!$P$25)*1</f>
        <v>0</v>
      </c>
      <c r="Q25" s="12">
        <f>('TUSD BE'!$Q$25+'TUSD BF'!$Q$25+'TUSD CVA'!$Q$25)*1</f>
        <v>87.538203927738948</v>
      </c>
      <c r="R25" s="12">
        <f>('TUSD BE'!$R$25+'TUSD BF'!$R$25+'TUSD CVA'!$R$25)*1</f>
        <v>13.849389397227974</v>
      </c>
      <c r="S25" s="12">
        <f>('TUSD BE'!$S$25+'TUSD BF'!$S$25+'TUSD CVA'!$S$25)*1</f>
        <v>0</v>
      </c>
      <c r="T25" s="12">
        <f>('TUSD BE'!$U$25+'TUSD BF'!$U$25+'TUSD CVA'!$U$25)*1</f>
        <v>0</v>
      </c>
      <c r="U25" s="12">
        <f>('TUSD BE'!$V$25+'TUSD BF'!$V$25+'TUSD CVA'!$V$25)*1</f>
        <v>0</v>
      </c>
      <c r="V25" s="12">
        <f>('TUSD BE'!$W$25+'TUSD BF'!$W$25+'TUSD CVA'!$W$25)*1</f>
        <v>0</v>
      </c>
      <c r="W25" s="12">
        <f>('TUSD BE'!$X$25+'TUSD BF'!$X$25+'TUSD CVA'!$X$25)*1</f>
        <v>0</v>
      </c>
      <c r="X25" s="12">
        <f>('TUSD BE'!$Y$25+'TUSD BF'!$Y$25+'TUSD CVA'!$Y$25)*1</f>
        <v>145.01421157994946</v>
      </c>
      <c r="Y25" s="12">
        <f>('TUSD BE'!$Z$25+'TUSD BF'!$Z$25+'TUSD CVA'!$Z$25)*1</f>
        <v>0</v>
      </c>
      <c r="Z25" s="12">
        <f>('TUSD BE'!$AA$25+'TUSD BF'!$AA$25+'TUSD CVA'!$AA$25)*1</f>
        <v>0</v>
      </c>
      <c r="AA25" s="12">
        <f>('TUSD BE'!$AC$25+'TUSD BF'!$AC$25+'TUSD CVA'!$AC$25)*1</f>
        <v>209.2194495115728</v>
      </c>
      <c r="AB25" s="12">
        <f ca="1">('TUSD BE'!$AE$25+'TUSD BF'!$AE$25+'TUSD CVA'!$AE$25)*1</f>
        <v>0</v>
      </c>
      <c r="AC25" s="12">
        <f ca="1">('TUSD BE'!$AF$25+'TUSD BF'!$AF$25+'TUSD CVA'!$AF$25)*1</f>
        <v>0</v>
      </c>
      <c r="AD25" s="12">
        <f>('TUSD BE'!$AH$25+'TUSD BF'!$AH$25+'TUSD CVA'!$AH$25)*1</f>
        <v>29.862706514537237</v>
      </c>
      <c r="AE25" s="12">
        <f>('TUSD BE'!$AI$25+'TUSD BF'!$AI$25+'TUSD CVA'!$AI$25)*1</f>
        <v>0</v>
      </c>
      <c r="AF25" s="12">
        <f ca="1">('TUSD BE'!$AJ$25+'TUSD BF'!$AJ$25+'TUSD CVA'!$AJ$25)*1</f>
        <v>0</v>
      </c>
      <c r="AG25" s="12">
        <f ca="1">('TUSD BE'!$AK$25+'TUSD BF'!$AK$25+'TUSD CVA'!$AK$25)*1</f>
        <v>0</v>
      </c>
      <c r="AI25" s="12">
        <v>0</v>
      </c>
      <c r="AJ25" s="12">
        <v>2.2672043161630899</v>
      </c>
      <c r="AK25" s="12">
        <v>0</v>
      </c>
      <c r="AL25" s="12">
        <v>0</v>
      </c>
      <c r="AM25" s="12">
        <v>0</v>
      </c>
      <c r="AN25" s="12">
        <v>60.054646881040803</v>
      </c>
      <c r="AO25" s="12">
        <v>9.3208359179518592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123.18018123789599</v>
      </c>
      <c r="AV25" s="12">
        <v>0</v>
      </c>
      <c r="AW25" s="12">
        <v>0</v>
      </c>
      <c r="AX25" s="12">
        <v>196.13069202543801</v>
      </c>
      <c r="AY25" s="12">
        <v>0</v>
      </c>
      <c r="AZ25" s="12">
        <v>0</v>
      </c>
      <c r="BA25" s="12">
        <v>34.794247956690299</v>
      </c>
      <c r="BB25" s="12">
        <v>0</v>
      </c>
      <c r="BC25" s="12">
        <v>0</v>
      </c>
      <c r="BD25" s="12">
        <v>0</v>
      </c>
    </row>
    <row r="26" spans="1:56" ht="11.25" customHeight="1" x14ac:dyDescent="0.25">
      <c r="A26" s="102"/>
      <c r="B26" s="102"/>
      <c r="C26" s="102"/>
      <c r="D26" s="18" t="s">
        <v>29</v>
      </c>
      <c r="E26" s="18" t="s">
        <v>25</v>
      </c>
      <c r="F26" s="18" t="s">
        <v>25</v>
      </c>
      <c r="G26" s="17" t="s">
        <v>77</v>
      </c>
      <c r="H26" s="17" t="s">
        <v>71</v>
      </c>
      <c r="I26" s="17">
        <f>'MERCADO TUSD'!$U$23</f>
        <v>0</v>
      </c>
      <c r="J26" s="15"/>
      <c r="L26" s="12">
        <f>('TUSD BE'!$L$26+'TUSD BF'!$L$26+'TUSD CVA'!$L$26)*(1 - 0.65)</f>
        <v>0</v>
      </c>
      <c r="M26" s="12">
        <f>('TUSD BE'!$M$26+'TUSD BF'!$M$26+'TUSD CVA'!$M$26)*(1 - 0.65)</f>
        <v>0.83056030332623798</v>
      </c>
      <c r="N26" s="12">
        <f ca="1">('TUSD BE'!$N$26+'TUSD BF'!$N$26+'TUSD CVA'!$N$26)*(1 - 0.65)</f>
        <v>0</v>
      </c>
      <c r="O26" s="12">
        <f>('TUSD BE'!$O$26+'TUSD BF'!$O$26+'TUSD CVA'!$O$26)*(1 - 0.65)</f>
        <v>0</v>
      </c>
      <c r="P26" s="12">
        <v>0</v>
      </c>
      <c r="Q26" s="12">
        <f>('TUSD BE'!$Q$26+'TUSD BF'!$Q$26+'TUSD CVA'!$Q$26)*(1 - 0.65)</f>
        <v>0</v>
      </c>
      <c r="R26" s="12">
        <v>0</v>
      </c>
      <c r="S26" s="12">
        <f>('TUSD BE'!$S$26+'TUSD BF'!$S$26+'TUSD CVA'!$S$26)*(1 - 0.65)</f>
        <v>0</v>
      </c>
      <c r="T26" s="12">
        <f>('TUSD BE'!$U$26+'TUSD BF'!$U$26+'TUSD CVA'!$U$26)*(1 - 0.65)</f>
        <v>0</v>
      </c>
      <c r="U26" s="12">
        <f>('TUSD BE'!$V$26+'TUSD BF'!$V$26+'TUSD CVA'!$V$26)*(1 - 0.65)</f>
        <v>0</v>
      </c>
      <c r="V26" s="12">
        <f>('TUSD BE'!$W$26+'TUSD BF'!$W$26+'TUSD CVA'!$W$26)*(1 - 0.65)</f>
        <v>0</v>
      </c>
      <c r="W26" s="12">
        <f>('TUSD BE'!$X$26+'TUSD BF'!$X$26+'TUSD CVA'!$X$26)*(1 - 0.65)</f>
        <v>0</v>
      </c>
      <c r="X26" s="12">
        <f>('TUSD BE'!$Y$26+'TUSD BF'!$Y$26+'TUSD CVA'!$Y$26)*(1 - 0.65)</f>
        <v>50.754974052982305</v>
      </c>
      <c r="Y26" s="12">
        <f>('TUSD BE'!$Z$26+'TUSD BF'!$Z$26+'TUSD CVA'!$Z$26)*(1 - 0.65)</f>
        <v>0</v>
      </c>
      <c r="Z26" s="12">
        <f>('TUSD BE'!$AA$26+'TUSD BF'!$AA$26+'TUSD CVA'!$AA$26)*(1 - 0.65)</f>
        <v>0</v>
      </c>
      <c r="AA26" s="12">
        <f>('TUSD BE'!$AC$26+'TUSD BF'!$AC$26+'TUSD CVA'!$AC$26)*(1 - 0.65)</f>
        <v>73.226807329050473</v>
      </c>
      <c r="AB26" s="12">
        <f ca="1">('TUSD BE'!$AE$26+'TUSD BF'!$AE$26+'TUSD CVA'!$AE$26)*(1 - 0.65)</f>
        <v>0</v>
      </c>
      <c r="AC26" s="12">
        <f ca="1">('TUSD BE'!$AF$26+'TUSD BF'!$AF$26+'TUSD CVA'!$AF$26)*(1 - 0.65)</f>
        <v>0</v>
      </c>
      <c r="AD26" s="12">
        <f>('TUSD BE'!$AH$26+'TUSD BF'!$AH$26+'TUSD CVA'!$AH$26)*(1 - 0.65)</f>
        <v>10.451947280088032</v>
      </c>
      <c r="AE26" s="12">
        <f>('TUSD BE'!$AI$26+'TUSD BF'!$AI$26+'TUSD CVA'!$AI$26)*(1 - 0.65)</f>
        <v>0</v>
      </c>
      <c r="AF26" s="12">
        <f ca="1">('TUSD BE'!$AJ$26+'TUSD BF'!$AJ$26+'TUSD CVA'!$AJ$26)*(1 - 0.65)</f>
        <v>0</v>
      </c>
      <c r="AG26" s="12">
        <f ca="1">('TUSD BE'!$AK$26+'TUSD BF'!$AK$26+'TUSD CVA'!$AK$26)*(1 - 0.65)</f>
        <v>0</v>
      </c>
      <c r="AI26" s="12">
        <v>0</v>
      </c>
      <c r="AJ26" s="12">
        <v>0.79352151065708099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43.113063433263697</v>
      </c>
      <c r="AV26" s="12">
        <v>0</v>
      </c>
      <c r="AW26" s="12">
        <v>0</v>
      </c>
      <c r="AX26" s="12">
        <v>68.6457422089034</v>
      </c>
      <c r="AY26" s="12">
        <v>0</v>
      </c>
      <c r="AZ26" s="12">
        <v>0</v>
      </c>
      <c r="BA26" s="12">
        <v>12.1779867848416</v>
      </c>
      <c r="BB26" s="12">
        <v>0</v>
      </c>
      <c r="BC26" s="12">
        <v>0</v>
      </c>
      <c r="BD26" s="12">
        <v>0</v>
      </c>
    </row>
    <row r="27" spans="1:56" ht="11.25" customHeight="1" x14ac:dyDescent="0.25">
      <c r="A27" s="102"/>
      <c r="B27" s="102"/>
      <c r="C27" s="102"/>
      <c r="D27" s="18" t="s">
        <v>30</v>
      </c>
      <c r="E27" s="18" t="s">
        <v>25</v>
      </c>
      <c r="F27" s="18" t="s">
        <v>25</v>
      </c>
      <c r="G27" s="17" t="s">
        <v>77</v>
      </c>
      <c r="H27" s="17" t="s">
        <v>71</v>
      </c>
      <c r="I27" s="17">
        <f>'MERCADO TUSD'!$U$24</f>
        <v>0</v>
      </c>
      <c r="J27" s="15"/>
      <c r="L27" s="12">
        <f>('TUSD BE'!$L$27+'TUSD BF'!$L$27+'TUSD CVA'!$L$27)*(1 - 0.4)</f>
        <v>0</v>
      </c>
      <c r="M27" s="12">
        <f>('TUSD BE'!$M$27+'TUSD BF'!$M$27+'TUSD CVA'!$M$27)*(1 - 0.4)</f>
        <v>1.4238176628449795</v>
      </c>
      <c r="N27" s="12">
        <f ca="1">('TUSD BE'!$N$27+'TUSD BF'!$N$27+'TUSD CVA'!$N$27)*(1 - 0.4)</f>
        <v>0</v>
      </c>
      <c r="O27" s="12">
        <f>('TUSD BE'!$O$27+'TUSD BF'!$O$27+'TUSD CVA'!$O$27)*(1 - 0.4)</f>
        <v>0</v>
      </c>
      <c r="P27" s="12">
        <v>0</v>
      </c>
      <c r="Q27" s="12">
        <f>('TUSD BE'!$Q$27+'TUSD BF'!$Q$27+'TUSD CVA'!$Q$27)*(1 - 0.4)</f>
        <v>0</v>
      </c>
      <c r="R27" s="12">
        <v>0</v>
      </c>
      <c r="S27" s="12">
        <f>('TUSD BE'!$S$27+'TUSD BF'!$S$27+'TUSD CVA'!$S$27)*(1 - 0.4)</f>
        <v>0</v>
      </c>
      <c r="T27" s="12">
        <f>('TUSD BE'!$U$27+'TUSD BF'!$U$27+'TUSD CVA'!$U$27)*(1 - 0.4)</f>
        <v>0</v>
      </c>
      <c r="U27" s="12">
        <f>('TUSD BE'!$V$27+'TUSD BF'!$V$27+'TUSD CVA'!$V$27)*(1 - 0.4)</f>
        <v>0</v>
      </c>
      <c r="V27" s="12">
        <f>('TUSD BE'!$W$27+'TUSD BF'!$W$27+'TUSD CVA'!$W$27)*(1 - 0.4)</f>
        <v>0</v>
      </c>
      <c r="W27" s="12">
        <f>('TUSD BE'!$X$27+'TUSD BF'!$X$27+'TUSD CVA'!$X$27)*(1 - 0.4)</f>
        <v>0</v>
      </c>
      <c r="X27" s="12">
        <f>('TUSD BE'!$Y$27+'TUSD BF'!$Y$27+'TUSD CVA'!$Y$27)*(1 - 0.4)</f>
        <v>87.008526947969671</v>
      </c>
      <c r="Y27" s="12">
        <f>('TUSD BE'!$Z$27+'TUSD BF'!$Z$27+'TUSD CVA'!$Z$27)*(1 - 0.4)</f>
        <v>0</v>
      </c>
      <c r="Z27" s="12">
        <f>('TUSD BE'!$AA$27+'TUSD BF'!$AA$27+'TUSD CVA'!$AA$27)*(1 - 0.4)</f>
        <v>0</v>
      </c>
      <c r="AA27" s="12">
        <f>('TUSD BE'!$AC$27+'TUSD BF'!$AC$27+'TUSD CVA'!$AC$27)*(1 - 0.4)</f>
        <v>125.53166970694367</v>
      </c>
      <c r="AB27" s="12">
        <f ca="1">('TUSD BE'!$AE$27+'TUSD BF'!$AE$27+'TUSD CVA'!$AE$27)*(1 - 0.4)</f>
        <v>0</v>
      </c>
      <c r="AC27" s="12">
        <f ca="1">('TUSD BE'!$AF$27+'TUSD BF'!$AF$27+'TUSD CVA'!$AF$27)*(1 - 0.4)</f>
        <v>0</v>
      </c>
      <c r="AD27" s="12">
        <f>('TUSD BE'!$AH$27+'TUSD BF'!$AH$27+'TUSD CVA'!$AH$27)*(1 - 0.4)</f>
        <v>17.917623908722341</v>
      </c>
      <c r="AE27" s="12">
        <f>('TUSD BE'!$AI$27+'TUSD BF'!$AI$27+'TUSD CVA'!$AI$27)*(1 - 0.4)</f>
        <v>0</v>
      </c>
      <c r="AF27" s="12">
        <f ca="1">('TUSD BE'!$AJ$27+'TUSD BF'!$AJ$27+'TUSD CVA'!$AJ$27)*(1 - 0.4)</f>
        <v>0</v>
      </c>
      <c r="AG27" s="12">
        <f ca="1">('TUSD BE'!$AK$27+'TUSD BF'!$AK$27+'TUSD CVA'!$AK$27)*(1 - 0.4)</f>
        <v>0</v>
      </c>
      <c r="AI27" s="12">
        <v>0</v>
      </c>
      <c r="AJ27" s="12">
        <v>1.3603225896978499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73.908108742737696</v>
      </c>
      <c r="AV27" s="12">
        <v>0</v>
      </c>
      <c r="AW27" s="12">
        <v>0</v>
      </c>
      <c r="AX27" s="12">
        <v>117.678415215263</v>
      </c>
      <c r="AY27" s="12">
        <v>0</v>
      </c>
      <c r="AZ27" s="12">
        <v>0</v>
      </c>
      <c r="BA27" s="12">
        <v>20.8765487740142</v>
      </c>
      <c r="BB27" s="12">
        <v>0</v>
      </c>
      <c r="BC27" s="12">
        <v>0</v>
      </c>
      <c r="BD27" s="12">
        <v>0</v>
      </c>
    </row>
    <row r="28" spans="1:56" ht="11.25" customHeight="1" x14ac:dyDescent="0.25">
      <c r="A28" s="102"/>
      <c r="B28" s="102"/>
      <c r="C28" s="102"/>
      <c r="D28" s="18" t="s">
        <v>31</v>
      </c>
      <c r="E28" s="18" t="s">
        <v>25</v>
      </c>
      <c r="F28" s="18" t="s">
        <v>25</v>
      </c>
      <c r="G28" s="17" t="s">
        <v>77</v>
      </c>
      <c r="H28" s="17" t="s">
        <v>71</v>
      </c>
      <c r="I28" s="17">
        <f>'MERCADO TUSD'!$U$25</f>
        <v>0</v>
      </c>
      <c r="J28" s="15"/>
      <c r="L28" s="12">
        <f>('TUSD BE'!$L$28+'TUSD BF'!$L$28+'TUSD CVA'!$L$28)*(1 - 0.1)</f>
        <v>0</v>
      </c>
      <c r="M28" s="12">
        <f>('TUSD BE'!$M$28+'TUSD BF'!$M$28+'TUSD CVA'!$M$28)*(1 - 0.1)</f>
        <v>2.1357264942674692</v>
      </c>
      <c r="N28" s="12">
        <f ca="1">('TUSD BE'!$N$28+'TUSD BF'!$N$28+'TUSD CVA'!$N$28)*(1 - 0.1)</f>
        <v>0</v>
      </c>
      <c r="O28" s="12">
        <f>('TUSD BE'!$O$28+'TUSD BF'!$O$28+'TUSD CVA'!$O$28)*(1 - 0.1)</f>
        <v>0</v>
      </c>
      <c r="P28" s="12">
        <v>0</v>
      </c>
      <c r="Q28" s="12">
        <f>('TUSD BE'!$Q$28+'TUSD BF'!$Q$28+'TUSD CVA'!$Q$28)*(1 - 0.1)</f>
        <v>0</v>
      </c>
      <c r="R28" s="12">
        <v>0</v>
      </c>
      <c r="S28" s="12">
        <f>('TUSD BE'!$S$28+'TUSD BF'!$S$28+'TUSD CVA'!$S$28)*(1 - 0.1)</f>
        <v>0</v>
      </c>
      <c r="T28" s="12">
        <f>('TUSD BE'!$U$28+'TUSD BF'!$U$28+'TUSD CVA'!$U$28)*(1 - 0.1)</f>
        <v>0</v>
      </c>
      <c r="U28" s="12">
        <f>('TUSD BE'!$V$28+'TUSD BF'!$V$28+'TUSD CVA'!$V$28)*(1 - 0.1)</f>
        <v>0</v>
      </c>
      <c r="V28" s="12">
        <f>('TUSD BE'!$W$28+'TUSD BF'!$W$28+'TUSD CVA'!$W$28)*(1 - 0.1)</f>
        <v>0</v>
      </c>
      <c r="W28" s="12">
        <f>('TUSD BE'!$X$28+'TUSD BF'!$X$28+'TUSD CVA'!$X$28)*(1 - 0.1)</f>
        <v>0</v>
      </c>
      <c r="X28" s="12">
        <f>('TUSD BE'!$Y$28+'TUSD BF'!$Y$28+'TUSD CVA'!$Y$28)*(1 - 0.1)</f>
        <v>130.51279042195452</v>
      </c>
      <c r="Y28" s="12">
        <f>('TUSD BE'!$Z$28+'TUSD BF'!$Z$28+'TUSD CVA'!$Z$28)*(1 - 0.1)</f>
        <v>0</v>
      </c>
      <c r="Z28" s="12">
        <f>('TUSD BE'!$AA$28+'TUSD BF'!$AA$28+'TUSD CVA'!$AA$28)*(1 - 0.1)</f>
        <v>0</v>
      </c>
      <c r="AA28" s="12">
        <f>('TUSD BE'!$AC$28+'TUSD BF'!$AC$28+'TUSD CVA'!$AC$28)*(1 - 0.1)</f>
        <v>188.29750456041552</v>
      </c>
      <c r="AB28" s="12">
        <f ca="1">('TUSD BE'!$AE$28+'TUSD BF'!$AE$28+'TUSD CVA'!$AE$28)*(1 - 0.1)</f>
        <v>0</v>
      </c>
      <c r="AC28" s="12">
        <f ca="1">('TUSD BE'!$AF$28+'TUSD BF'!$AF$28+'TUSD CVA'!$AF$28)*(1 - 0.1)</f>
        <v>0</v>
      </c>
      <c r="AD28" s="12">
        <f>('TUSD BE'!$AH$28+'TUSD BF'!$AH$28+'TUSD CVA'!$AH$28)*(1 - 0.1)</f>
        <v>26.876435863083515</v>
      </c>
      <c r="AE28" s="12">
        <f>('TUSD BE'!$AI$28+'TUSD BF'!$AI$28+'TUSD CVA'!$AI$28)*(1 - 0.1)</f>
        <v>0</v>
      </c>
      <c r="AF28" s="12">
        <f ca="1">('TUSD BE'!$AJ$28+'TUSD BF'!$AJ$28+'TUSD CVA'!$AJ$28)*(1 - 0.1)</f>
        <v>0</v>
      </c>
      <c r="AG28" s="12">
        <f ca="1">('TUSD BE'!$AK$28+'TUSD BF'!$AK$28+'TUSD CVA'!$AK$28)*(1 - 0.1)</f>
        <v>0</v>
      </c>
      <c r="AI28" s="12">
        <v>0</v>
      </c>
      <c r="AJ28" s="12">
        <v>2.0404838845467799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110.86216311410701</v>
      </c>
      <c r="AV28" s="12">
        <v>0</v>
      </c>
      <c r="AW28" s="12">
        <v>0</v>
      </c>
      <c r="AX28" s="12">
        <v>176.51762282289499</v>
      </c>
      <c r="AY28" s="12">
        <v>0</v>
      </c>
      <c r="AZ28" s="12">
        <v>0</v>
      </c>
      <c r="BA28" s="12">
        <v>31.314823161021302</v>
      </c>
      <c r="BB28" s="12">
        <v>0</v>
      </c>
      <c r="BC28" s="12">
        <v>0</v>
      </c>
      <c r="BD28" s="12">
        <v>0</v>
      </c>
    </row>
    <row r="29" spans="1:56" ht="11.25" customHeight="1" x14ac:dyDescent="0.25">
      <c r="A29" s="102"/>
      <c r="B29" s="102"/>
      <c r="C29" s="102"/>
      <c r="D29" s="18" t="s">
        <v>32</v>
      </c>
      <c r="E29" s="18" t="s">
        <v>25</v>
      </c>
      <c r="F29" s="18" t="s">
        <v>25</v>
      </c>
      <c r="G29" s="17" t="s">
        <v>77</v>
      </c>
      <c r="H29" s="17" t="s">
        <v>71</v>
      </c>
      <c r="I29" s="17">
        <f>'MERCADO TUSD'!$U$26</f>
        <v>0</v>
      </c>
      <c r="J29" s="15"/>
      <c r="L29" s="12">
        <f>('TUSD BE'!$L$29+'TUSD BF'!$L$29+'TUSD CVA'!$L$29)*1</f>
        <v>0</v>
      </c>
      <c r="M29" s="12">
        <f>('TUSD BE'!$M$29+'TUSD BF'!$M$29+'TUSD CVA'!$M$29)*1</f>
        <v>2.3730294380749659</v>
      </c>
      <c r="N29" s="12">
        <f ca="1">('TUSD BE'!$N$29+'TUSD BF'!$N$29+'TUSD CVA'!$N$29)*1</f>
        <v>0</v>
      </c>
      <c r="O29" s="12">
        <f>('TUSD BE'!$O$29+'TUSD BF'!$O$29+'TUSD CVA'!$O$29)*1</f>
        <v>0</v>
      </c>
      <c r="P29" s="12">
        <v>0</v>
      </c>
      <c r="Q29" s="12">
        <f>('TUSD BE'!$Q$29+'TUSD BF'!$Q$29+'TUSD CVA'!$Q$29)*1</f>
        <v>0</v>
      </c>
      <c r="R29" s="12">
        <v>0</v>
      </c>
      <c r="S29" s="12">
        <f>('TUSD BE'!$S$29+'TUSD BF'!$S$29+'TUSD CVA'!$S$29)*1</f>
        <v>0</v>
      </c>
      <c r="T29" s="12">
        <f>('TUSD BE'!$U$29+'TUSD BF'!$U$29+'TUSD CVA'!$U$29)*1</f>
        <v>0</v>
      </c>
      <c r="U29" s="12">
        <f>('TUSD BE'!$V$29+'TUSD BF'!$V$29+'TUSD CVA'!$V$29)*1</f>
        <v>0</v>
      </c>
      <c r="V29" s="12">
        <f>('TUSD BE'!$W$29+'TUSD BF'!$W$29+'TUSD CVA'!$W$29)*1</f>
        <v>0</v>
      </c>
      <c r="W29" s="12">
        <f>('TUSD BE'!$X$29+'TUSD BF'!$X$29+'TUSD CVA'!$X$29)*1</f>
        <v>0</v>
      </c>
      <c r="X29" s="12">
        <f>('TUSD BE'!$Y$29+'TUSD BF'!$Y$29+'TUSD CVA'!$Y$29)*1</f>
        <v>145.01421157994946</v>
      </c>
      <c r="Y29" s="12">
        <f>('TUSD BE'!$Z$29+'TUSD BF'!$Z$29+'TUSD CVA'!$Z$29)*1</f>
        <v>0</v>
      </c>
      <c r="Z29" s="12">
        <f>('TUSD BE'!$AA$29+'TUSD BF'!$AA$29+'TUSD CVA'!$AA$29)*1</f>
        <v>0</v>
      </c>
      <c r="AA29" s="12">
        <f>('TUSD BE'!$AC$29+'TUSD BF'!$AC$29+'TUSD CVA'!$AC$29)*1</f>
        <v>209.2194495115728</v>
      </c>
      <c r="AB29" s="12">
        <f ca="1">('TUSD BE'!$AE$29+'TUSD BF'!$AE$29+'TUSD CVA'!$AE$29)*1</f>
        <v>0</v>
      </c>
      <c r="AC29" s="12">
        <f ca="1">('TUSD BE'!$AF$29+'TUSD BF'!$AF$29+'TUSD CVA'!$AF$29)*1</f>
        <v>0</v>
      </c>
      <c r="AD29" s="12">
        <f>('TUSD BE'!$AH$29+'TUSD BF'!$AH$29+'TUSD CVA'!$AH$29)*1</f>
        <v>29.862706514537237</v>
      </c>
      <c r="AE29" s="12">
        <f>('TUSD BE'!$AI$29+'TUSD BF'!$AI$29+'TUSD CVA'!$AI$29)*1</f>
        <v>0</v>
      </c>
      <c r="AF29" s="12">
        <f ca="1">('TUSD BE'!$AJ$29+'TUSD BF'!$AJ$29+'TUSD CVA'!$AJ$29)*1</f>
        <v>0</v>
      </c>
      <c r="AG29" s="12">
        <f ca="1">('TUSD BE'!$AK$29+'TUSD BF'!$AK$29+'TUSD CVA'!$AK$29)*1</f>
        <v>0</v>
      </c>
      <c r="AI29" s="12">
        <v>0</v>
      </c>
      <c r="AJ29" s="12">
        <v>2.2672043161630899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123.18018123789599</v>
      </c>
      <c r="AV29" s="12">
        <v>0</v>
      </c>
      <c r="AW29" s="12">
        <v>0</v>
      </c>
      <c r="AX29" s="12">
        <v>196.13069202543801</v>
      </c>
      <c r="AY29" s="12">
        <v>0</v>
      </c>
      <c r="AZ29" s="12">
        <v>0</v>
      </c>
      <c r="BA29" s="12">
        <v>34.794247956690299</v>
      </c>
      <c r="BB29" s="12">
        <v>0</v>
      </c>
      <c r="BC29" s="12">
        <v>0</v>
      </c>
      <c r="BD29" s="12">
        <v>0</v>
      </c>
    </row>
    <row r="30" spans="1:56" ht="11.25" customHeight="1" x14ac:dyDescent="0.25">
      <c r="A30" s="102" t="s">
        <v>40</v>
      </c>
      <c r="B30" s="102" t="s">
        <v>85</v>
      </c>
      <c r="C30" s="102" t="s">
        <v>41</v>
      </c>
      <c r="D30" s="102" t="s">
        <v>25</v>
      </c>
      <c r="E30" s="102" t="s">
        <v>25</v>
      </c>
      <c r="F30" s="102" t="s">
        <v>25</v>
      </c>
      <c r="G30" s="17" t="s">
        <v>72</v>
      </c>
      <c r="H30" s="17" t="s">
        <v>71</v>
      </c>
      <c r="I30" s="17">
        <f>'MERCADO TUSD'!$U$27</f>
        <v>0</v>
      </c>
      <c r="J30" s="15"/>
      <c r="L30" s="12">
        <f>('TUSD BE'!$L$30+'TUSD BF'!$L$30+'TUSD CVA'!$L$30)*(1 - CUSTOS!$M$38)</f>
        <v>0</v>
      </c>
      <c r="M30" s="12">
        <f>('TUSD BE'!$M$30+'TUSD BF'!$M$30+'TUSD CVA'!$M$30)*(1 - CUSTOS!$M$38)</f>
        <v>2.230647671790468</v>
      </c>
      <c r="N30" s="12">
        <f ca="1">('TUSD BE'!$N$30+'TUSD BF'!$N$30+'TUSD CVA'!$N$30)*(1 - CUSTOS!$M$38)</f>
        <v>0</v>
      </c>
      <c r="O30" s="12">
        <f>('TUSD BE'!$O$30+'TUSD BF'!$O$30+'TUSD CVA'!$O$30)*(1 - CUSTOS!$M$38)</f>
        <v>0</v>
      </c>
      <c r="P30" s="12">
        <f>('TUSD BE'!$P$30+'TUSD BF'!$P$30+'TUSD CVA'!$P$30)*(1 - CUSTOS!$M$38)</f>
        <v>0</v>
      </c>
      <c r="Q30" s="12">
        <f>('TUSD BE'!$Q$30+'TUSD BF'!$Q$30+'TUSD CVA'!$Q$30)*(1 - CUSTOS!$M$38)</f>
        <v>82.285911692074606</v>
      </c>
      <c r="R30" s="12">
        <f>('TUSD BE'!$R$30+'TUSD BF'!$R$30+'TUSD CVA'!$R$30)*(1 - CUSTOS!$M$38)</f>
        <v>13.018426033394295</v>
      </c>
      <c r="S30" s="12">
        <f>('TUSD BE'!$S$30+'TUSD BF'!$S$30+'TUSD CVA'!$S$30)*(1 - CUSTOS!$M$38)</f>
        <v>0</v>
      </c>
      <c r="T30" s="12">
        <f>('TUSD BE'!$U$30+'TUSD BF'!$U$30+'TUSD CVA'!$U$30)*(1 - CUSTOS!$M$38)</f>
        <v>0</v>
      </c>
      <c r="U30" s="12">
        <f>('TUSD BE'!$V$30+'TUSD BF'!$V$30+'TUSD CVA'!$V$30)*(1 - CUSTOS!$M$38)</f>
        <v>0</v>
      </c>
      <c r="V30" s="12">
        <f>('TUSD BE'!$W$30+'TUSD BF'!$W$30+'TUSD CVA'!$W$30)*(1 - CUSTOS!$M$38)</f>
        <v>0</v>
      </c>
      <c r="W30" s="12">
        <f>('TUSD BE'!$X$30+'TUSD BF'!$X$30+'TUSD CVA'!$X$30)*(1 - CUSTOS!$M$38)</f>
        <v>0</v>
      </c>
      <c r="X30" s="12">
        <f>('TUSD BE'!$Y$30+'TUSD BF'!$Y$30+'TUSD CVA'!$Y$30)*(1 - CUSTOS!$M$38)</f>
        <v>354.34241832214707</v>
      </c>
      <c r="Y30" s="12">
        <f>('TUSD BE'!$Z$30+'TUSD BF'!$Z$30+'TUSD CVA'!$Z$30)*(1 - CUSTOS!$M$38)</f>
        <v>0</v>
      </c>
      <c r="Z30" s="12">
        <f>('TUSD BE'!$AA$30+'TUSD BF'!$AA$30+'TUSD CVA'!$AA$30)*(1 - CUSTOS!$M$38)</f>
        <v>0</v>
      </c>
      <c r="AA30" s="12">
        <f>('TUSD BE'!$AC$30+'TUSD BF'!$AC$30+'TUSD CVA'!$AC$30)*(1 - CUSTOS!$M$38)</f>
        <v>511.33249142994674</v>
      </c>
      <c r="AB30" s="12">
        <f ca="1">('TUSD BE'!$AE$30+'TUSD BF'!$AE$30+'TUSD CVA'!$AE$30)*(1 - CUSTOS!$M$38)</f>
        <v>0</v>
      </c>
      <c r="AC30" s="12">
        <f ca="1">('TUSD BE'!$AF$30+'TUSD BF'!$AF$30+'TUSD CVA'!$AF$30)*(1 - CUSTOS!$M$38)</f>
        <v>0</v>
      </c>
      <c r="AD30" s="12">
        <f>('TUSD BE'!$AH$30+'TUSD BF'!$AH$30+'TUSD CVA'!$AH$30)*(1 - CUSTOS!$M$38)</f>
        <v>28.070944123665001</v>
      </c>
      <c r="AE30" s="12">
        <f>('TUSD BE'!$AI$30+'TUSD BF'!$AI$30+'TUSD CVA'!$AI$30)*(1 - CUSTOS!$M$38)</f>
        <v>0</v>
      </c>
      <c r="AF30" s="12">
        <f ca="1">('TUSD BE'!$AJ$30+'TUSD BF'!$AJ$30+'TUSD CVA'!$AJ$30)*(1 - CUSTOS!$M$38)</f>
        <v>0</v>
      </c>
      <c r="AG30" s="12">
        <f ca="1">('TUSD BE'!$AK$30+'TUSD BF'!$AK$30+'TUSD CVA'!$AK$30)*(1 - CUSTOS!$M$38)</f>
        <v>0</v>
      </c>
      <c r="AI30" s="12">
        <v>0</v>
      </c>
      <c r="AJ30" s="12">
        <v>1.9951397982235199</v>
      </c>
      <c r="AK30" s="12">
        <v>0</v>
      </c>
      <c r="AL30" s="12">
        <v>0</v>
      </c>
      <c r="AM30" s="12">
        <v>0</v>
      </c>
      <c r="AN30" s="12">
        <v>52.848089255315898</v>
      </c>
      <c r="AO30" s="12">
        <v>8.2023356077976306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281.69691449397698</v>
      </c>
      <c r="AV30" s="12">
        <v>0</v>
      </c>
      <c r="AW30" s="12">
        <v>0</v>
      </c>
      <c r="AX30" s="12">
        <v>448.74697606462797</v>
      </c>
      <c r="AY30" s="12">
        <v>0</v>
      </c>
      <c r="AZ30" s="12">
        <v>0</v>
      </c>
      <c r="BA30" s="12">
        <v>30.618938201887499</v>
      </c>
      <c r="BB30" s="12">
        <v>0</v>
      </c>
      <c r="BC30" s="12">
        <v>0</v>
      </c>
      <c r="BD30" s="12">
        <v>0</v>
      </c>
    </row>
    <row r="31" spans="1:56" ht="11.25" customHeight="1" x14ac:dyDescent="0.25">
      <c r="A31" s="102"/>
      <c r="B31" s="102"/>
      <c r="C31" s="102"/>
      <c r="D31" s="102"/>
      <c r="E31" s="102"/>
      <c r="F31" s="102"/>
      <c r="G31" s="17" t="s">
        <v>83</v>
      </c>
      <c r="H31" s="17" t="s">
        <v>71</v>
      </c>
      <c r="I31" s="17">
        <f>'MERCADO TUSD'!$U$28</f>
        <v>0</v>
      </c>
      <c r="J31" s="15"/>
      <c r="L31" s="12">
        <f>('TUSD BE'!$L$31+'TUSD BF'!$L$31+'TUSD CVA'!$L$31)*(1 - CUSTOS!$M$38)</f>
        <v>0</v>
      </c>
      <c r="M31" s="12">
        <f>('TUSD BE'!$M$31+'TUSD BF'!$M$31+'TUSD CVA'!$M$31)*(1 - CUSTOS!$M$38)</f>
        <v>2.230647671790468</v>
      </c>
      <c r="N31" s="12">
        <f ca="1">('TUSD BE'!$N$31+'TUSD BF'!$N$31+'TUSD CVA'!$N$31)*(1 - CUSTOS!$M$38)</f>
        <v>0</v>
      </c>
      <c r="O31" s="12">
        <f>('TUSD BE'!$O$31+'TUSD BF'!$O$31+'TUSD CVA'!$O$31)*(1 - CUSTOS!$M$38)</f>
        <v>0</v>
      </c>
      <c r="P31" s="12">
        <f>('TUSD BE'!$P$31+'TUSD BF'!$P$31+'TUSD CVA'!$P$31)*(1 - CUSTOS!$M$38)</f>
        <v>0</v>
      </c>
      <c r="Q31" s="12">
        <f>('TUSD BE'!$Q$31+'TUSD BF'!$Q$31+'TUSD CVA'!$Q$31)*(1 - CUSTOS!$M$38)</f>
        <v>82.285911692074606</v>
      </c>
      <c r="R31" s="12">
        <f>('TUSD BE'!$R$31+'TUSD BF'!$R$31+'TUSD CVA'!$R$31)*(1 - CUSTOS!$M$38)</f>
        <v>13.018426033394295</v>
      </c>
      <c r="S31" s="12">
        <f>('TUSD BE'!$S$31+'TUSD BF'!$S$31+'TUSD CVA'!$S$31)*(1 - CUSTOS!$M$38)</f>
        <v>0</v>
      </c>
      <c r="T31" s="12">
        <f>('TUSD BE'!$U$31+'TUSD BF'!$U$31+'TUSD CVA'!$U$31)*(1 - CUSTOS!$M$38)</f>
        <v>0</v>
      </c>
      <c r="U31" s="12">
        <f>('TUSD BE'!$V$31+'TUSD BF'!$V$31+'TUSD CVA'!$V$31)*(1 - CUSTOS!$M$38)</f>
        <v>0</v>
      </c>
      <c r="V31" s="12">
        <f>('TUSD BE'!$W$31+'TUSD BF'!$W$31+'TUSD CVA'!$W$31)*(1 - CUSTOS!$M$38)</f>
        <v>0</v>
      </c>
      <c r="W31" s="12">
        <f>('TUSD BE'!$X$31+'TUSD BF'!$X$31+'TUSD CVA'!$X$31)*(1 - CUSTOS!$M$38)</f>
        <v>0</v>
      </c>
      <c r="X31" s="12">
        <f>('TUSD BE'!$Y$31+'TUSD BF'!$Y$31+'TUSD CVA'!$Y$31)*(1 - CUSTOS!$M$38)</f>
        <v>212.60545099328826</v>
      </c>
      <c r="Y31" s="12">
        <f>('TUSD BE'!$Z$31+'TUSD BF'!$Z$31+'TUSD CVA'!$Z$31)*(1 - CUSTOS!$M$38)</f>
        <v>0</v>
      </c>
      <c r="Z31" s="12">
        <f>('TUSD BE'!$AA$31+'TUSD BF'!$AA$31+'TUSD CVA'!$AA$31)*(1 - CUSTOS!$M$38)</f>
        <v>0</v>
      </c>
      <c r="AA31" s="12">
        <f>('TUSD BE'!$AC$31+'TUSD BF'!$AC$31+'TUSD CVA'!$AC$31)*(1 - CUSTOS!$M$38)</f>
        <v>306.79954190506692</v>
      </c>
      <c r="AB31" s="12">
        <f ca="1">('TUSD BE'!$AE$31+'TUSD BF'!$AE$31+'TUSD CVA'!$AE$31)*(1 - CUSTOS!$M$38)</f>
        <v>0</v>
      </c>
      <c r="AC31" s="12">
        <f ca="1">('TUSD BE'!$AF$31+'TUSD BF'!$AF$31+'TUSD CVA'!$AF$31)*(1 - CUSTOS!$M$38)</f>
        <v>0</v>
      </c>
      <c r="AD31" s="12">
        <f>('TUSD BE'!$AH$31+'TUSD BF'!$AH$31+'TUSD CVA'!$AH$31)*(1 - CUSTOS!$M$38)</f>
        <v>28.070944123665001</v>
      </c>
      <c r="AE31" s="12">
        <f>('TUSD BE'!$AI$31+'TUSD BF'!$AI$31+'TUSD CVA'!$AI$31)*(1 - CUSTOS!$M$38)</f>
        <v>0</v>
      </c>
      <c r="AF31" s="12">
        <f ca="1">('TUSD BE'!$AJ$31+'TUSD BF'!$AJ$31+'TUSD CVA'!$AJ$31)*(1 - CUSTOS!$M$38)</f>
        <v>0</v>
      </c>
      <c r="AG31" s="12">
        <f ca="1">('TUSD BE'!$AK$31+'TUSD BF'!$AK$31+'TUSD CVA'!$AK$31)*(1 - CUSTOS!$M$38)</f>
        <v>0</v>
      </c>
      <c r="AI31" s="12">
        <v>0</v>
      </c>
      <c r="AJ31" s="12">
        <v>1.9951397982235199</v>
      </c>
      <c r="AK31" s="12">
        <v>0</v>
      </c>
      <c r="AL31" s="12">
        <v>0</v>
      </c>
      <c r="AM31" s="12">
        <v>0</v>
      </c>
      <c r="AN31" s="12">
        <v>52.848089255315898</v>
      </c>
      <c r="AO31" s="12">
        <v>8.2023356077976306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169.01814869638599</v>
      </c>
      <c r="AV31" s="12">
        <v>0</v>
      </c>
      <c r="AW31" s="12">
        <v>0</v>
      </c>
      <c r="AX31" s="12">
        <v>269.24824080994802</v>
      </c>
      <c r="AY31" s="12">
        <v>0</v>
      </c>
      <c r="AZ31" s="12">
        <v>0</v>
      </c>
      <c r="BA31" s="12">
        <v>30.618938201887499</v>
      </c>
      <c r="BB31" s="12">
        <v>0</v>
      </c>
      <c r="BC31" s="12">
        <v>0</v>
      </c>
      <c r="BD31" s="12">
        <v>0</v>
      </c>
    </row>
    <row r="32" spans="1:56" ht="11.25" customHeight="1" x14ac:dyDescent="0.25">
      <c r="A32" s="102"/>
      <c r="B32" s="102"/>
      <c r="C32" s="102"/>
      <c r="D32" s="102"/>
      <c r="E32" s="102"/>
      <c r="F32" s="102"/>
      <c r="G32" s="17" t="s">
        <v>73</v>
      </c>
      <c r="H32" s="17" t="s">
        <v>71</v>
      </c>
      <c r="I32" s="17">
        <f>'MERCADO TUSD'!$U$29</f>
        <v>0</v>
      </c>
      <c r="J32" s="15"/>
      <c r="L32" s="12">
        <f>('TUSD BE'!$L$32+'TUSD BF'!$L$32+'TUSD CVA'!$L$32)*(1 - CUSTOS!$M$38)</f>
        <v>0</v>
      </c>
      <c r="M32" s="12">
        <f>('TUSD BE'!$M$32+'TUSD BF'!$M$32+'TUSD CVA'!$M$32)*(1 - CUSTOS!$M$38)</f>
        <v>2.230647671790468</v>
      </c>
      <c r="N32" s="12">
        <f ca="1">('TUSD BE'!$N$32+'TUSD BF'!$N$32+'TUSD CVA'!$N$32)*(1 - CUSTOS!$M$38)</f>
        <v>0</v>
      </c>
      <c r="O32" s="12">
        <f>('TUSD BE'!$O$32+'TUSD BF'!$O$32+'TUSD CVA'!$O$32)*(1 - CUSTOS!$M$38)</f>
        <v>0</v>
      </c>
      <c r="P32" s="12">
        <f>('TUSD BE'!$P$32+'TUSD BF'!$P$32+'TUSD CVA'!$P$32)*(1 - CUSTOS!$M$38)</f>
        <v>0</v>
      </c>
      <c r="Q32" s="12">
        <f>('TUSD BE'!$Q$32+'TUSD BF'!$Q$32+'TUSD CVA'!$Q$32)*(1 - CUSTOS!$M$38)</f>
        <v>82.285911692074606</v>
      </c>
      <c r="R32" s="12">
        <f>('TUSD BE'!$R$32+'TUSD BF'!$R$32+'TUSD CVA'!$R$32)*(1 - CUSTOS!$M$38)</f>
        <v>13.018426033394295</v>
      </c>
      <c r="S32" s="12">
        <f>('TUSD BE'!$S$32+'TUSD BF'!$S$32+'TUSD CVA'!$S$32)*(1 - CUSTOS!$M$38)</f>
        <v>0</v>
      </c>
      <c r="T32" s="12">
        <f>('TUSD BE'!$U$32+'TUSD BF'!$U$32+'TUSD CVA'!$U$32)*(1 - CUSTOS!$M$38)</f>
        <v>0</v>
      </c>
      <c r="U32" s="12">
        <f>('TUSD BE'!$V$32+'TUSD BF'!$V$32+'TUSD CVA'!$V$32)*(1 - CUSTOS!$M$38)</f>
        <v>0</v>
      </c>
      <c r="V32" s="12">
        <f>('TUSD BE'!$W$32+'TUSD BF'!$W$32+'TUSD CVA'!$W$32)*(1 - CUSTOS!$M$38)</f>
        <v>0</v>
      </c>
      <c r="W32" s="12">
        <f>('TUSD BE'!$X$32+'TUSD BF'!$X$32+'TUSD CVA'!$X$32)*(1 - CUSTOS!$M$38)</f>
        <v>0</v>
      </c>
      <c r="X32" s="12">
        <f>('TUSD BE'!$Y$32+'TUSD BF'!$Y$32+'TUSD CVA'!$Y$32)*(1 - CUSTOS!$M$38)</f>
        <v>70.868483664429405</v>
      </c>
      <c r="Y32" s="12">
        <f>('TUSD BE'!$Z$32+'TUSD BF'!$Z$32+'TUSD CVA'!$Z$32)*(1 - CUSTOS!$M$38)</f>
        <v>0</v>
      </c>
      <c r="Z32" s="12">
        <f>('TUSD BE'!$AA$32+'TUSD BF'!$AA$32+'TUSD CVA'!$AA$32)*(1 - CUSTOS!$M$38)</f>
        <v>0</v>
      </c>
      <c r="AA32" s="12">
        <f>('TUSD BE'!$AC$32+'TUSD BF'!$AC$32+'TUSD CVA'!$AC$32)*(1 - CUSTOS!$M$38)</f>
        <v>102.26643555652423</v>
      </c>
      <c r="AB32" s="12">
        <f ca="1">('TUSD BE'!$AE$32+'TUSD BF'!$AE$32+'TUSD CVA'!$AE$32)*(1 - CUSTOS!$M$38)</f>
        <v>0</v>
      </c>
      <c r="AC32" s="12">
        <f ca="1">('TUSD BE'!$AF$32+'TUSD BF'!$AF$32+'TUSD CVA'!$AF$32)*(1 - CUSTOS!$M$38)</f>
        <v>0</v>
      </c>
      <c r="AD32" s="12">
        <f>('TUSD BE'!$AH$32+'TUSD BF'!$AH$32+'TUSD CVA'!$AH$32)*(1 - CUSTOS!$M$38)</f>
        <v>28.070944123665001</v>
      </c>
      <c r="AE32" s="12">
        <f>('TUSD BE'!$AI$32+'TUSD BF'!$AI$32+'TUSD CVA'!$AI$32)*(1 - CUSTOS!$M$38)</f>
        <v>0</v>
      </c>
      <c r="AF32" s="12">
        <f ca="1">('TUSD BE'!$AJ$32+'TUSD BF'!$AJ$32+'TUSD CVA'!$AJ$32)*(1 - CUSTOS!$M$38)</f>
        <v>0</v>
      </c>
      <c r="AG32" s="12">
        <f ca="1">('TUSD BE'!$AK$32+'TUSD BF'!$AK$32+'TUSD CVA'!$AK$32)*(1 - CUSTOS!$M$38)</f>
        <v>0</v>
      </c>
      <c r="AI32" s="12">
        <v>0</v>
      </c>
      <c r="AJ32" s="12">
        <v>1.9951397982235199</v>
      </c>
      <c r="AK32" s="12">
        <v>0</v>
      </c>
      <c r="AL32" s="12">
        <v>0</v>
      </c>
      <c r="AM32" s="12">
        <v>0</v>
      </c>
      <c r="AN32" s="12">
        <v>52.848089255315898</v>
      </c>
      <c r="AO32" s="12">
        <v>8.2023356077976306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56.3393828987954</v>
      </c>
      <c r="AV32" s="12">
        <v>0</v>
      </c>
      <c r="AW32" s="12">
        <v>0</v>
      </c>
      <c r="AX32" s="12">
        <v>89.7493873313297</v>
      </c>
      <c r="AY32" s="12">
        <v>0</v>
      </c>
      <c r="AZ32" s="12">
        <v>0</v>
      </c>
      <c r="BA32" s="12">
        <v>30.618938201887499</v>
      </c>
      <c r="BB32" s="12">
        <v>0</v>
      </c>
      <c r="BC32" s="12">
        <v>0</v>
      </c>
      <c r="BD32" s="12">
        <v>0</v>
      </c>
    </row>
    <row r="33" spans="1:56" ht="11.25" customHeight="1" x14ac:dyDescent="0.25">
      <c r="A33" s="102"/>
      <c r="B33" s="18" t="s">
        <v>23</v>
      </c>
      <c r="C33" s="18" t="s">
        <v>41</v>
      </c>
      <c r="D33" s="18" t="s">
        <v>25</v>
      </c>
      <c r="E33" s="18" t="s">
        <v>25</v>
      </c>
      <c r="F33" s="18" t="s">
        <v>25</v>
      </c>
      <c r="G33" s="17" t="s">
        <v>77</v>
      </c>
      <c r="H33" s="17" t="s">
        <v>71</v>
      </c>
      <c r="I33" s="17">
        <f>'MERCADO TUSD'!$U$30</f>
        <v>47790.548000000003</v>
      </c>
      <c r="J33" s="15"/>
      <c r="L33" s="12">
        <f>('TUSD BE'!$L$33+'TUSD BF'!$L$33+'TUSD CVA'!$L$33)*(1 - CUSTOS!$M$38)</f>
        <v>0</v>
      </c>
      <c r="M33" s="12">
        <f>('TUSD BE'!$M$33+'TUSD BF'!$M$33+'TUSD CVA'!$M$33)*(1 - CUSTOS!$M$38)</f>
        <v>2.230647671790468</v>
      </c>
      <c r="N33" s="12">
        <f ca="1">('TUSD BE'!$N$33+'TUSD BF'!$N$33+'TUSD CVA'!$N$33)*(1 - CUSTOS!$M$38)</f>
        <v>0</v>
      </c>
      <c r="O33" s="12">
        <f>('TUSD BE'!$O$33+'TUSD BF'!$O$33+'TUSD CVA'!$O$33)*(1 - CUSTOS!$M$38)</f>
        <v>0</v>
      </c>
      <c r="P33" s="12">
        <f>('TUSD BE'!$P$33+'TUSD BF'!$P$33+'TUSD CVA'!$P$33)*(1 - CUSTOS!$M$38)</f>
        <v>0</v>
      </c>
      <c r="Q33" s="12">
        <f>('TUSD BE'!$Q$33+'TUSD BF'!$Q$33+'TUSD CVA'!$Q$33)*(1 - CUSTOS!$M$38)</f>
        <v>82.285911692074606</v>
      </c>
      <c r="R33" s="12">
        <f>('TUSD BE'!$R$33+'TUSD BF'!$R$33+'TUSD CVA'!$R$33)*(1 - CUSTOS!$M$38)</f>
        <v>13.018426033394295</v>
      </c>
      <c r="S33" s="12">
        <f>('TUSD BE'!$S$33+'TUSD BF'!$S$33+'TUSD CVA'!$S$33)*(1 - CUSTOS!$M$38)</f>
        <v>0</v>
      </c>
      <c r="T33" s="12">
        <f>('TUSD BE'!$U$33+'TUSD BF'!$U$33+'TUSD CVA'!$U$33)*(1 - CUSTOS!$M$38)</f>
        <v>0</v>
      </c>
      <c r="U33" s="12">
        <f>('TUSD BE'!$V$33+'TUSD BF'!$V$33+'TUSD CVA'!$V$33)*(1 - CUSTOS!$M$38)</f>
        <v>0</v>
      </c>
      <c r="V33" s="12">
        <f>('TUSD BE'!$W$33+'TUSD BF'!$W$33+'TUSD CVA'!$W$33)*(1 - CUSTOS!$M$38)</f>
        <v>0</v>
      </c>
      <c r="W33" s="12">
        <f>('TUSD BE'!$X$33+'TUSD BF'!$X$33+'TUSD CVA'!$X$33)*(1 - CUSTOS!$M$38)</f>
        <v>0</v>
      </c>
      <c r="X33" s="12">
        <f>('TUSD BE'!$Y$33+'TUSD BF'!$Y$33+'TUSD CVA'!$Y$33)*(1 - CUSTOS!$M$38)</f>
        <v>136.3133588851525</v>
      </c>
      <c r="Y33" s="12">
        <f>('TUSD BE'!$Z$33+'TUSD BF'!$Z$33+'TUSD CVA'!$Z$33)*(1 - CUSTOS!$M$38)</f>
        <v>0</v>
      </c>
      <c r="Z33" s="12">
        <f>('TUSD BE'!$AA$33+'TUSD BF'!$AA$33+'TUSD CVA'!$AA$33)*(1 - CUSTOS!$M$38)</f>
        <v>0</v>
      </c>
      <c r="AA33" s="12">
        <f>('TUSD BE'!$AC$33+'TUSD BF'!$AC$33+'TUSD CVA'!$AC$33)*(1 - CUSTOS!$M$38)</f>
        <v>196.66628254087843</v>
      </c>
      <c r="AB33" s="12">
        <f ca="1">('TUSD BE'!$AE$33+'TUSD BF'!$AE$33+'TUSD CVA'!$AE$33)*(1 - CUSTOS!$M$38)</f>
        <v>0</v>
      </c>
      <c r="AC33" s="12">
        <f ca="1">('TUSD BE'!$AF$33+'TUSD BF'!$AF$33+'TUSD CVA'!$AF$33)*(1 - CUSTOS!$M$38)</f>
        <v>0</v>
      </c>
      <c r="AD33" s="12">
        <f>('TUSD BE'!$AH$33+'TUSD BF'!$AH$33+'TUSD CVA'!$AH$33)*(1 - CUSTOS!$M$38)</f>
        <v>28.070944123665001</v>
      </c>
      <c r="AE33" s="12">
        <f>('TUSD BE'!$AI$33+'TUSD BF'!$AI$33+'TUSD CVA'!$AI$33)*(1 - CUSTOS!$M$38)</f>
        <v>0</v>
      </c>
      <c r="AF33" s="12">
        <f ca="1">('TUSD BE'!$AJ$33+'TUSD BF'!$AJ$33+'TUSD CVA'!$AJ$33)*(1 - CUSTOS!$M$38)</f>
        <v>0</v>
      </c>
      <c r="AG33" s="12">
        <f ca="1">('TUSD BE'!$AK$33+'TUSD BF'!$AK$33+'TUSD CVA'!$AK$33)*(1 - CUSTOS!$M$38)</f>
        <v>0</v>
      </c>
      <c r="AI33" s="12">
        <v>0</v>
      </c>
      <c r="AJ33" s="12">
        <v>1.9951397982235199</v>
      </c>
      <c r="AK33" s="12">
        <v>0</v>
      </c>
      <c r="AL33" s="12">
        <v>0</v>
      </c>
      <c r="AM33" s="12">
        <v>0</v>
      </c>
      <c r="AN33" s="12">
        <v>52.848089255315898</v>
      </c>
      <c r="AO33" s="12">
        <v>8.2023356077976306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108.398559489349</v>
      </c>
      <c r="AV33" s="12">
        <v>0</v>
      </c>
      <c r="AW33" s="12">
        <v>0</v>
      </c>
      <c r="AX33" s="12">
        <v>172.59500898238599</v>
      </c>
      <c r="AY33" s="12">
        <v>0</v>
      </c>
      <c r="AZ33" s="12">
        <v>0</v>
      </c>
      <c r="BA33" s="12">
        <v>30.618938201887499</v>
      </c>
      <c r="BB33" s="12">
        <v>0</v>
      </c>
      <c r="BC33" s="12">
        <v>0</v>
      </c>
      <c r="BD33" s="12">
        <v>0</v>
      </c>
    </row>
    <row r="34" spans="1:56" ht="11.25" customHeight="1" x14ac:dyDescent="0.25">
      <c r="A34" s="102"/>
      <c r="B34" s="102" t="s">
        <v>85</v>
      </c>
      <c r="C34" s="102" t="s">
        <v>41</v>
      </c>
      <c r="D34" s="102" t="s">
        <v>88</v>
      </c>
      <c r="E34" s="102" t="s">
        <v>25</v>
      </c>
      <c r="F34" s="102" t="s">
        <v>25</v>
      </c>
      <c r="G34" s="17" t="s">
        <v>72</v>
      </c>
      <c r="H34" s="17" t="s">
        <v>71</v>
      </c>
      <c r="I34" s="17">
        <f>'MERCADO TUSD'!$U$31</f>
        <v>0</v>
      </c>
      <c r="J34" s="15"/>
      <c r="L34" s="12">
        <f>('TUSD BE'!$L$34+'TUSD BF'!$L$34+'TUSD CVA'!$L$34)*(1 - CUSTOS!$M$39)</f>
        <v>0</v>
      </c>
      <c r="M34" s="12">
        <f>('TUSD BE'!$M$34+'TUSD BF'!$M$34+'TUSD CVA'!$M$34)*(1 - CUSTOS!$M$39)</f>
        <v>2.230647671790468</v>
      </c>
      <c r="N34" s="12">
        <f ca="1">('TUSD BE'!$N$34+'TUSD BF'!$N$34+'TUSD CVA'!$N$34)*(1 - CUSTOS!$M$39)</f>
        <v>0</v>
      </c>
      <c r="O34" s="12">
        <f>('TUSD BE'!$O$34+'TUSD BF'!$O$34+'TUSD CVA'!$O$34)*(1 - CUSTOS!$M$39)</f>
        <v>0</v>
      </c>
      <c r="P34" s="12">
        <f>('TUSD BE'!$P$34+'TUSD BF'!$P$34+'TUSD CVA'!$P$34)*(1 - CUSTOS!$M$39)</f>
        <v>0</v>
      </c>
      <c r="Q34" s="12">
        <f>('TUSD BE'!$Q$34+'TUSD BF'!$Q$34+'TUSD CVA'!$Q$34)*(1 - CUSTOS!$M$39)</f>
        <v>82.285911692074606</v>
      </c>
      <c r="R34" s="12">
        <f>('TUSD BE'!$R$34+'TUSD BF'!$R$34+'TUSD CVA'!$R$34)*(1 - CUSTOS!$M$39)</f>
        <v>13.018426033394295</v>
      </c>
      <c r="S34" s="12">
        <f>('TUSD BE'!$S$34+'TUSD BF'!$S$34+'TUSD CVA'!$S$34)*(1 - CUSTOS!$M$39)</f>
        <v>0</v>
      </c>
      <c r="T34" s="12">
        <f>('TUSD BE'!$U$34+'TUSD BF'!$U$34+'TUSD CVA'!$U$34)*(1 - CUSTOS!$M$39)</f>
        <v>0</v>
      </c>
      <c r="U34" s="12">
        <f>('TUSD BE'!$V$34+'TUSD BF'!$V$34+'TUSD CVA'!$V$34)*(1 - CUSTOS!$M$39)</f>
        <v>0</v>
      </c>
      <c r="V34" s="12">
        <f>('TUSD BE'!$W$34+'TUSD BF'!$W$34+'TUSD CVA'!$W$34)*(1 - CUSTOS!$M$39)</f>
        <v>0</v>
      </c>
      <c r="W34" s="12">
        <f>('TUSD BE'!$X$34+'TUSD BF'!$X$34+'TUSD CVA'!$X$34)*(1 - CUSTOS!$M$39)</f>
        <v>0</v>
      </c>
      <c r="X34" s="12">
        <f>('TUSD BE'!$Y$34+'TUSD BF'!$Y$34+'TUSD CVA'!$Y$34)*(1 - CUSTOS!$M$39)</f>
        <v>354.34241832214707</v>
      </c>
      <c r="Y34" s="12">
        <f>('TUSD BE'!$Z$34+'TUSD BF'!$Z$34+'TUSD CVA'!$Z$34)*(1 - CUSTOS!$M$39)</f>
        <v>0</v>
      </c>
      <c r="Z34" s="12">
        <f>('TUSD BE'!$AA$34+'TUSD BF'!$AA$34+'TUSD CVA'!$AA$34)*(1 - CUSTOS!$M$39)</f>
        <v>0</v>
      </c>
      <c r="AA34" s="12">
        <f>('TUSD BE'!$AC$34+'TUSD BF'!$AC$34+'TUSD CVA'!$AC$34)*(1 - CUSTOS!$M$39)</f>
        <v>511.33249142994674</v>
      </c>
      <c r="AB34" s="12">
        <f ca="1">('TUSD BE'!$AE$34+'TUSD BF'!$AE$34+'TUSD CVA'!$AE$34)*(1 - CUSTOS!$M$39)</f>
        <v>0</v>
      </c>
      <c r="AC34" s="12">
        <f ca="1">('TUSD BE'!$AF$34+'TUSD BF'!$AF$34+'TUSD CVA'!$AF$34)*(1 - CUSTOS!$M$39)</f>
        <v>0</v>
      </c>
      <c r="AD34" s="12">
        <f>('TUSD BE'!$AH$34+'TUSD BF'!$AH$34+'TUSD CVA'!$AH$34)*(1 - CUSTOS!$M$39)</f>
        <v>28.070944123665001</v>
      </c>
      <c r="AE34" s="12">
        <f>('TUSD BE'!$AI$34+'TUSD BF'!$AI$34+'TUSD CVA'!$AI$34)*(1 - CUSTOS!$M$39)</f>
        <v>0</v>
      </c>
      <c r="AF34" s="12">
        <f ca="1">('TUSD BE'!$AJ$34+'TUSD BF'!$AJ$34+'TUSD CVA'!$AJ$34)*(1 - CUSTOS!$M$39)</f>
        <v>0</v>
      </c>
      <c r="AG34" s="12">
        <f ca="1">('TUSD BE'!$AK$34+'TUSD BF'!$AK$34+'TUSD CVA'!$AK$34)*(1 - CUSTOS!$M$39)</f>
        <v>0</v>
      </c>
      <c r="AI34" s="12">
        <v>0</v>
      </c>
      <c r="AJ34" s="12">
        <v>1.9951397982235199</v>
      </c>
      <c r="AK34" s="12">
        <v>0</v>
      </c>
      <c r="AL34" s="12">
        <v>0</v>
      </c>
      <c r="AM34" s="12">
        <v>0</v>
      </c>
      <c r="AN34" s="12">
        <v>52.848089255315898</v>
      </c>
      <c r="AO34" s="12">
        <v>8.2023356077976306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281.69691449397698</v>
      </c>
      <c r="AV34" s="12">
        <v>0</v>
      </c>
      <c r="AW34" s="12">
        <v>0</v>
      </c>
      <c r="AX34" s="12">
        <v>448.74697606462797</v>
      </c>
      <c r="AY34" s="12">
        <v>0</v>
      </c>
      <c r="AZ34" s="12">
        <v>0</v>
      </c>
      <c r="BA34" s="12">
        <v>30.618938201887499</v>
      </c>
      <c r="BB34" s="12">
        <v>0</v>
      </c>
      <c r="BC34" s="12">
        <v>0</v>
      </c>
      <c r="BD34" s="12">
        <v>0</v>
      </c>
    </row>
    <row r="35" spans="1:56" ht="11.25" customHeight="1" x14ac:dyDescent="0.25">
      <c r="A35" s="102"/>
      <c r="B35" s="102"/>
      <c r="C35" s="102"/>
      <c r="D35" s="102"/>
      <c r="E35" s="102"/>
      <c r="F35" s="102"/>
      <c r="G35" s="17" t="s">
        <v>83</v>
      </c>
      <c r="H35" s="17" t="s">
        <v>71</v>
      </c>
      <c r="I35" s="17">
        <f>'MERCADO TUSD'!$U$32</f>
        <v>0</v>
      </c>
      <c r="J35" s="15"/>
      <c r="L35" s="12">
        <f>('TUSD BE'!$L$35+'TUSD BF'!$L$35+'TUSD CVA'!$L$35)*(1 - CUSTOS!$M$39)</f>
        <v>0</v>
      </c>
      <c r="M35" s="12">
        <f>('TUSD BE'!$M$35+'TUSD BF'!$M$35+'TUSD CVA'!$M$35)*(1 - CUSTOS!$M$39)</f>
        <v>2.230647671790468</v>
      </c>
      <c r="N35" s="12">
        <f ca="1">('TUSD BE'!$N$35+'TUSD BF'!$N$35+'TUSD CVA'!$N$35)*(1 - CUSTOS!$M$39)</f>
        <v>0</v>
      </c>
      <c r="O35" s="12">
        <f>('TUSD BE'!$O$35+'TUSD BF'!$O$35+'TUSD CVA'!$O$35)*(1 - CUSTOS!$M$39)</f>
        <v>0</v>
      </c>
      <c r="P35" s="12">
        <f>('TUSD BE'!$P$35+'TUSD BF'!$P$35+'TUSD CVA'!$P$35)*(1 - CUSTOS!$M$39)</f>
        <v>0</v>
      </c>
      <c r="Q35" s="12">
        <f>('TUSD BE'!$Q$35+'TUSD BF'!$Q$35+'TUSD CVA'!$Q$35)*(1 - CUSTOS!$M$39)</f>
        <v>82.285911692074606</v>
      </c>
      <c r="R35" s="12">
        <f>('TUSD BE'!$R$35+'TUSD BF'!$R$35+'TUSD CVA'!$R$35)*(1 - CUSTOS!$M$39)</f>
        <v>13.018426033394295</v>
      </c>
      <c r="S35" s="12">
        <f>('TUSD BE'!$S$35+'TUSD BF'!$S$35+'TUSD CVA'!$S$35)*(1 - CUSTOS!$M$39)</f>
        <v>0</v>
      </c>
      <c r="T35" s="12">
        <f>('TUSD BE'!$U$35+'TUSD BF'!$U$35+'TUSD CVA'!$U$35)*(1 - CUSTOS!$M$39)</f>
        <v>0</v>
      </c>
      <c r="U35" s="12">
        <f>('TUSD BE'!$V$35+'TUSD BF'!$V$35+'TUSD CVA'!$V$35)*(1 - CUSTOS!$M$39)</f>
        <v>0</v>
      </c>
      <c r="V35" s="12">
        <f>('TUSD BE'!$W$35+'TUSD BF'!$W$35+'TUSD CVA'!$W$35)*(1 - CUSTOS!$M$39)</f>
        <v>0</v>
      </c>
      <c r="W35" s="12">
        <f>('TUSD BE'!$X$35+'TUSD BF'!$X$35+'TUSD CVA'!$X$35)*(1 - CUSTOS!$M$39)</f>
        <v>0</v>
      </c>
      <c r="X35" s="12">
        <f>('TUSD BE'!$Y$35+'TUSD BF'!$Y$35+'TUSD CVA'!$Y$35)*(1 - CUSTOS!$M$39)</f>
        <v>212.60545099328826</v>
      </c>
      <c r="Y35" s="12">
        <f>('TUSD BE'!$Z$35+'TUSD BF'!$Z$35+'TUSD CVA'!$Z$35)*(1 - CUSTOS!$M$39)</f>
        <v>0</v>
      </c>
      <c r="Z35" s="12">
        <f>('TUSD BE'!$AA$35+'TUSD BF'!$AA$35+'TUSD CVA'!$AA$35)*(1 - CUSTOS!$M$39)</f>
        <v>0</v>
      </c>
      <c r="AA35" s="12">
        <f>('TUSD BE'!$AC$35+'TUSD BF'!$AC$35+'TUSD CVA'!$AC$35)*(1 - CUSTOS!$M$39)</f>
        <v>306.79954190506692</v>
      </c>
      <c r="AB35" s="12">
        <f ca="1">('TUSD BE'!$AE$35+'TUSD BF'!$AE$35+'TUSD CVA'!$AE$35)*(1 - CUSTOS!$M$39)</f>
        <v>0</v>
      </c>
      <c r="AC35" s="12">
        <f ca="1">('TUSD BE'!$AF$35+'TUSD BF'!$AF$35+'TUSD CVA'!$AF$35)*(1 - CUSTOS!$M$39)</f>
        <v>0</v>
      </c>
      <c r="AD35" s="12">
        <f>('TUSD BE'!$AH$35+'TUSD BF'!$AH$35+'TUSD CVA'!$AH$35)*(1 - CUSTOS!$M$39)</f>
        <v>28.070944123665001</v>
      </c>
      <c r="AE35" s="12">
        <f>('TUSD BE'!$AI$35+'TUSD BF'!$AI$35+'TUSD CVA'!$AI$35)*(1 - CUSTOS!$M$39)</f>
        <v>0</v>
      </c>
      <c r="AF35" s="12">
        <f ca="1">('TUSD BE'!$AJ$35+'TUSD BF'!$AJ$35+'TUSD CVA'!$AJ$35)*(1 - CUSTOS!$M$39)</f>
        <v>0</v>
      </c>
      <c r="AG35" s="12">
        <f ca="1">('TUSD BE'!$AK$35+'TUSD BF'!$AK$35+'TUSD CVA'!$AK$35)*(1 - CUSTOS!$M$39)</f>
        <v>0</v>
      </c>
      <c r="AI35" s="12">
        <v>0</v>
      </c>
      <c r="AJ35" s="12">
        <v>1.9951397982235199</v>
      </c>
      <c r="AK35" s="12">
        <v>0</v>
      </c>
      <c r="AL35" s="12">
        <v>0</v>
      </c>
      <c r="AM35" s="12">
        <v>0</v>
      </c>
      <c r="AN35" s="12">
        <v>52.848089255315898</v>
      </c>
      <c r="AO35" s="12">
        <v>8.2023356077976306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169.01814869638599</v>
      </c>
      <c r="AV35" s="12">
        <v>0</v>
      </c>
      <c r="AW35" s="12">
        <v>0</v>
      </c>
      <c r="AX35" s="12">
        <v>269.24824080994802</v>
      </c>
      <c r="AY35" s="12">
        <v>0</v>
      </c>
      <c r="AZ35" s="12">
        <v>0</v>
      </c>
      <c r="BA35" s="12">
        <v>30.618938201887499</v>
      </c>
      <c r="BB35" s="12">
        <v>0</v>
      </c>
      <c r="BC35" s="12">
        <v>0</v>
      </c>
      <c r="BD35" s="12">
        <v>0</v>
      </c>
    </row>
    <row r="36" spans="1:56" ht="11.25" customHeight="1" x14ac:dyDescent="0.25">
      <c r="A36" s="102"/>
      <c r="B36" s="102"/>
      <c r="C36" s="102"/>
      <c r="D36" s="102"/>
      <c r="E36" s="102"/>
      <c r="F36" s="102"/>
      <c r="G36" s="17" t="s">
        <v>73</v>
      </c>
      <c r="H36" s="17" t="s">
        <v>71</v>
      </c>
      <c r="I36" s="17">
        <f>'MERCADO TUSD'!$U$33</f>
        <v>0</v>
      </c>
      <c r="J36" s="15"/>
      <c r="L36" s="12">
        <f>('TUSD BE'!$L$36+'TUSD BF'!$L$36+'TUSD CVA'!$L$36)*(1 - CUSTOS!$M$39)</f>
        <v>0</v>
      </c>
      <c r="M36" s="12">
        <f>('TUSD BE'!$M$36+'TUSD BF'!$M$36+'TUSD CVA'!$M$36)*(1 - CUSTOS!$M$39)</f>
        <v>2.230647671790468</v>
      </c>
      <c r="N36" s="12">
        <f ca="1">('TUSD BE'!$N$36+'TUSD BF'!$N$36+'TUSD CVA'!$N$36)*(1 - CUSTOS!$M$39)</f>
        <v>0</v>
      </c>
      <c r="O36" s="12">
        <f>('TUSD BE'!$O$36+'TUSD BF'!$O$36+'TUSD CVA'!$O$36)*(1 - CUSTOS!$M$39)</f>
        <v>0</v>
      </c>
      <c r="P36" s="12">
        <f>('TUSD BE'!$P$36+'TUSD BF'!$P$36+'TUSD CVA'!$P$36)*(1 - CUSTOS!$M$39)</f>
        <v>0</v>
      </c>
      <c r="Q36" s="12">
        <f>('TUSD BE'!$Q$36+'TUSD BF'!$Q$36+'TUSD CVA'!$Q$36)*(1 - CUSTOS!$M$39)</f>
        <v>82.285911692074606</v>
      </c>
      <c r="R36" s="12">
        <f>('TUSD BE'!$R$36+'TUSD BF'!$R$36+'TUSD CVA'!$R$36)*(1 - CUSTOS!$M$39)</f>
        <v>13.018426033394295</v>
      </c>
      <c r="S36" s="12">
        <f>('TUSD BE'!$S$36+'TUSD BF'!$S$36+'TUSD CVA'!$S$36)*(1 - CUSTOS!$M$39)</f>
        <v>0</v>
      </c>
      <c r="T36" s="12">
        <f>('TUSD BE'!$U$36+'TUSD BF'!$U$36+'TUSD CVA'!$U$36)*(1 - CUSTOS!$M$39)</f>
        <v>0</v>
      </c>
      <c r="U36" s="12">
        <f>('TUSD BE'!$V$36+'TUSD BF'!$V$36+'TUSD CVA'!$V$36)*(1 - CUSTOS!$M$39)</f>
        <v>0</v>
      </c>
      <c r="V36" s="12">
        <f>('TUSD BE'!$W$36+'TUSD BF'!$W$36+'TUSD CVA'!$W$36)*(1 - CUSTOS!$M$39)</f>
        <v>0</v>
      </c>
      <c r="W36" s="12">
        <f>('TUSD BE'!$X$36+'TUSD BF'!$X$36+'TUSD CVA'!$X$36)*(1 - CUSTOS!$M$39)</f>
        <v>0</v>
      </c>
      <c r="X36" s="12">
        <f>('TUSD BE'!$Y$36+'TUSD BF'!$Y$36+'TUSD CVA'!$Y$36)*(1 - CUSTOS!$M$39)</f>
        <v>70.868483664429405</v>
      </c>
      <c r="Y36" s="12">
        <f>('TUSD BE'!$Z$36+'TUSD BF'!$Z$36+'TUSD CVA'!$Z$36)*(1 - CUSTOS!$M$39)</f>
        <v>0</v>
      </c>
      <c r="Z36" s="12">
        <f>('TUSD BE'!$AA$36+'TUSD BF'!$AA$36+'TUSD CVA'!$AA$36)*(1 - CUSTOS!$M$39)</f>
        <v>0</v>
      </c>
      <c r="AA36" s="12">
        <f>('TUSD BE'!$AC$36+'TUSD BF'!$AC$36+'TUSD CVA'!$AC$36)*(1 - CUSTOS!$M$39)</f>
        <v>102.26643555652423</v>
      </c>
      <c r="AB36" s="12">
        <f ca="1">('TUSD BE'!$AE$36+'TUSD BF'!$AE$36+'TUSD CVA'!$AE$36)*(1 - CUSTOS!$M$39)</f>
        <v>0</v>
      </c>
      <c r="AC36" s="12">
        <f ca="1">('TUSD BE'!$AF$36+'TUSD BF'!$AF$36+'TUSD CVA'!$AF$36)*(1 - CUSTOS!$M$39)</f>
        <v>0</v>
      </c>
      <c r="AD36" s="12">
        <f>('TUSD BE'!$AH$36+'TUSD BF'!$AH$36+'TUSD CVA'!$AH$36)*(1 - CUSTOS!$M$39)</f>
        <v>28.070944123665001</v>
      </c>
      <c r="AE36" s="12">
        <f>('TUSD BE'!$AI$36+'TUSD BF'!$AI$36+'TUSD CVA'!$AI$36)*(1 - CUSTOS!$M$39)</f>
        <v>0</v>
      </c>
      <c r="AF36" s="12">
        <f ca="1">('TUSD BE'!$AJ$36+'TUSD BF'!$AJ$36+'TUSD CVA'!$AJ$36)*(1 - CUSTOS!$M$39)</f>
        <v>0</v>
      </c>
      <c r="AG36" s="12">
        <f ca="1">('TUSD BE'!$AK$36+'TUSD BF'!$AK$36+'TUSD CVA'!$AK$36)*(1 - CUSTOS!$M$39)</f>
        <v>0</v>
      </c>
      <c r="AI36" s="12">
        <v>0</v>
      </c>
      <c r="AJ36" s="12">
        <v>1.9951397982235199</v>
      </c>
      <c r="AK36" s="12">
        <v>0</v>
      </c>
      <c r="AL36" s="12">
        <v>0</v>
      </c>
      <c r="AM36" s="12">
        <v>0</v>
      </c>
      <c r="AN36" s="12">
        <v>52.848089255315898</v>
      </c>
      <c r="AO36" s="12">
        <v>8.2023356077976306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56.3393828987954</v>
      </c>
      <c r="AV36" s="12">
        <v>0</v>
      </c>
      <c r="AW36" s="12">
        <v>0</v>
      </c>
      <c r="AX36" s="12">
        <v>89.7493873313297</v>
      </c>
      <c r="AY36" s="12">
        <v>0</v>
      </c>
      <c r="AZ36" s="12">
        <v>0</v>
      </c>
      <c r="BA36" s="12">
        <v>30.618938201887499</v>
      </c>
      <c r="BB36" s="12">
        <v>0</v>
      </c>
      <c r="BC36" s="12">
        <v>0</v>
      </c>
      <c r="BD36" s="12">
        <v>0</v>
      </c>
    </row>
    <row r="37" spans="1:56" ht="11.25" customHeight="1" x14ac:dyDescent="0.25">
      <c r="A37" s="102"/>
      <c r="B37" s="18" t="s">
        <v>23</v>
      </c>
      <c r="C37" s="18" t="s">
        <v>41</v>
      </c>
      <c r="D37" s="18" t="s">
        <v>88</v>
      </c>
      <c r="E37" s="18" t="s">
        <v>25</v>
      </c>
      <c r="F37" s="18" t="s">
        <v>25</v>
      </c>
      <c r="G37" s="17" t="s">
        <v>77</v>
      </c>
      <c r="H37" s="17" t="s">
        <v>71</v>
      </c>
      <c r="I37" s="17">
        <f>'MERCADO TUSD'!$U$34</f>
        <v>0</v>
      </c>
      <c r="J37" s="15"/>
      <c r="L37" s="12">
        <f>('TUSD BE'!$L$37+'TUSD BF'!$L$37+'TUSD CVA'!$L$37)*(1 - CUSTOS!$M$39)</f>
        <v>0</v>
      </c>
      <c r="M37" s="12">
        <f>('TUSD BE'!$M$37+'TUSD BF'!$M$37+'TUSD CVA'!$M$37)*(1 - CUSTOS!$M$39)</f>
        <v>2.230647671790468</v>
      </c>
      <c r="N37" s="12">
        <f ca="1">('TUSD BE'!$N$37+'TUSD BF'!$N$37+'TUSD CVA'!$N$37)*(1 - CUSTOS!$M$39)</f>
        <v>0</v>
      </c>
      <c r="O37" s="12">
        <f>('TUSD BE'!$O$37+'TUSD BF'!$O$37+'TUSD CVA'!$O$37)*(1 - CUSTOS!$M$39)</f>
        <v>0</v>
      </c>
      <c r="P37" s="12">
        <f>('TUSD BE'!$P$37+'TUSD BF'!$P$37+'TUSD CVA'!$P$37)*(1 - CUSTOS!$M$39)</f>
        <v>0</v>
      </c>
      <c r="Q37" s="12">
        <f>('TUSD BE'!$Q$37+'TUSD BF'!$Q$37+'TUSD CVA'!$Q$37)*(1 - CUSTOS!$M$39)</f>
        <v>82.285911692074606</v>
      </c>
      <c r="R37" s="12">
        <f>('TUSD BE'!$R$37+'TUSD BF'!$R$37+'TUSD CVA'!$R$37)*(1 - CUSTOS!$M$39)</f>
        <v>13.018426033394295</v>
      </c>
      <c r="S37" s="12">
        <f>('TUSD BE'!$S$37+'TUSD BF'!$S$37+'TUSD CVA'!$S$37)*(1 - CUSTOS!$M$39)</f>
        <v>0</v>
      </c>
      <c r="T37" s="12">
        <f>('TUSD BE'!$U$37+'TUSD BF'!$U$37+'TUSD CVA'!$U$37)*(1 - CUSTOS!$M$39)</f>
        <v>0</v>
      </c>
      <c r="U37" s="12">
        <f>('TUSD BE'!$V$37+'TUSD BF'!$V$37+'TUSD CVA'!$V$37)*(1 - CUSTOS!$M$39)</f>
        <v>0</v>
      </c>
      <c r="V37" s="12">
        <f>('TUSD BE'!$W$37+'TUSD BF'!$W$37+'TUSD CVA'!$W$37)*(1 - CUSTOS!$M$39)</f>
        <v>0</v>
      </c>
      <c r="W37" s="12">
        <f>('TUSD BE'!$X$37+'TUSD BF'!$X$37+'TUSD CVA'!$X$37)*(1 - CUSTOS!$M$39)</f>
        <v>0</v>
      </c>
      <c r="X37" s="12">
        <f>('TUSD BE'!$Y$37+'TUSD BF'!$Y$37+'TUSD CVA'!$Y$37)*(1 - CUSTOS!$M$39)</f>
        <v>136.3133588851525</v>
      </c>
      <c r="Y37" s="12">
        <f>('TUSD BE'!$Z$37+'TUSD BF'!$Z$37+'TUSD CVA'!$Z$37)*(1 - CUSTOS!$M$39)</f>
        <v>0</v>
      </c>
      <c r="Z37" s="12">
        <f>('TUSD BE'!$AA$37+'TUSD BF'!$AA$37+'TUSD CVA'!$AA$37)*(1 - CUSTOS!$M$39)</f>
        <v>0</v>
      </c>
      <c r="AA37" s="12">
        <f>('TUSD BE'!$AC$37+'TUSD BF'!$AC$37+'TUSD CVA'!$AC$37)*(1 - CUSTOS!$M$39)</f>
        <v>196.66628254087843</v>
      </c>
      <c r="AB37" s="12">
        <f ca="1">('TUSD BE'!$AE$37+'TUSD BF'!$AE$37+'TUSD CVA'!$AE$37)*(1 - CUSTOS!$M$39)</f>
        <v>0</v>
      </c>
      <c r="AC37" s="12">
        <f ca="1">('TUSD BE'!$AF$37+'TUSD BF'!$AF$37+'TUSD CVA'!$AF$37)*(1 - CUSTOS!$M$39)</f>
        <v>0</v>
      </c>
      <c r="AD37" s="12">
        <f>('TUSD BE'!$AH$37+'TUSD BF'!$AH$37+'TUSD CVA'!$AH$37)*(1 - CUSTOS!$M$39)</f>
        <v>28.070944123665001</v>
      </c>
      <c r="AE37" s="12">
        <f>('TUSD BE'!$AI$37+'TUSD BF'!$AI$37+'TUSD CVA'!$AI$37)*(1 - CUSTOS!$M$39)</f>
        <v>0</v>
      </c>
      <c r="AF37" s="12">
        <f ca="1">('TUSD BE'!$AJ$37+'TUSD BF'!$AJ$37+'TUSD CVA'!$AJ$37)*(1 - CUSTOS!$M$39)</f>
        <v>0</v>
      </c>
      <c r="AG37" s="12">
        <f ca="1">('TUSD BE'!$AK$37+'TUSD BF'!$AK$37+'TUSD CVA'!$AK$37)*(1 - CUSTOS!$M$39)</f>
        <v>0</v>
      </c>
      <c r="AI37" s="12">
        <v>0</v>
      </c>
      <c r="AJ37" s="12">
        <v>1.9951397982235199</v>
      </c>
      <c r="AK37" s="12">
        <v>0</v>
      </c>
      <c r="AL37" s="12">
        <v>0</v>
      </c>
      <c r="AM37" s="12">
        <v>0</v>
      </c>
      <c r="AN37" s="12">
        <v>52.848089255315898</v>
      </c>
      <c r="AO37" s="12">
        <v>8.2023356077976306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108.398559489349</v>
      </c>
      <c r="AV37" s="12">
        <v>0</v>
      </c>
      <c r="AW37" s="12">
        <v>0</v>
      </c>
      <c r="AX37" s="12">
        <v>172.59500898238599</v>
      </c>
      <c r="AY37" s="12">
        <v>0</v>
      </c>
      <c r="AZ37" s="12">
        <v>0</v>
      </c>
      <c r="BA37" s="12">
        <v>30.618938201887499</v>
      </c>
      <c r="BB37" s="12">
        <v>0</v>
      </c>
      <c r="BC37" s="12">
        <v>0</v>
      </c>
      <c r="BD37" s="12">
        <v>0</v>
      </c>
    </row>
    <row r="38" spans="1:56" ht="11.25" customHeight="1" x14ac:dyDescent="0.25">
      <c r="A38" s="102"/>
      <c r="B38" s="102" t="s">
        <v>85</v>
      </c>
      <c r="C38" s="102" t="s">
        <v>41</v>
      </c>
      <c r="D38" s="102" t="s">
        <v>89</v>
      </c>
      <c r="E38" s="102" t="s">
        <v>25</v>
      </c>
      <c r="F38" s="102" t="s">
        <v>25</v>
      </c>
      <c r="G38" s="17" t="s">
        <v>72</v>
      </c>
      <c r="H38" s="17" t="s">
        <v>71</v>
      </c>
      <c r="I38" s="17">
        <f>'MERCADO TUSD'!$U$35</f>
        <v>0</v>
      </c>
      <c r="J38" s="15"/>
      <c r="L38" s="12">
        <f>('TUSD BE'!$L$38+'TUSD BF'!$L$38+'TUSD CVA'!$L$38)*(1 - CUSTOS!$M$40)</f>
        <v>0</v>
      </c>
      <c r="M38" s="12">
        <f>('TUSD BE'!$M$38+'TUSD BF'!$M$38+'TUSD CVA'!$M$38)*(1 - CUSTOS!$M$40)</f>
        <v>2.1831870830289688</v>
      </c>
      <c r="N38" s="12">
        <f ca="1">('TUSD BE'!$N$38+'TUSD BF'!$N$38+'TUSD CVA'!$N$38)*(1 - CUSTOS!$M$40)</f>
        <v>0</v>
      </c>
      <c r="O38" s="12">
        <f>('TUSD BE'!$O$38+'TUSD BF'!$O$38+'TUSD CVA'!$O$38)*(1 - CUSTOS!$M$40)</f>
        <v>0</v>
      </c>
      <c r="P38" s="12">
        <f>('TUSD BE'!$P$38+'TUSD BF'!$P$38+'TUSD CVA'!$P$38)*(1 - CUSTOS!$M$40)</f>
        <v>0</v>
      </c>
      <c r="Q38" s="12">
        <f>('TUSD BE'!$Q$38+'TUSD BF'!$Q$38+'TUSD CVA'!$Q$38)*(1 - CUSTOS!$M$40)</f>
        <v>80.53514761351984</v>
      </c>
      <c r="R38" s="12">
        <f>('TUSD BE'!$R$38+'TUSD BF'!$R$38+'TUSD CVA'!$R$38)*(1 - CUSTOS!$M$40)</f>
        <v>12.741438245449736</v>
      </c>
      <c r="S38" s="12">
        <f>('TUSD BE'!$S$38+'TUSD BF'!$S$38+'TUSD CVA'!$S$38)*(1 - CUSTOS!$M$40)</f>
        <v>0</v>
      </c>
      <c r="T38" s="12">
        <f>('TUSD BE'!$U$38+'TUSD BF'!$U$38+'TUSD CVA'!$U$38)*(1 - CUSTOS!$M$40)</f>
        <v>0</v>
      </c>
      <c r="U38" s="12">
        <f>('TUSD BE'!$V$38+'TUSD BF'!$V$38+'TUSD CVA'!$V$38)*(1 - CUSTOS!$M$40)</f>
        <v>0</v>
      </c>
      <c r="V38" s="12">
        <f>('TUSD BE'!$W$38+'TUSD BF'!$W$38+'TUSD CVA'!$W$38)*(1 - CUSTOS!$M$40)</f>
        <v>0</v>
      </c>
      <c r="W38" s="12">
        <f>('TUSD BE'!$X$38+'TUSD BF'!$X$38+'TUSD CVA'!$X$38)*(1 - CUSTOS!$M$40)</f>
        <v>0</v>
      </c>
      <c r="X38" s="12">
        <f>('TUSD BE'!$Y$38+'TUSD BF'!$Y$38+'TUSD CVA'!$Y$38)*(1 - CUSTOS!$M$40)</f>
        <v>346.80321793231417</v>
      </c>
      <c r="Y38" s="12">
        <f>('TUSD BE'!$Z$38+'TUSD BF'!$Z$38+'TUSD CVA'!$Z$38)*(1 - CUSTOS!$M$40)</f>
        <v>0</v>
      </c>
      <c r="Z38" s="12">
        <f>('TUSD BE'!$AA$38+'TUSD BF'!$AA$38+'TUSD CVA'!$AA$38)*(1 - CUSTOS!$M$40)</f>
        <v>0</v>
      </c>
      <c r="AA38" s="12">
        <f>('TUSD BE'!$AC$38+'TUSD BF'!$AC$38+'TUSD CVA'!$AC$38)*(1 - CUSTOS!$M$40)</f>
        <v>500.4530767186713</v>
      </c>
      <c r="AB38" s="12">
        <f ca="1">('TUSD BE'!$AE$38+'TUSD BF'!$AE$38+'TUSD CVA'!$AE$38)*(1 - CUSTOS!$M$40)</f>
        <v>0</v>
      </c>
      <c r="AC38" s="12">
        <f ca="1">('TUSD BE'!$AF$38+'TUSD BF'!$AF$38+'TUSD CVA'!$AF$38)*(1 - CUSTOS!$M$40)</f>
        <v>0</v>
      </c>
      <c r="AD38" s="12">
        <f>('TUSD BE'!$AH$38+'TUSD BF'!$AH$38+'TUSD CVA'!$AH$38)*(1 - CUSTOS!$M$40)</f>
        <v>27.473689993374258</v>
      </c>
      <c r="AE38" s="12">
        <f>('TUSD BE'!$AI$38+'TUSD BF'!$AI$38+'TUSD CVA'!$AI$38)*(1 - CUSTOS!$M$40)</f>
        <v>0</v>
      </c>
      <c r="AF38" s="12">
        <f ca="1">('TUSD BE'!$AJ$38+'TUSD BF'!$AJ$38+'TUSD CVA'!$AJ$38)*(1 - CUSTOS!$M$40)</f>
        <v>0</v>
      </c>
      <c r="AG38" s="12">
        <f ca="1">('TUSD BE'!$AK$38+'TUSD BF'!$AK$38+'TUSD CVA'!$AK$38)*(1 - CUSTOS!$M$40)</f>
        <v>0</v>
      </c>
      <c r="AI38" s="12">
        <v>0</v>
      </c>
      <c r="AJ38" s="12">
        <v>1.9044516255769901</v>
      </c>
      <c r="AK38" s="12">
        <v>0</v>
      </c>
      <c r="AL38" s="12">
        <v>0</v>
      </c>
      <c r="AM38" s="12">
        <v>0</v>
      </c>
      <c r="AN38" s="12">
        <v>50.445903380074299</v>
      </c>
      <c r="AO38" s="12">
        <v>7.82950217107956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268.892509289705</v>
      </c>
      <c r="AV38" s="12">
        <v>0</v>
      </c>
      <c r="AW38" s="12">
        <v>0</v>
      </c>
      <c r="AX38" s="12">
        <v>428.34938624350798</v>
      </c>
      <c r="AY38" s="12">
        <v>0</v>
      </c>
      <c r="AZ38" s="12">
        <v>0</v>
      </c>
      <c r="BA38" s="12">
        <v>29.2271682836199</v>
      </c>
      <c r="BB38" s="12">
        <v>0</v>
      </c>
      <c r="BC38" s="12">
        <v>0</v>
      </c>
      <c r="BD38" s="12">
        <v>0</v>
      </c>
    </row>
    <row r="39" spans="1:56" ht="11.25" customHeight="1" x14ac:dyDescent="0.25">
      <c r="A39" s="102"/>
      <c r="B39" s="102"/>
      <c r="C39" s="102"/>
      <c r="D39" s="102"/>
      <c r="E39" s="102"/>
      <c r="F39" s="102"/>
      <c r="G39" s="17" t="s">
        <v>83</v>
      </c>
      <c r="H39" s="17" t="s">
        <v>71</v>
      </c>
      <c r="I39" s="17">
        <f>'MERCADO TUSD'!$U$36</f>
        <v>0</v>
      </c>
      <c r="J39" s="15"/>
      <c r="L39" s="12">
        <f>('TUSD BE'!$L$39+'TUSD BF'!$L$39+'TUSD CVA'!$L$39)*(1 - CUSTOS!$M$40)</f>
        <v>0</v>
      </c>
      <c r="M39" s="12">
        <f>('TUSD BE'!$M$39+'TUSD BF'!$M$39+'TUSD CVA'!$M$39)*(1 - CUSTOS!$M$40)</f>
        <v>2.1831870830289688</v>
      </c>
      <c r="N39" s="12">
        <f ca="1">('TUSD BE'!$N$39+'TUSD BF'!$N$39+'TUSD CVA'!$N$39)*(1 - CUSTOS!$M$40)</f>
        <v>0</v>
      </c>
      <c r="O39" s="12">
        <f>('TUSD BE'!$O$39+'TUSD BF'!$O$39+'TUSD CVA'!$O$39)*(1 - CUSTOS!$M$40)</f>
        <v>0</v>
      </c>
      <c r="P39" s="12">
        <f>('TUSD BE'!$P$39+'TUSD BF'!$P$39+'TUSD CVA'!$P$39)*(1 - CUSTOS!$M$40)</f>
        <v>0</v>
      </c>
      <c r="Q39" s="12">
        <f>('TUSD BE'!$Q$39+'TUSD BF'!$Q$39+'TUSD CVA'!$Q$39)*(1 - CUSTOS!$M$40)</f>
        <v>80.53514761351984</v>
      </c>
      <c r="R39" s="12">
        <f>('TUSD BE'!$R$39+'TUSD BF'!$R$39+'TUSD CVA'!$R$39)*(1 - CUSTOS!$M$40)</f>
        <v>12.741438245449736</v>
      </c>
      <c r="S39" s="12">
        <f>('TUSD BE'!$S$39+'TUSD BF'!$S$39+'TUSD CVA'!$S$39)*(1 - CUSTOS!$M$40)</f>
        <v>0</v>
      </c>
      <c r="T39" s="12">
        <f>('TUSD BE'!$U$39+'TUSD BF'!$U$39+'TUSD CVA'!$U$39)*(1 - CUSTOS!$M$40)</f>
        <v>0</v>
      </c>
      <c r="U39" s="12">
        <f>('TUSD BE'!$V$39+'TUSD BF'!$V$39+'TUSD CVA'!$V$39)*(1 - CUSTOS!$M$40)</f>
        <v>0</v>
      </c>
      <c r="V39" s="12">
        <f>('TUSD BE'!$W$39+'TUSD BF'!$W$39+'TUSD CVA'!$W$39)*(1 - CUSTOS!$M$40)</f>
        <v>0</v>
      </c>
      <c r="W39" s="12">
        <f>('TUSD BE'!$X$39+'TUSD BF'!$X$39+'TUSD CVA'!$X$39)*(1 - CUSTOS!$M$40)</f>
        <v>0</v>
      </c>
      <c r="X39" s="12">
        <f>('TUSD BE'!$Y$39+'TUSD BF'!$Y$39+'TUSD CVA'!$Y$39)*(1 - CUSTOS!$M$40)</f>
        <v>208.08193075938854</v>
      </c>
      <c r="Y39" s="12">
        <f>('TUSD BE'!$Z$39+'TUSD BF'!$Z$39+'TUSD CVA'!$Z$39)*(1 - CUSTOS!$M$40)</f>
        <v>0</v>
      </c>
      <c r="Z39" s="12">
        <f>('TUSD BE'!$AA$39+'TUSD BF'!$AA$39+'TUSD CVA'!$AA$39)*(1 - CUSTOS!$M$40)</f>
        <v>0</v>
      </c>
      <c r="AA39" s="12">
        <f>('TUSD BE'!$AC$39+'TUSD BF'!$AC$39+'TUSD CVA'!$AC$39)*(1 - CUSTOS!$M$40)</f>
        <v>300.27189207729958</v>
      </c>
      <c r="AB39" s="12">
        <f ca="1">('TUSD BE'!$AE$39+'TUSD BF'!$AE$39+'TUSD CVA'!$AE$39)*(1 - CUSTOS!$M$40)</f>
        <v>0</v>
      </c>
      <c r="AC39" s="12">
        <f ca="1">('TUSD BE'!$AF$39+'TUSD BF'!$AF$39+'TUSD CVA'!$AF$39)*(1 - CUSTOS!$M$40)</f>
        <v>0</v>
      </c>
      <c r="AD39" s="12">
        <f>('TUSD BE'!$AH$39+'TUSD BF'!$AH$39+'TUSD CVA'!$AH$39)*(1 - CUSTOS!$M$40)</f>
        <v>27.473689993374258</v>
      </c>
      <c r="AE39" s="12">
        <f>('TUSD BE'!$AI$39+'TUSD BF'!$AI$39+'TUSD CVA'!$AI$39)*(1 - CUSTOS!$M$40)</f>
        <v>0</v>
      </c>
      <c r="AF39" s="12">
        <f ca="1">('TUSD BE'!$AJ$39+'TUSD BF'!$AJ$39+'TUSD CVA'!$AJ$39)*(1 - CUSTOS!$M$40)</f>
        <v>0</v>
      </c>
      <c r="AG39" s="12">
        <f ca="1">('TUSD BE'!$AK$39+'TUSD BF'!$AK$39+'TUSD CVA'!$AK$39)*(1 - CUSTOS!$M$40)</f>
        <v>0</v>
      </c>
      <c r="AI39" s="12">
        <v>0</v>
      </c>
      <c r="AJ39" s="12">
        <v>1.9044516255769901</v>
      </c>
      <c r="AK39" s="12">
        <v>0</v>
      </c>
      <c r="AL39" s="12">
        <v>0</v>
      </c>
      <c r="AM39" s="12">
        <v>0</v>
      </c>
      <c r="AN39" s="12">
        <v>50.445903380074299</v>
      </c>
      <c r="AO39" s="12">
        <v>7.82950217107956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161.33550557382301</v>
      </c>
      <c r="AV39" s="12">
        <v>0</v>
      </c>
      <c r="AW39" s="12">
        <v>0</v>
      </c>
      <c r="AX39" s="12">
        <v>257.009684409496</v>
      </c>
      <c r="AY39" s="12">
        <v>0</v>
      </c>
      <c r="AZ39" s="12">
        <v>0</v>
      </c>
      <c r="BA39" s="12">
        <v>29.2271682836199</v>
      </c>
      <c r="BB39" s="12">
        <v>0</v>
      </c>
      <c r="BC39" s="12">
        <v>0</v>
      </c>
      <c r="BD39" s="12">
        <v>0</v>
      </c>
    </row>
    <row r="40" spans="1:56" ht="11.25" customHeight="1" x14ac:dyDescent="0.25">
      <c r="A40" s="102"/>
      <c r="B40" s="102"/>
      <c r="C40" s="102"/>
      <c r="D40" s="102"/>
      <c r="E40" s="102"/>
      <c r="F40" s="102"/>
      <c r="G40" s="17" t="s">
        <v>73</v>
      </c>
      <c r="H40" s="17" t="s">
        <v>71</v>
      </c>
      <c r="I40" s="17">
        <f>'MERCADO TUSD'!$U$37</f>
        <v>0</v>
      </c>
      <c r="J40" s="15"/>
      <c r="L40" s="12">
        <f>('TUSD BE'!$L$40+'TUSD BF'!$L$40+'TUSD CVA'!$L$40)*(1 - CUSTOS!$M$40)</f>
        <v>0</v>
      </c>
      <c r="M40" s="12">
        <f>('TUSD BE'!$M$40+'TUSD BF'!$M$40+'TUSD CVA'!$M$40)*(1 - CUSTOS!$M$40)</f>
        <v>2.1831870830289688</v>
      </c>
      <c r="N40" s="12">
        <f ca="1">('TUSD BE'!$N$40+'TUSD BF'!$N$40+'TUSD CVA'!$N$40)*(1 - CUSTOS!$M$40)</f>
        <v>0</v>
      </c>
      <c r="O40" s="12">
        <f>('TUSD BE'!$O$40+'TUSD BF'!$O$40+'TUSD CVA'!$O$40)*(1 - CUSTOS!$M$40)</f>
        <v>0</v>
      </c>
      <c r="P40" s="12">
        <f>('TUSD BE'!$P$40+'TUSD BF'!$P$40+'TUSD CVA'!$P$40)*(1 - CUSTOS!$M$40)</f>
        <v>0</v>
      </c>
      <c r="Q40" s="12">
        <f>('TUSD BE'!$Q$40+'TUSD BF'!$Q$40+'TUSD CVA'!$Q$40)*(1 - CUSTOS!$M$40)</f>
        <v>80.53514761351984</v>
      </c>
      <c r="R40" s="12">
        <f>('TUSD BE'!$R$40+'TUSD BF'!$R$40+'TUSD CVA'!$R$40)*(1 - CUSTOS!$M$40)</f>
        <v>12.741438245449736</v>
      </c>
      <c r="S40" s="12">
        <f>('TUSD BE'!$S$40+'TUSD BF'!$S$40+'TUSD CVA'!$S$40)*(1 - CUSTOS!$M$40)</f>
        <v>0</v>
      </c>
      <c r="T40" s="12">
        <f>('TUSD BE'!$U$40+'TUSD BF'!$U$40+'TUSD CVA'!$U$40)*(1 - CUSTOS!$M$40)</f>
        <v>0</v>
      </c>
      <c r="U40" s="12">
        <f>('TUSD BE'!$V$40+'TUSD BF'!$V$40+'TUSD CVA'!$V$40)*(1 - CUSTOS!$M$40)</f>
        <v>0</v>
      </c>
      <c r="V40" s="12">
        <f>('TUSD BE'!$W$40+'TUSD BF'!$W$40+'TUSD CVA'!$W$40)*(1 - CUSTOS!$M$40)</f>
        <v>0</v>
      </c>
      <c r="W40" s="12">
        <f>('TUSD BE'!$X$40+'TUSD BF'!$X$40+'TUSD CVA'!$X$40)*(1 - CUSTOS!$M$40)</f>
        <v>0</v>
      </c>
      <c r="X40" s="12">
        <f>('TUSD BE'!$Y$40+'TUSD BF'!$Y$40+'TUSD CVA'!$Y$40)*(1 - CUSTOS!$M$40)</f>
        <v>69.360643586462828</v>
      </c>
      <c r="Y40" s="12">
        <f>('TUSD BE'!$Z$40+'TUSD BF'!$Z$40+'TUSD CVA'!$Z$40)*(1 - CUSTOS!$M$40)</f>
        <v>0</v>
      </c>
      <c r="Z40" s="12">
        <f>('TUSD BE'!$AA$40+'TUSD BF'!$AA$40+'TUSD CVA'!$AA$40)*(1 - CUSTOS!$M$40)</f>
        <v>0</v>
      </c>
      <c r="AA40" s="12">
        <f>('TUSD BE'!$AC$40+'TUSD BF'!$AC$40+'TUSD CVA'!$AC$40)*(1 - CUSTOS!$M$40)</f>
        <v>100.09055394893862</v>
      </c>
      <c r="AB40" s="12">
        <f ca="1">('TUSD BE'!$AE$40+'TUSD BF'!$AE$40+'TUSD CVA'!$AE$40)*(1 - CUSTOS!$M$40)</f>
        <v>0</v>
      </c>
      <c r="AC40" s="12">
        <f ca="1">('TUSD BE'!$AF$40+'TUSD BF'!$AF$40+'TUSD CVA'!$AF$40)*(1 - CUSTOS!$M$40)</f>
        <v>0</v>
      </c>
      <c r="AD40" s="12">
        <f>('TUSD BE'!$AH$40+'TUSD BF'!$AH$40+'TUSD CVA'!$AH$40)*(1 - CUSTOS!$M$40)</f>
        <v>27.473689993374258</v>
      </c>
      <c r="AE40" s="12">
        <f>('TUSD BE'!$AI$40+'TUSD BF'!$AI$40+'TUSD CVA'!$AI$40)*(1 - CUSTOS!$M$40)</f>
        <v>0</v>
      </c>
      <c r="AF40" s="12">
        <f ca="1">('TUSD BE'!$AJ$40+'TUSD BF'!$AJ$40+'TUSD CVA'!$AJ$40)*(1 - CUSTOS!$M$40)</f>
        <v>0</v>
      </c>
      <c r="AG40" s="12">
        <f ca="1">('TUSD BE'!$AK$40+'TUSD BF'!$AK$40+'TUSD CVA'!$AK$40)*(1 - CUSTOS!$M$40)</f>
        <v>0</v>
      </c>
      <c r="AI40" s="12">
        <v>0</v>
      </c>
      <c r="AJ40" s="12">
        <v>1.9044516255769901</v>
      </c>
      <c r="AK40" s="12">
        <v>0</v>
      </c>
      <c r="AL40" s="12">
        <v>0</v>
      </c>
      <c r="AM40" s="12">
        <v>0</v>
      </c>
      <c r="AN40" s="12">
        <v>50.445903380074299</v>
      </c>
      <c r="AO40" s="12">
        <v>7.82950217107956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53.778501857941002</v>
      </c>
      <c r="AV40" s="12">
        <v>0</v>
      </c>
      <c r="AW40" s="12">
        <v>0</v>
      </c>
      <c r="AX40" s="12">
        <v>85.669869725360101</v>
      </c>
      <c r="AY40" s="12">
        <v>0</v>
      </c>
      <c r="AZ40" s="12">
        <v>0</v>
      </c>
      <c r="BA40" s="12">
        <v>29.2271682836199</v>
      </c>
      <c r="BB40" s="12">
        <v>0</v>
      </c>
      <c r="BC40" s="12">
        <v>0</v>
      </c>
      <c r="BD40" s="12">
        <v>0</v>
      </c>
    </row>
    <row r="41" spans="1:56" ht="11.25" customHeight="1" x14ac:dyDescent="0.25">
      <c r="A41" s="102"/>
      <c r="B41" s="18" t="s">
        <v>23</v>
      </c>
      <c r="C41" s="18" t="s">
        <v>41</v>
      </c>
      <c r="D41" s="18" t="s">
        <v>89</v>
      </c>
      <c r="E41" s="18" t="s">
        <v>25</v>
      </c>
      <c r="F41" s="18" t="s">
        <v>25</v>
      </c>
      <c r="G41" s="17" t="s">
        <v>77</v>
      </c>
      <c r="H41" s="17" t="s">
        <v>71</v>
      </c>
      <c r="I41" s="17">
        <f>'MERCADO TUSD'!$U$38</f>
        <v>0</v>
      </c>
      <c r="J41" s="15"/>
      <c r="L41" s="12">
        <f>('TUSD BE'!$L$41+'TUSD BF'!$L$41+'TUSD CVA'!$L$41)*(1 - CUSTOS!$M$40)</f>
        <v>0</v>
      </c>
      <c r="M41" s="12">
        <f>('TUSD BE'!$M$41+'TUSD BF'!$M$41+'TUSD CVA'!$M$41)*(1 - CUSTOS!$M$40)</f>
        <v>2.1831870830289688</v>
      </c>
      <c r="N41" s="12">
        <f ca="1">('TUSD BE'!$N$41+'TUSD BF'!$N$41+'TUSD CVA'!$N$41)*(1 - CUSTOS!$M$40)</f>
        <v>0</v>
      </c>
      <c r="O41" s="12">
        <f>('TUSD BE'!$O$41+'TUSD BF'!$O$41+'TUSD CVA'!$O$41)*(1 - CUSTOS!$M$40)</f>
        <v>0</v>
      </c>
      <c r="P41" s="12">
        <f>('TUSD BE'!$P$41+'TUSD BF'!$P$41+'TUSD CVA'!$P$41)*(1 - CUSTOS!$M$40)</f>
        <v>0</v>
      </c>
      <c r="Q41" s="12">
        <f>('TUSD BE'!$Q$41+'TUSD BF'!$Q$41+'TUSD CVA'!$Q$41)*(1 - CUSTOS!$M$40)</f>
        <v>80.53514761351984</v>
      </c>
      <c r="R41" s="12">
        <f>('TUSD BE'!$R$41+'TUSD BF'!$R$41+'TUSD CVA'!$R$41)*(1 - CUSTOS!$M$40)</f>
        <v>12.741438245449736</v>
      </c>
      <c r="S41" s="12">
        <f>('TUSD BE'!$S$41+'TUSD BF'!$S$41+'TUSD CVA'!$S$41)*(1 - CUSTOS!$M$40)</f>
        <v>0</v>
      </c>
      <c r="T41" s="12">
        <f>('TUSD BE'!$U$41+'TUSD BF'!$U$41+'TUSD CVA'!$U$41)*(1 - CUSTOS!$M$40)</f>
        <v>0</v>
      </c>
      <c r="U41" s="12">
        <f>('TUSD BE'!$V$41+'TUSD BF'!$V$41+'TUSD CVA'!$V$41)*(1 - CUSTOS!$M$40)</f>
        <v>0</v>
      </c>
      <c r="V41" s="12">
        <f>('TUSD BE'!$W$41+'TUSD BF'!$W$41+'TUSD CVA'!$W$41)*(1 - CUSTOS!$M$40)</f>
        <v>0</v>
      </c>
      <c r="W41" s="12">
        <f>('TUSD BE'!$X$41+'TUSD BF'!$X$41+'TUSD CVA'!$X$41)*(1 - CUSTOS!$M$40)</f>
        <v>0</v>
      </c>
      <c r="X41" s="12">
        <f>('TUSD BE'!$Y$41+'TUSD BF'!$Y$41+'TUSD CVA'!$Y$41)*(1 - CUSTOS!$M$40)</f>
        <v>133.41307465355351</v>
      </c>
      <c r="Y41" s="12">
        <f>('TUSD BE'!$Z$41+'TUSD BF'!$Z$41+'TUSD CVA'!$Z$41)*(1 - CUSTOS!$M$40)</f>
        <v>0</v>
      </c>
      <c r="Z41" s="12">
        <f>('TUSD BE'!$AA$41+'TUSD BF'!$AA$41+'TUSD CVA'!$AA$41)*(1 - CUSTOS!$M$40)</f>
        <v>0</v>
      </c>
      <c r="AA41" s="12">
        <f>('TUSD BE'!$AC$41+'TUSD BF'!$AC$41+'TUSD CVA'!$AC$41)*(1 - CUSTOS!$M$40)</f>
        <v>192.48189355064699</v>
      </c>
      <c r="AB41" s="12">
        <f ca="1">('TUSD BE'!$AE$41+'TUSD BF'!$AE$41+'TUSD CVA'!$AE$41)*(1 - CUSTOS!$M$40)</f>
        <v>0</v>
      </c>
      <c r="AC41" s="12">
        <f ca="1">('TUSD BE'!$AF$41+'TUSD BF'!$AF$41+'TUSD CVA'!$AF$41)*(1 - CUSTOS!$M$40)</f>
        <v>0</v>
      </c>
      <c r="AD41" s="12">
        <f>('TUSD BE'!$AH$41+'TUSD BF'!$AH$41+'TUSD CVA'!$AH$41)*(1 - CUSTOS!$M$40)</f>
        <v>27.473689993374258</v>
      </c>
      <c r="AE41" s="12">
        <f>('TUSD BE'!$AI$41+'TUSD BF'!$AI$41+'TUSD CVA'!$AI$41)*(1 - CUSTOS!$M$40)</f>
        <v>0</v>
      </c>
      <c r="AF41" s="12">
        <f ca="1">('TUSD BE'!$AJ$41+'TUSD BF'!$AJ$41+'TUSD CVA'!$AJ$41)*(1 - CUSTOS!$M$40)</f>
        <v>0</v>
      </c>
      <c r="AG41" s="12">
        <f ca="1">('TUSD BE'!$AK$41+'TUSD BF'!$AK$41+'TUSD CVA'!$AK$41)*(1 - CUSTOS!$M$40)</f>
        <v>0</v>
      </c>
      <c r="AI41" s="12">
        <v>0</v>
      </c>
      <c r="AJ41" s="12">
        <v>1.9044516255769901</v>
      </c>
      <c r="AK41" s="12">
        <v>0</v>
      </c>
      <c r="AL41" s="12">
        <v>0</v>
      </c>
      <c r="AM41" s="12">
        <v>0</v>
      </c>
      <c r="AN41" s="12">
        <v>50.445903380074299</v>
      </c>
      <c r="AO41" s="12">
        <v>7.82950217107956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103.471352239833</v>
      </c>
      <c r="AV41" s="12">
        <v>0</v>
      </c>
      <c r="AW41" s="12">
        <v>0</v>
      </c>
      <c r="AX41" s="12">
        <v>164.74978130136799</v>
      </c>
      <c r="AY41" s="12">
        <v>0</v>
      </c>
      <c r="AZ41" s="12">
        <v>0</v>
      </c>
      <c r="BA41" s="12">
        <v>29.2271682836199</v>
      </c>
      <c r="BB41" s="12">
        <v>0</v>
      </c>
      <c r="BC41" s="12">
        <v>0</v>
      </c>
      <c r="BD41" s="12">
        <v>0</v>
      </c>
    </row>
    <row r="42" spans="1:56" ht="11.25" customHeight="1" x14ac:dyDescent="0.25">
      <c r="A42" s="102"/>
      <c r="B42" s="102" t="s">
        <v>87</v>
      </c>
      <c r="C42" s="102" t="s">
        <v>41</v>
      </c>
      <c r="D42" s="18" t="s">
        <v>25</v>
      </c>
      <c r="E42" s="18" t="s">
        <v>25</v>
      </c>
      <c r="F42" s="18" t="s">
        <v>25</v>
      </c>
      <c r="G42" s="17" t="s">
        <v>77</v>
      </c>
      <c r="H42" s="17" t="s">
        <v>71</v>
      </c>
      <c r="I42" s="17">
        <f>'MERCADO TUSD'!$U$39</f>
        <v>0</v>
      </c>
      <c r="J42" s="15"/>
      <c r="L42" s="12">
        <f>('TUSD BE'!$L$42+'TUSD BF'!$L$42+'TUSD CVA'!$L$42)*(1 - CUSTOS!$M$38)</f>
        <v>0</v>
      </c>
      <c r="M42" s="12">
        <f>('TUSD BE'!$M$42+'TUSD BF'!$M$42+'TUSD CVA'!$M$42)*(1 - CUSTOS!$M$38)</f>
        <v>2.230647671790468</v>
      </c>
      <c r="N42" s="12">
        <f ca="1">('TUSD BE'!$N$42+'TUSD BF'!$N$42+'TUSD CVA'!$N$42)*(1 - CUSTOS!$M$38)</f>
        <v>0</v>
      </c>
      <c r="O42" s="12">
        <f>('TUSD BE'!$O$42+'TUSD BF'!$O$42+'TUSD CVA'!$O$42)*(1 - CUSTOS!$M$38)</f>
        <v>0</v>
      </c>
      <c r="P42" s="12">
        <f>('TUSD BE'!$P$42+'TUSD BF'!$P$42+'TUSD CVA'!$P$42)*(1 - CUSTOS!$M$38)</f>
        <v>0</v>
      </c>
      <c r="Q42" s="12">
        <f>('TUSD BE'!$Q$42+'TUSD BF'!$Q$42+'TUSD CVA'!$Q$42)*(1 - CUSTOS!$M$38)</f>
        <v>82.285911692074606</v>
      </c>
      <c r="R42" s="12">
        <f>('TUSD BE'!$R$42+'TUSD BF'!$R$42+'TUSD CVA'!$R$42)*(1 - CUSTOS!$M$38)</f>
        <v>13.018426033394295</v>
      </c>
      <c r="S42" s="12">
        <f>('TUSD BE'!$S$42+'TUSD BF'!$S$42+'TUSD CVA'!$S$42)*(1 - CUSTOS!$M$38)</f>
        <v>0</v>
      </c>
      <c r="T42" s="12">
        <f>('TUSD BE'!$U$42+'TUSD BF'!$U$42+'TUSD CVA'!$U$42)*(1 - CUSTOS!$M$38)</f>
        <v>0</v>
      </c>
      <c r="U42" s="12">
        <f>('TUSD BE'!$V$42+'TUSD BF'!$V$42+'TUSD CVA'!$V$42)*(1 - CUSTOS!$M$38)</f>
        <v>0</v>
      </c>
      <c r="V42" s="12">
        <f>('TUSD BE'!$W$42+'TUSD BF'!$W$42+'TUSD CVA'!$W$42)*(1 - CUSTOS!$M$38)</f>
        <v>0</v>
      </c>
      <c r="W42" s="12">
        <f>('TUSD BE'!$X$42+'TUSD BF'!$X$42+'TUSD CVA'!$X$42)*(1 - CUSTOS!$M$38)</f>
        <v>0</v>
      </c>
      <c r="X42" s="12">
        <f>('TUSD BE'!$Y$42+'TUSD BF'!$Y$42+'TUSD CVA'!$Y$42)*(1 - CUSTOS!$M$38)</f>
        <v>136.3133588851525</v>
      </c>
      <c r="Y42" s="12">
        <f>('TUSD BE'!$Z$42+'TUSD BF'!$Z$42+'TUSD CVA'!$Z$42)*(1 - CUSTOS!$M$38)</f>
        <v>0</v>
      </c>
      <c r="Z42" s="12">
        <f>('TUSD BE'!$AA$42+'TUSD BF'!$AA$42+'TUSD CVA'!$AA$42)*(1 - CUSTOS!$M$38)</f>
        <v>0</v>
      </c>
      <c r="AA42" s="12">
        <f>('TUSD BE'!$AC$42+'TUSD BF'!$AC$42+'TUSD CVA'!$AC$42)*(1 - CUSTOS!$M$38)</f>
        <v>196.66628254087843</v>
      </c>
      <c r="AB42" s="12">
        <f ca="1">('TUSD BE'!$AE$42+'TUSD BF'!$AE$42+'TUSD CVA'!$AE$42)*(1 - CUSTOS!$M$38)</f>
        <v>0</v>
      </c>
      <c r="AC42" s="12">
        <f ca="1">('TUSD BE'!$AF$42+'TUSD BF'!$AF$42+'TUSD CVA'!$AF$42)*(1 - CUSTOS!$M$38)</f>
        <v>0</v>
      </c>
      <c r="AD42" s="12">
        <f>('TUSD BE'!$AH$42+'TUSD BF'!$AH$42+'TUSD CVA'!$AH$42)*(1 - CUSTOS!$M$38)</f>
        <v>28.070944123665001</v>
      </c>
      <c r="AE42" s="12">
        <f>('TUSD BE'!$AI$42+'TUSD BF'!$AI$42+'TUSD CVA'!$AI$42)*(1 - CUSTOS!$M$38)</f>
        <v>0</v>
      </c>
      <c r="AF42" s="12">
        <f ca="1">('TUSD BE'!$AJ$42+'TUSD BF'!$AJ$42+'TUSD CVA'!$AJ$42)*(1 - CUSTOS!$M$38)</f>
        <v>0</v>
      </c>
      <c r="AG42" s="12">
        <f ca="1">('TUSD BE'!$AK$42+'TUSD BF'!$AK$42+'TUSD CVA'!$AK$42)*(1 - CUSTOS!$M$38)</f>
        <v>0</v>
      </c>
      <c r="AI42" s="12">
        <v>0</v>
      </c>
      <c r="AJ42" s="12">
        <v>1.9951397982235199</v>
      </c>
      <c r="AK42" s="12">
        <v>0</v>
      </c>
      <c r="AL42" s="12">
        <v>0</v>
      </c>
      <c r="AM42" s="12">
        <v>0</v>
      </c>
      <c r="AN42" s="12">
        <v>52.848089255315898</v>
      </c>
      <c r="AO42" s="12">
        <v>8.2023356077976306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108.398559489349</v>
      </c>
      <c r="AV42" s="12">
        <v>0</v>
      </c>
      <c r="AW42" s="12">
        <v>0</v>
      </c>
      <c r="AX42" s="12">
        <v>172.59500898238599</v>
      </c>
      <c r="AY42" s="12">
        <v>0</v>
      </c>
      <c r="AZ42" s="12">
        <v>0</v>
      </c>
      <c r="BA42" s="12">
        <v>30.618938201887499</v>
      </c>
      <c r="BB42" s="12">
        <v>0</v>
      </c>
      <c r="BC42" s="12">
        <v>0</v>
      </c>
      <c r="BD42" s="12">
        <v>0</v>
      </c>
    </row>
    <row r="43" spans="1:56" ht="11.25" customHeight="1" x14ac:dyDescent="0.25">
      <c r="A43" s="102"/>
      <c r="B43" s="102"/>
      <c r="C43" s="102"/>
      <c r="D43" s="18" t="s">
        <v>88</v>
      </c>
      <c r="E43" s="18" t="s">
        <v>25</v>
      </c>
      <c r="F43" s="18" t="s">
        <v>25</v>
      </c>
      <c r="G43" s="17" t="s">
        <v>77</v>
      </c>
      <c r="H43" s="17" t="s">
        <v>71</v>
      </c>
      <c r="I43" s="17">
        <f>'MERCADO TUSD'!$U$40</f>
        <v>0</v>
      </c>
      <c r="J43" s="15"/>
      <c r="L43" s="12">
        <f>('TUSD BE'!$L$43+'TUSD BF'!$L$43+'TUSD CVA'!$L$43)*(1 - CUSTOS!$M$39)</f>
        <v>0</v>
      </c>
      <c r="M43" s="12">
        <f>('TUSD BE'!$M$43+'TUSD BF'!$M$43+'TUSD CVA'!$M$43)*(1 - CUSTOS!$M$39)</f>
        <v>2.230647671790468</v>
      </c>
      <c r="N43" s="12">
        <f ca="1">('TUSD BE'!$N$43+'TUSD BF'!$N$43+'TUSD CVA'!$N$43)*(1 - CUSTOS!$M$39)</f>
        <v>0</v>
      </c>
      <c r="O43" s="12">
        <f>('TUSD BE'!$O$43+'TUSD BF'!$O$43+'TUSD CVA'!$O$43)*(1 - CUSTOS!$M$39)</f>
        <v>0</v>
      </c>
      <c r="P43" s="12">
        <f>('TUSD BE'!$P$43+'TUSD BF'!$P$43+'TUSD CVA'!$P$43)*(1 - CUSTOS!$M$39)</f>
        <v>0</v>
      </c>
      <c r="Q43" s="12">
        <f>('TUSD BE'!$Q$43+'TUSD BF'!$Q$43+'TUSD CVA'!$Q$43)*(1 - CUSTOS!$M$39)</f>
        <v>82.285911692074606</v>
      </c>
      <c r="R43" s="12">
        <f>('TUSD BE'!$R$43+'TUSD BF'!$R$43+'TUSD CVA'!$R$43)*(1 - CUSTOS!$M$39)</f>
        <v>13.018426033394295</v>
      </c>
      <c r="S43" s="12">
        <f>('TUSD BE'!$S$43+'TUSD BF'!$S$43+'TUSD CVA'!$S$43)*(1 - CUSTOS!$M$39)</f>
        <v>0</v>
      </c>
      <c r="T43" s="12">
        <f>('TUSD BE'!$U$43+'TUSD BF'!$U$43+'TUSD CVA'!$U$43)*(1 - CUSTOS!$M$39)</f>
        <v>0</v>
      </c>
      <c r="U43" s="12">
        <f>('TUSD BE'!$V$43+'TUSD BF'!$V$43+'TUSD CVA'!$V$43)*(1 - CUSTOS!$M$39)</f>
        <v>0</v>
      </c>
      <c r="V43" s="12">
        <f>('TUSD BE'!$W$43+'TUSD BF'!$W$43+'TUSD CVA'!$W$43)*(1 - CUSTOS!$M$39)</f>
        <v>0</v>
      </c>
      <c r="W43" s="12">
        <f>('TUSD BE'!$X$43+'TUSD BF'!$X$43+'TUSD CVA'!$X$43)*(1 - CUSTOS!$M$39)</f>
        <v>0</v>
      </c>
      <c r="X43" s="12">
        <f>('TUSD BE'!$Y$43+'TUSD BF'!$Y$43+'TUSD CVA'!$Y$43)*(1 - CUSTOS!$M$39)</f>
        <v>136.3133588851525</v>
      </c>
      <c r="Y43" s="12">
        <f>('TUSD BE'!$Z$43+'TUSD BF'!$Z$43+'TUSD CVA'!$Z$43)*(1 - CUSTOS!$M$39)</f>
        <v>0</v>
      </c>
      <c r="Z43" s="12">
        <f>('TUSD BE'!$AA$43+'TUSD BF'!$AA$43+'TUSD CVA'!$AA$43)*(1 - CUSTOS!$M$39)</f>
        <v>0</v>
      </c>
      <c r="AA43" s="12">
        <f>('TUSD BE'!$AC$43+'TUSD BF'!$AC$43+'TUSD CVA'!$AC$43)*(1 - CUSTOS!$M$39)</f>
        <v>196.66628254087843</v>
      </c>
      <c r="AB43" s="12">
        <f ca="1">('TUSD BE'!$AE$43+'TUSD BF'!$AE$43+'TUSD CVA'!$AE$43)*(1 - CUSTOS!$M$39)</f>
        <v>0</v>
      </c>
      <c r="AC43" s="12">
        <f ca="1">('TUSD BE'!$AF$43+'TUSD BF'!$AF$43+'TUSD CVA'!$AF$43)*(1 - CUSTOS!$M$39)</f>
        <v>0</v>
      </c>
      <c r="AD43" s="12">
        <f>('TUSD BE'!$AH$43+'TUSD BF'!$AH$43+'TUSD CVA'!$AH$43)*(1 - CUSTOS!$M$39)</f>
        <v>28.070944123665001</v>
      </c>
      <c r="AE43" s="12">
        <f>('TUSD BE'!$AI$43+'TUSD BF'!$AI$43+'TUSD CVA'!$AI$43)*(1 - CUSTOS!$M$39)</f>
        <v>0</v>
      </c>
      <c r="AF43" s="12">
        <f ca="1">('TUSD BE'!$AJ$43+'TUSD BF'!$AJ$43+'TUSD CVA'!$AJ$43)*(1 - CUSTOS!$M$39)</f>
        <v>0</v>
      </c>
      <c r="AG43" s="12">
        <f ca="1">('TUSD BE'!$AK$43+'TUSD BF'!$AK$43+'TUSD CVA'!$AK$43)*(1 - CUSTOS!$M$39)</f>
        <v>0</v>
      </c>
      <c r="AI43" s="12">
        <v>0</v>
      </c>
      <c r="AJ43" s="12">
        <v>1.9951397982235199</v>
      </c>
      <c r="AK43" s="12">
        <v>0</v>
      </c>
      <c r="AL43" s="12">
        <v>0</v>
      </c>
      <c r="AM43" s="12">
        <v>0</v>
      </c>
      <c r="AN43" s="12">
        <v>52.848089255315898</v>
      </c>
      <c r="AO43" s="12">
        <v>8.2023356077976306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108.398559489349</v>
      </c>
      <c r="AV43" s="12">
        <v>0</v>
      </c>
      <c r="AW43" s="12">
        <v>0</v>
      </c>
      <c r="AX43" s="12">
        <v>172.59500898238599</v>
      </c>
      <c r="AY43" s="12">
        <v>0</v>
      </c>
      <c r="AZ43" s="12">
        <v>0</v>
      </c>
      <c r="BA43" s="12">
        <v>30.618938201887499</v>
      </c>
      <c r="BB43" s="12">
        <v>0</v>
      </c>
      <c r="BC43" s="12">
        <v>0</v>
      </c>
      <c r="BD43" s="12">
        <v>0</v>
      </c>
    </row>
    <row r="44" spans="1:56" ht="11.25" customHeight="1" x14ac:dyDescent="0.25">
      <c r="A44" s="102"/>
      <c r="B44" s="102"/>
      <c r="C44" s="102"/>
      <c r="D44" s="18" t="s">
        <v>89</v>
      </c>
      <c r="E44" s="18" t="s">
        <v>25</v>
      </c>
      <c r="F44" s="18" t="s">
        <v>25</v>
      </c>
      <c r="G44" s="17" t="s">
        <v>77</v>
      </c>
      <c r="H44" s="17" t="s">
        <v>71</v>
      </c>
      <c r="I44" s="17">
        <f>'MERCADO TUSD'!$U$41</f>
        <v>0</v>
      </c>
      <c r="J44" s="15"/>
      <c r="L44" s="12">
        <f>('TUSD BE'!$L$44+'TUSD BF'!$L$44+'TUSD CVA'!$L$44)*(1 - CUSTOS!$M$40)</f>
        <v>0</v>
      </c>
      <c r="M44" s="12">
        <f>('TUSD BE'!$M$44+'TUSD BF'!$M$44+'TUSD CVA'!$M$44)*(1 - CUSTOS!$M$40)</f>
        <v>2.1831870830289688</v>
      </c>
      <c r="N44" s="12">
        <f ca="1">('TUSD BE'!$N$44+'TUSD BF'!$N$44+'TUSD CVA'!$N$44)*(1 - CUSTOS!$M$40)</f>
        <v>0</v>
      </c>
      <c r="O44" s="12">
        <f>('TUSD BE'!$O$44+'TUSD BF'!$O$44+'TUSD CVA'!$O$44)*(1 - CUSTOS!$M$40)</f>
        <v>0</v>
      </c>
      <c r="P44" s="12">
        <f>('TUSD BE'!$P$44+'TUSD BF'!$P$44+'TUSD CVA'!$P$44)*(1 - CUSTOS!$M$40)</f>
        <v>0</v>
      </c>
      <c r="Q44" s="12">
        <f>('TUSD BE'!$Q$44+'TUSD BF'!$Q$44+'TUSD CVA'!$Q$44)*(1 - CUSTOS!$M$40)</f>
        <v>80.53514761351984</v>
      </c>
      <c r="R44" s="12">
        <f>('TUSD BE'!$R$44+'TUSD BF'!$R$44+'TUSD CVA'!$R$44)*(1 - CUSTOS!$M$40)</f>
        <v>12.741438245449736</v>
      </c>
      <c r="S44" s="12">
        <f>('TUSD BE'!$S$44+'TUSD BF'!$S$44+'TUSD CVA'!$S$44)*(1 - CUSTOS!$M$40)</f>
        <v>0</v>
      </c>
      <c r="T44" s="12">
        <f>('TUSD BE'!$U$44+'TUSD BF'!$U$44+'TUSD CVA'!$U$44)*(1 - CUSTOS!$M$40)</f>
        <v>0</v>
      </c>
      <c r="U44" s="12">
        <f>('TUSD BE'!$V$44+'TUSD BF'!$V$44+'TUSD CVA'!$V$44)*(1 - CUSTOS!$M$40)</f>
        <v>0</v>
      </c>
      <c r="V44" s="12">
        <f>('TUSD BE'!$W$44+'TUSD BF'!$W$44+'TUSD CVA'!$W$44)*(1 - CUSTOS!$M$40)</f>
        <v>0</v>
      </c>
      <c r="W44" s="12">
        <f>('TUSD BE'!$X$44+'TUSD BF'!$X$44+'TUSD CVA'!$X$44)*(1 - CUSTOS!$M$40)</f>
        <v>0</v>
      </c>
      <c r="X44" s="12">
        <f>('TUSD BE'!$Y$44+'TUSD BF'!$Y$44+'TUSD CVA'!$Y$44)*(1 - CUSTOS!$M$40)</f>
        <v>133.41307465355351</v>
      </c>
      <c r="Y44" s="12">
        <f>('TUSD BE'!$Z$44+'TUSD BF'!$Z$44+'TUSD CVA'!$Z$44)*(1 - CUSTOS!$M$40)</f>
        <v>0</v>
      </c>
      <c r="Z44" s="12">
        <f>('TUSD BE'!$AA$44+'TUSD BF'!$AA$44+'TUSD CVA'!$AA$44)*(1 - CUSTOS!$M$40)</f>
        <v>0</v>
      </c>
      <c r="AA44" s="12">
        <f>('TUSD BE'!$AC$44+'TUSD BF'!$AC$44+'TUSD CVA'!$AC$44)*(1 - CUSTOS!$M$40)</f>
        <v>192.48189355064699</v>
      </c>
      <c r="AB44" s="12">
        <f ca="1">('TUSD BE'!$AE$44+'TUSD BF'!$AE$44+'TUSD CVA'!$AE$44)*(1 - CUSTOS!$M$40)</f>
        <v>0</v>
      </c>
      <c r="AC44" s="12">
        <f ca="1">('TUSD BE'!$AF$44+'TUSD BF'!$AF$44+'TUSD CVA'!$AF$44)*(1 - CUSTOS!$M$40)</f>
        <v>0</v>
      </c>
      <c r="AD44" s="12">
        <f>('TUSD BE'!$AH$44+'TUSD BF'!$AH$44+'TUSD CVA'!$AH$44)*(1 - CUSTOS!$M$40)</f>
        <v>27.473689993374258</v>
      </c>
      <c r="AE44" s="12">
        <f>('TUSD BE'!$AI$44+'TUSD BF'!$AI$44+'TUSD CVA'!$AI$44)*(1 - CUSTOS!$M$40)</f>
        <v>0</v>
      </c>
      <c r="AF44" s="12">
        <f ca="1">('TUSD BE'!$AJ$44+'TUSD BF'!$AJ$44+'TUSD CVA'!$AJ$44)*(1 - CUSTOS!$M$40)</f>
        <v>0</v>
      </c>
      <c r="AG44" s="12">
        <f ca="1">('TUSD BE'!$AK$44+'TUSD BF'!$AK$44+'TUSD CVA'!$AK$44)*(1 - CUSTOS!$M$40)</f>
        <v>0</v>
      </c>
      <c r="AI44" s="12">
        <v>0</v>
      </c>
      <c r="AJ44" s="12">
        <v>1.9044516255769901</v>
      </c>
      <c r="AK44" s="12">
        <v>0</v>
      </c>
      <c r="AL44" s="12">
        <v>0</v>
      </c>
      <c r="AM44" s="12">
        <v>0</v>
      </c>
      <c r="AN44" s="12">
        <v>50.445903380074299</v>
      </c>
      <c r="AO44" s="12">
        <v>7.82950217107956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103.471352239833</v>
      </c>
      <c r="AV44" s="12">
        <v>0</v>
      </c>
      <c r="AW44" s="12">
        <v>0</v>
      </c>
      <c r="AX44" s="12">
        <v>164.74978130136799</v>
      </c>
      <c r="AY44" s="12">
        <v>0</v>
      </c>
      <c r="AZ44" s="12">
        <v>0</v>
      </c>
      <c r="BA44" s="12">
        <v>29.2271682836199</v>
      </c>
      <c r="BB44" s="12">
        <v>0</v>
      </c>
      <c r="BC44" s="12">
        <v>0</v>
      </c>
      <c r="BD44" s="12">
        <v>0</v>
      </c>
    </row>
    <row r="45" spans="1:56" ht="11.25" customHeight="1" x14ac:dyDescent="0.25">
      <c r="A45" s="102" t="s">
        <v>33</v>
      </c>
      <c r="B45" s="102" t="s">
        <v>85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17" t="s">
        <v>72</v>
      </c>
      <c r="H45" s="17" t="s">
        <v>71</v>
      </c>
      <c r="I45" s="17">
        <f>'MERCADO TUSD'!$U$42</f>
        <v>0</v>
      </c>
      <c r="J45" s="15"/>
      <c r="L45" s="12">
        <f>('TUSD BE'!$L$45+'TUSD BF'!$L$45+'TUSD CVA'!$L$45)*1</f>
        <v>0</v>
      </c>
      <c r="M45" s="12">
        <f>('TUSD BE'!$M$45+'TUSD BF'!$M$45+'TUSD CVA'!$M$45)*1</f>
        <v>2.3730294380749659</v>
      </c>
      <c r="N45" s="12">
        <f ca="1">('TUSD BE'!$N$45+'TUSD BF'!$N$45+'TUSD CVA'!$N$45)*1</f>
        <v>0</v>
      </c>
      <c r="O45" s="12">
        <f>('TUSD BE'!$O$45+'TUSD BF'!$O$45+'TUSD CVA'!$O$45)*1</f>
        <v>0</v>
      </c>
      <c r="P45" s="12">
        <f>('TUSD BE'!$P$45+'TUSD BF'!$P$45+'TUSD CVA'!$P$45)*1</f>
        <v>0</v>
      </c>
      <c r="Q45" s="12">
        <f>('TUSD BE'!$Q$45+'TUSD BF'!$Q$45+'TUSD CVA'!$Q$45)*1</f>
        <v>87.538203927738948</v>
      </c>
      <c r="R45" s="12">
        <f>('TUSD BE'!$R$45+'TUSD BF'!$R$45+'TUSD CVA'!$R$45)*1</f>
        <v>13.849389397227974</v>
      </c>
      <c r="S45" s="12">
        <f>('TUSD BE'!$S$45+'TUSD BF'!$S$45+'TUSD CVA'!$S$45)*1</f>
        <v>0</v>
      </c>
      <c r="T45" s="12">
        <f>('TUSD BE'!$U$45+'TUSD BF'!$U$45+'TUSD CVA'!$U$45)*1</f>
        <v>0</v>
      </c>
      <c r="U45" s="12">
        <f>('TUSD BE'!$V$45+'TUSD BF'!$V$45+'TUSD CVA'!$V$45)*1</f>
        <v>0</v>
      </c>
      <c r="V45" s="12">
        <f>('TUSD BE'!$W$45+'TUSD BF'!$W$45+'TUSD CVA'!$W$45)*1</f>
        <v>0</v>
      </c>
      <c r="W45" s="12">
        <f>('TUSD BE'!$X$45+'TUSD BF'!$X$45+'TUSD CVA'!$X$45)*1</f>
        <v>0</v>
      </c>
      <c r="X45" s="12">
        <f>('TUSD BE'!$Y$45+'TUSD BF'!$Y$45+'TUSD CVA'!$Y$45)*1</f>
        <v>434.97852589299606</v>
      </c>
      <c r="Y45" s="12">
        <f>('TUSD BE'!$Z$45+'TUSD BF'!$Z$45+'TUSD CVA'!$Z$45)*1</f>
        <v>0</v>
      </c>
      <c r="Z45" s="12">
        <f>('TUSD BE'!$AA$45+'TUSD BF'!$AA$45+'TUSD CVA'!$AA$45)*1</f>
        <v>0</v>
      </c>
      <c r="AA45" s="12">
        <f>('TUSD BE'!$AC$45+'TUSD BF'!$AC$45+'TUSD CVA'!$AC$45)*1</f>
        <v>627.65859878524407</v>
      </c>
      <c r="AB45" s="12">
        <f ca="1">('TUSD BE'!$AE$45+'TUSD BF'!$AE$45+'TUSD CVA'!$AE$45)*1</f>
        <v>0</v>
      </c>
      <c r="AC45" s="12">
        <f ca="1">('TUSD BE'!$AF$45+'TUSD BF'!$AF$45+'TUSD CVA'!$AF$45)*1</f>
        <v>0</v>
      </c>
      <c r="AD45" s="12">
        <f>('TUSD BE'!$AH$45+'TUSD BF'!$AH$45+'TUSD CVA'!$AH$45)*1</f>
        <v>29.862706514537237</v>
      </c>
      <c r="AE45" s="12">
        <f>('TUSD BE'!$AI$45+'TUSD BF'!$AI$45+'TUSD CVA'!$AI$45)*1</f>
        <v>0</v>
      </c>
      <c r="AF45" s="12">
        <f ca="1">('TUSD BE'!$AJ$45+'TUSD BF'!$AJ$45+'TUSD CVA'!$AJ$45)*1</f>
        <v>0</v>
      </c>
      <c r="AG45" s="12">
        <f ca="1">('TUSD BE'!$AK$45+'TUSD BF'!$AK$45+'TUSD CVA'!$AK$45)*1</f>
        <v>0</v>
      </c>
      <c r="AI45" s="12">
        <v>0</v>
      </c>
      <c r="AJ45" s="12">
        <v>2.2672043161630899</v>
      </c>
      <c r="AK45" s="12">
        <v>0</v>
      </c>
      <c r="AL45" s="12">
        <v>0</v>
      </c>
      <c r="AM45" s="12">
        <v>0</v>
      </c>
      <c r="AN45" s="12">
        <v>60.054646881040803</v>
      </c>
      <c r="AO45" s="12">
        <v>9.3208359179518592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369.42744291959002</v>
      </c>
      <c r="AV45" s="12">
        <v>0</v>
      </c>
      <c r="AW45" s="12">
        <v>0</v>
      </c>
      <c r="AX45" s="12">
        <v>588.39207607631499</v>
      </c>
      <c r="AY45" s="12">
        <v>0</v>
      </c>
      <c r="AZ45" s="12">
        <v>0</v>
      </c>
      <c r="BA45" s="12">
        <v>34.794247956690299</v>
      </c>
      <c r="BB45" s="12">
        <v>0</v>
      </c>
      <c r="BC45" s="12">
        <v>0</v>
      </c>
      <c r="BD45" s="12">
        <v>0</v>
      </c>
    </row>
    <row r="46" spans="1:56" ht="11.25" customHeight="1" x14ac:dyDescent="0.25">
      <c r="A46" s="102"/>
      <c r="B46" s="102"/>
      <c r="C46" s="102"/>
      <c r="D46" s="102"/>
      <c r="E46" s="102"/>
      <c r="F46" s="102"/>
      <c r="G46" s="17" t="s">
        <v>83</v>
      </c>
      <c r="H46" s="17" t="s">
        <v>71</v>
      </c>
      <c r="I46" s="17">
        <f>'MERCADO TUSD'!$U$43</f>
        <v>0</v>
      </c>
      <c r="J46" s="15"/>
      <c r="L46" s="12">
        <f>('TUSD BE'!$L$46+'TUSD BF'!$L$46+'TUSD CVA'!$L$46)*1</f>
        <v>0</v>
      </c>
      <c r="M46" s="12">
        <f>('TUSD BE'!$M$46+'TUSD BF'!$M$46+'TUSD CVA'!$M$46)*1</f>
        <v>2.3730294380749659</v>
      </c>
      <c r="N46" s="12">
        <f ca="1">('TUSD BE'!$N$46+'TUSD BF'!$N$46+'TUSD CVA'!$N$46)*1</f>
        <v>0</v>
      </c>
      <c r="O46" s="12">
        <f>('TUSD BE'!$O$46+'TUSD BF'!$O$46+'TUSD CVA'!$O$46)*1</f>
        <v>0</v>
      </c>
      <c r="P46" s="12">
        <f>('TUSD BE'!$P$46+'TUSD BF'!$P$46+'TUSD CVA'!$P$46)*1</f>
        <v>0</v>
      </c>
      <c r="Q46" s="12">
        <f>('TUSD BE'!$Q$46+'TUSD BF'!$Q$46+'TUSD CVA'!$Q$46)*1</f>
        <v>87.538203927738948</v>
      </c>
      <c r="R46" s="12">
        <f>('TUSD BE'!$R$46+'TUSD BF'!$R$46+'TUSD CVA'!$R$46)*1</f>
        <v>13.849389397227974</v>
      </c>
      <c r="S46" s="12">
        <f>('TUSD BE'!$S$46+'TUSD BF'!$S$46+'TUSD CVA'!$S$46)*1</f>
        <v>0</v>
      </c>
      <c r="T46" s="12">
        <f>('TUSD BE'!$U$46+'TUSD BF'!$U$46+'TUSD CVA'!$U$46)*1</f>
        <v>0</v>
      </c>
      <c r="U46" s="12">
        <f>('TUSD BE'!$V$46+'TUSD BF'!$V$46+'TUSD CVA'!$V$46)*1</f>
        <v>0</v>
      </c>
      <c r="V46" s="12">
        <f>('TUSD BE'!$W$46+'TUSD BF'!$W$46+'TUSD CVA'!$W$46)*1</f>
        <v>0</v>
      </c>
      <c r="W46" s="12">
        <f>('TUSD BE'!$X$46+'TUSD BF'!$X$46+'TUSD CVA'!$X$46)*1</f>
        <v>0</v>
      </c>
      <c r="X46" s="12">
        <f>('TUSD BE'!$Y$46+'TUSD BF'!$Y$46+'TUSD CVA'!$Y$46)*1</f>
        <v>260.98711553579767</v>
      </c>
      <c r="Y46" s="12">
        <f>('TUSD BE'!$Z$46+'TUSD BF'!$Z$46+'TUSD CVA'!$Z$46)*1</f>
        <v>0</v>
      </c>
      <c r="Z46" s="12">
        <f>('TUSD BE'!$AA$46+'TUSD BF'!$AA$46+'TUSD CVA'!$AA$46)*1</f>
        <v>0</v>
      </c>
      <c r="AA46" s="12">
        <f>('TUSD BE'!$AC$46+'TUSD BF'!$AC$46+'TUSD CVA'!$AC$46)*1</f>
        <v>376.59509253767294</v>
      </c>
      <c r="AB46" s="12">
        <f ca="1">('TUSD BE'!$AE$46+'TUSD BF'!$AE$46+'TUSD CVA'!$AE$46)*1</f>
        <v>0</v>
      </c>
      <c r="AC46" s="12">
        <f ca="1">('TUSD BE'!$AF$46+'TUSD BF'!$AF$46+'TUSD CVA'!$AF$46)*1</f>
        <v>0</v>
      </c>
      <c r="AD46" s="12">
        <f>('TUSD BE'!$AH$46+'TUSD BF'!$AH$46+'TUSD CVA'!$AH$46)*1</f>
        <v>29.862706514537237</v>
      </c>
      <c r="AE46" s="12">
        <f>('TUSD BE'!$AI$46+'TUSD BF'!$AI$46+'TUSD CVA'!$AI$46)*1</f>
        <v>0</v>
      </c>
      <c r="AF46" s="12">
        <f ca="1">('TUSD BE'!$AJ$46+'TUSD BF'!$AJ$46+'TUSD CVA'!$AJ$46)*1</f>
        <v>0</v>
      </c>
      <c r="AG46" s="12">
        <f ca="1">('TUSD BE'!$AK$46+'TUSD BF'!$AK$46+'TUSD CVA'!$AK$46)*1</f>
        <v>0</v>
      </c>
      <c r="AI46" s="12">
        <v>0</v>
      </c>
      <c r="AJ46" s="12">
        <v>2.2672043161630899</v>
      </c>
      <c r="AK46" s="12">
        <v>0</v>
      </c>
      <c r="AL46" s="12">
        <v>0</v>
      </c>
      <c r="AM46" s="12">
        <v>0</v>
      </c>
      <c r="AN46" s="12">
        <v>60.054646881040803</v>
      </c>
      <c r="AO46" s="12">
        <v>9.3208359179518592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221.58860527529501</v>
      </c>
      <c r="AV46" s="12">
        <v>0</v>
      </c>
      <c r="AW46" s="12">
        <v>0</v>
      </c>
      <c r="AX46" s="12">
        <v>353.03521877671199</v>
      </c>
      <c r="AY46" s="12">
        <v>0</v>
      </c>
      <c r="AZ46" s="12">
        <v>0</v>
      </c>
      <c r="BA46" s="12">
        <v>34.794247956690299</v>
      </c>
      <c r="BB46" s="12">
        <v>0</v>
      </c>
      <c r="BC46" s="12">
        <v>0</v>
      </c>
      <c r="BD46" s="12">
        <v>0</v>
      </c>
    </row>
    <row r="47" spans="1:56" ht="11.25" customHeight="1" x14ac:dyDescent="0.25">
      <c r="A47" s="102"/>
      <c r="B47" s="102"/>
      <c r="C47" s="102"/>
      <c r="D47" s="102"/>
      <c r="E47" s="102"/>
      <c r="F47" s="102"/>
      <c r="G47" s="17" t="s">
        <v>73</v>
      </c>
      <c r="H47" s="17" t="s">
        <v>71</v>
      </c>
      <c r="I47" s="17">
        <f>'MERCADO TUSD'!$U$44</f>
        <v>0</v>
      </c>
      <c r="J47" s="15"/>
      <c r="L47" s="12">
        <f>('TUSD BE'!$L$47+'TUSD BF'!$L$47+'TUSD CVA'!$L$47)*1</f>
        <v>0</v>
      </c>
      <c r="M47" s="12">
        <f>('TUSD BE'!$M$47+'TUSD BF'!$M$47+'TUSD CVA'!$M$47)*1</f>
        <v>2.3730294380749659</v>
      </c>
      <c r="N47" s="12">
        <f ca="1">('TUSD BE'!$N$47+'TUSD BF'!$N$47+'TUSD CVA'!$N$47)*1</f>
        <v>0</v>
      </c>
      <c r="O47" s="12">
        <f>('TUSD BE'!$O$47+'TUSD BF'!$O$47+'TUSD CVA'!$O$47)*1</f>
        <v>0</v>
      </c>
      <c r="P47" s="12">
        <f>('TUSD BE'!$P$47+'TUSD BF'!$P$47+'TUSD CVA'!$P$47)*1</f>
        <v>0</v>
      </c>
      <c r="Q47" s="12">
        <f>('TUSD BE'!$Q$47+'TUSD BF'!$Q$47+'TUSD CVA'!$Q$47)*1</f>
        <v>87.538203927738948</v>
      </c>
      <c r="R47" s="12">
        <f>('TUSD BE'!$R$47+'TUSD BF'!$R$47+'TUSD CVA'!$R$47)*1</f>
        <v>13.849389397227974</v>
      </c>
      <c r="S47" s="12">
        <f>('TUSD BE'!$S$47+'TUSD BF'!$S$47+'TUSD CVA'!$S$47)*1</f>
        <v>0</v>
      </c>
      <c r="T47" s="12">
        <f>('TUSD BE'!$U$47+'TUSD BF'!$U$47+'TUSD CVA'!$U$47)*1</f>
        <v>0</v>
      </c>
      <c r="U47" s="12">
        <f>('TUSD BE'!$V$47+'TUSD BF'!$V$47+'TUSD CVA'!$V$47)*1</f>
        <v>0</v>
      </c>
      <c r="V47" s="12">
        <f>('TUSD BE'!$W$47+'TUSD BF'!$W$47+'TUSD CVA'!$W$47)*1</f>
        <v>0</v>
      </c>
      <c r="W47" s="12">
        <f>('TUSD BE'!$X$47+'TUSD BF'!$X$47+'TUSD CVA'!$X$47)*1</f>
        <v>0</v>
      </c>
      <c r="X47" s="12">
        <f>('TUSD BE'!$Y$47+'TUSD BF'!$Y$47+'TUSD CVA'!$Y$47)*1</f>
        <v>86.995705178599223</v>
      </c>
      <c r="Y47" s="12">
        <f>('TUSD BE'!$Z$47+'TUSD BF'!$Z$47+'TUSD CVA'!$Z$47)*1</f>
        <v>0</v>
      </c>
      <c r="Z47" s="12">
        <f>('TUSD BE'!$AA$47+'TUSD BF'!$AA$47+'TUSD CVA'!$AA$47)*1</f>
        <v>0</v>
      </c>
      <c r="AA47" s="12">
        <f>('TUSD BE'!$AC$47+'TUSD BF'!$AC$47+'TUSD CVA'!$AC$47)*1</f>
        <v>125.53175312378559</v>
      </c>
      <c r="AB47" s="12">
        <f ca="1">('TUSD BE'!$AE$47+'TUSD BF'!$AE$47+'TUSD CVA'!$AE$47)*1</f>
        <v>0</v>
      </c>
      <c r="AC47" s="12">
        <f ca="1">('TUSD BE'!$AF$47+'TUSD BF'!$AF$47+'TUSD CVA'!$AF$47)*1</f>
        <v>0</v>
      </c>
      <c r="AD47" s="12">
        <f>('TUSD BE'!$AH$47+'TUSD BF'!$AH$47+'TUSD CVA'!$AH$47)*1</f>
        <v>29.862706514537237</v>
      </c>
      <c r="AE47" s="12">
        <f>('TUSD BE'!$AI$47+'TUSD BF'!$AI$47+'TUSD CVA'!$AI$47)*1</f>
        <v>0</v>
      </c>
      <c r="AF47" s="12">
        <f ca="1">('TUSD BE'!$AJ$47+'TUSD BF'!$AJ$47+'TUSD CVA'!$AJ$47)*1</f>
        <v>0</v>
      </c>
      <c r="AG47" s="12">
        <f ca="1">('TUSD BE'!$AK$47+'TUSD BF'!$AK$47+'TUSD CVA'!$AK$47)*1</f>
        <v>0</v>
      </c>
      <c r="AI47" s="12">
        <v>0</v>
      </c>
      <c r="AJ47" s="12">
        <v>2.2672043161630899</v>
      </c>
      <c r="AK47" s="12">
        <v>0</v>
      </c>
      <c r="AL47" s="12">
        <v>0</v>
      </c>
      <c r="AM47" s="12">
        <v>0</v>
      </c>
      <c r="AN47" s="12">
        <v>60.054646881040803</v>
      </c>
      <c r="AO47" s="12">
        <v>9.3208359179518592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73.862868425098199</v>
      </c>
      <c r="AV47" s="12">
        <v>0</v>
      </c>
      <c r="AW47" s="12">
        <v>0</v>
      </c>
      <c r="AX47" s="12">
        <v>117.678495822494</v>
      </c>
      <c r="AY47" s="12">
        <v>0</v>
      </c>
      <c r="AZ47" s="12">
        <v>0</v>
      </c>
      <c r="BA47" s="12">
        <v>34.794247956690299</v>
      </c>
      <c r="BB47" s="12">
        <v>0</v>
      </c>
      <c r="BC47" s="12">
        <v>0</v>
      </c>
      <c r="BD47" s="12">
        <v>0</v>
      </c>
    </row>
    <row r="48" spans="1:56" ht="11.25" customHeight="1" x14ac:dyDescent="0.25">
      <c r="A48" s="102"/>
      <c r="B48" s="18" t="s">
        <v>23</v>
      </c>
      <c r="C48" s="18" t="s">
        <v>25</v>
      </c>
      <c r="D48" s="18" t="s">
        <v>25</v>
      </c>
      <c r="E48" s="18" t="s">
        <v>25</v>
      </c>
      <c r="F48" s="18" t="s">
        <v>25</v>
      </c>
      <c r="G48" s="17" t="s">
        <v>77</v>
      </c>
      <c r="H48" s="17" t="s">
        <v>71</v>
      </c>
      <c r="I48" s="17">
        <f>'MERCADO TUSD'!$U$45</f>
        <v>9552.121000000001</v>
      </c>
      <c r="J48" s="15"/>
      <c r="L48" s="12">
        <f>('TUSD BE'!$L$48+'TUSD BF'!$L$48+'TUSD CVA'!$L$48)*1</f>
        <v>0</v>
      </c>
      <c r="M48" s="12">
        <f>('TUSD BE'!$M$48+'TUSD BF'!$M$48+'TUSD CVA'!$M$48)*1</f>
        <v>2.3730294380749659</v>
      </c>
      <c r="N48" s="12">
        <f ca="1">('TUSD BE'!$N$48+'TUSD BF'!$N$48+'TUSD CVA'!$N$48)*1</f>
        <v>0</v>
      </c>
      <c r="O48" s="12">
        <f>('TUSD BE'!$O$48+'TUSD BF'!$O$48+'TUSD CVA'!$O$48)*1</f>
        <v>0</v>
      </c>
      <c r="P48" s="12">
        <f>('TUSD BE'!$P$48+'TUSD BF'!$P$48+'TUSD CVA'!$P$48)*1</f>
        <v>0</v>
      </c>
      <c r="Q48" s="12">
        <f>('TUSD BE'!$Q$48+'TUSD BF'!$Q$48+'TUSD CVA'!$Q$48)*1</f>
        <v>87.538203927738948</v>
      </c>
      <c r="R48" s="12">
        <f>('TUSD BE'!$R$48+'TUSD BF'!$R$48+'TUSD CVA'!$R$48)*1</f>
        <v>13.849389397227974</v>
      </c>
      <c r="S48" s="12">
        <f>('TUSD BE'!$S$48+'TUSD BF'!$S$48+'TUSD CVA'!$S$48)*1</f>
        <v>0</v>
      </c>
      <c r="T48" s="12">
        <f>('TUSD BE'!$U$48+'TUSD BF'!$U$48+'TUSD CVA'!$U$48)*1</f>
        <v>0</v>
      </c>
      <c r="U48" s="12">
        <f>('TUSD BE'!$V$48+'TUSD BF'!$V$48+'TUSD CVA'!$V$48)*1</f>
        <v>0</v>
      </c>
      <c r="V48" s="12">
        <f>('TUSD BE'!$W$48+'TUSD BF'!$W$48+'TUSD CVA'!$W$48)*1</f>
        <v>0</v>
      </c>
      <c r="W48" s="12">
        <f>('TUSD BE'!$X$48+'TUSD BF'!$X$48+'TUSD CVA'!$X$48)*1</f>
        <v>0</v>
      </c>
      <c r="X48" s="12">
        <f>('TUSD BE'!$Y$48+'TUSD BF'!$Y$48+'TUSD CVA'!$Y$48)*1</f>
        <v>145.01421157994946</v>
      </c>
      <c r="Y48" s="12">
        <f>('TUSD BE'!$Z$48+'TUSD BF'!$Z$48+'TUSD CVA'!$Z$48)*1</f>
        <v>0</v>
      </c>
      <c r="Z48" s="12">
        <f>('TUSD BE'!$AA$48+'TUSD BF'!$AA$48+'TUSD CVA'!$AA$48)*1</f>
        <v>0</v>
      </c>
      <c r="AA48" s="12">
        <f>('TUSD BE'!$AC$48+'TUSD BF'!$AC$48+'TUSD CVA'!$AC$48)*1</f>
        <v>209.2194495115728</v>
      </c>
      <c r="AB48" s="12">
        <f ca="1">('TUSD BE'!$AE$48+'TUSD BF'!$AE$48+'TUSD CVA'!$AE$48)*1</f>
        <v>0</v>
      </c>
      <c r="AC48" s="12">
        <f ca="1">('TUSD BE'!$AF$48+'TUSD BF'!$AF$48+'TUSD CVA'!$AF$48)*1</f>
        <v>0</v>
      </c>
      <c r="AD48" s="12">
        <f>('TUSD BE'!$AH$48+'TUSD BF'!$AH$48+'TUSD CVA'!$AH$48)*1</f>
        <v>29.862706514537237</v>
      </c>
      <c r="AE48" s="12">
        <f>('TUSD BE'!$AI$48+'TUSD BF'!$AI$48+'TUSD CVA'!$AI$48)*1</f>
        <v>0</v>
      </c>
      <c r="AF48" s="12">
        <f ca="1">('TUSD BE'!$AJ$48+'TUSD BF'!$AJ$48+'TUSD CVA'!$AJ$48)*1</f>
        <v>0</v>
      </c>
      <c r="AG48" s="12">
        <f ca="1">('TUSD BE'!$AK$48+'TUSD BF'!$AK$48+'TUSD CVA'!$AK$48)*1</f>
        <v>0</v>
      </c>
      <c r="AI48" s="12">
        <v>0</v>
      </c>
      <c r="AJ48" s="12">
        <v>2.2672043161630899</v>
      </c>
      <c r="AK48" s="12">
        <v>0</v>
      </c>
      <c r="AL48" s="12">
        <v>0</v>
      </c>
      <c r="AM48" s="12">
        <v>0</v>
      </c>
      <c r="AN48" s="12">
        <v>60.054646881040803</v>
      </c>
      <c r="AO48" s="12">
        <v>9.3208359179518592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123.18018123789599</v>
      </c>
      <c r="AV48" s="12">
        <v>0</v>
      </c>
      <c r="AW48" s="12">
        <v>0</v>
      </c>
      <c r="AX48" s="12">
        <v>196.13069202543801</v>
      </c>
      <c r="AY48" s="12">
        <v>0</v>
      </c>
      <c r="AZ48" s="12">
        <v>0</v>
      </c>
      <c r="BA48" s="12">
        <v>34.794247956690299</v>
      </c>
      <c r="BB48" s="12">
        <v>0</v>
      </c>
      <c r="BC48" s="12">
        <v>0</v>
      </c>
      <c r="BD48" s="12">
        <v>0</v>
      </c>
    </row>
    <row r="49" spans="1:56" ht="11.25" customHeight="1" x14ac:dyDescent="0.25">
      <c r="A49" s="102"/>
      <c r="B49" s="18" t="s">
        <v>87</v>
      </c>
      <c r="C49" s="18" t="s">
        <v>25</v>
      </c>
      <c r="D49" s="18" t="s">
        <v>25</v>
      </c>
      <c r="E49" s="18" t="s">
        <v>25</v>
      </c>
      <c r="F49" s="18" t="s">
        <v>25</v>
      </c>
      <c r="G49" s="17" t="s">
        <v>77</v>
      </c>
      <c r="H49" s="17" t="s">
        <v>71</v>
      </c>
      <c r="I49" s="17">
        <f>'MERCADO TUSD'!$U$46</f>
        <v>0</v>
      </c>
      <c r="J49" s="15"/>
      <c r="L49" s="12">
        <f>('TUSD BE'!$L$49+'TUSD BF'!$L$49+'TUSD CVA'!$L$49)*1</f>
        <v>0</v>
      </c>
      <c r="M49" s="12">
        <f>('TUSD BE'!$M$49+'TUSD BF'!$M$49+'TUSD CVA'!$M$49)*1</f>
        <v>2.3730294380749659</v>
      </c>
      <c r="N49" s="12">
        <f ca="1">('TUSD BE'!$N$49+'TUSD BF'!$N$49+'TUSD CVA'!$N$49)*1</f>
        <v>0</v>
      </c>
      <c r="O49" s="12">
        <f>('TUSD BE'!$O$49+'TUSD BF'!$O$49+'TUSD CVA'!$O$49)*1</f>
        <v>0</v>
      </c>
      <c r="P49" s="12">
        <f>('TUSD BE'!$P$49+'TUSD BF'!$P$49+'TUSD CVA'!$P$49)*1</f>
        <v>0</v>
      </c>
      <c r="Q49" s="12">
        <f>('TUSD BE'!$Q$49+'TUSD BF'!$Q$49+'TUSD CVA'!$Q$49)*1</f>
        <v>87.538203927738948</v>
      </c>
      <c r="R49" s="12">
        <f>('TUSD BE'!$R$49+'TUSD BF'!$R$49+'TUSD CVA'!$R$49)*1</f>
        <v>13.849389397227974</v>
      </c>
      <c r="S49" s="12">
        <f>('TUSD BE'!$S$49+'TUSD BF'!$S$49+'TUSD CVA'!$S$49)*1</f>
        <v>0</v>
      </c>
      <c r="T49" s="12">
        <f>('TUSD BE'!$U$49+'TUSD BF'!$U$49+'TUSD CVA'!$U$49)*1</f>
        <v>0</v>
      </c>
      <c r="U49" s="12">
        <f>('TUSD BE'!$V$49+'TUSD BF'!$V$49+'TUSD CVA'!$V$49)*1</f>
        <v>0</v>
      </c>
      <c r="V49" s="12">
        <f>('TUSD BE'!$W$49+'TUSD BF'!$W$49+'TUSD CVA'!$W$49)*1</f>
        <v>0</v>
      </c>
      <c r="W49" s="12">
        <f>('TUSD BE'!$X$49+'TUSD BF'!$X$49+'TUSD CVA'!$X$49)*1</f>
        <v>0</v>
      </c>
      <c r="X49" s="12">
        <f>('TUSD BE'!$Y$49+'TUSD BF'!$Y$49+'TUSD CVA'!$Y$49)*1</f>
        <v>145.01421157994946</v>
      </c>
      <c r="Y49" s="12">
        <f>('TUSD BE'!$Z$49+'TUSD BF'!$Z$49+'TUSD CVA'!$Z$49)*1</f>
        <v>0</v>
      </c>
      <c r="Z49" s="12">
        <f>('TUSD BE'!$AA$49+'TUSD BF'!$AA$49+'TUSD CVA'!$AA$49)*1</f>
        <v>0</v>
      </c>
      <c r="AA49" s="12">
        <f>('TUSD BE'!$AC$49+'TUSD BF'!$AC$49+'TUSD CVA'!$AC$49)*1</f>
        <v>209.2194495115728</v>
      </c>
      <c r="AB49" s="12">
        <f ca="1">('TUSD BE'!$AE$49+'TUSD BF'!$AE$49+'TUSD CVA'!$AE$49)*1</f>
        <v>0</v>
      </c>
      <c r="AC49" s="12">
        <f ca="1">('TUSD BE'!$AF$49+'TUSD BF'!$AF$49+'TUSD CVA'!$AF$49)*1</f>
        <v>0</v>
      </c>
      <c r="AD49" s="12">
        <f>('TUSD BE'!$AH$49+'TUSD BF'!$AH$49+'TUSD CVA'!$AH$49)*1</f>
        <v>29.862706514537237</v>
      </c>
      <c r="AE49" s="12">
        <f>('TUSD BE'!$AI$49+'TUSD BF'!$AI$49+'TUSD CVA'!$AI$49)*1</f>
        <v>0</v>
      </c>
      <c r="AF49" s="12">
        <f ca="1">('TUSD BE'!$AJ$49+'TUSD BF'!$AJ$49+'TUSD CVA'!$AJ$49)*1</f>
        <v>0</v>
      </c>
      <c r="AG49" s="12">
        <f ca="1">('TUSD BE'!$AK$49+'TUSD BF'!$AK$49+'TUSD CVA'!$AK$49)*1</f>
        <v>0</v>
      </c>
      <c r="AI49" s="12">
        <v>0</v>
      </c>
      <c r="AJ49" s="12">
        <v>2.2672043161630899</v>
      </c>
      <c r="AK49" s="12">
        <v>0</v>
      </c>
      <c r="AL49" s="12">
        <v>0</v>
      </c>
      <c r="AM49" s="12">
        <v>0</v>
      </c>
      <c r="AN49" s="12">
        <v>60.054646881040803</v>
      </c>
      <c r="AO49" s="12">
        <v>9.3208359179518592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123.18018123789599</v>
      </c>
      <c r="AV49" s="12">
        <v>0</v>
      </c>
      <c r="AW49" s="12">
        <v>0</v>
      </c>
      <c r="AX49" s="12">
        <v>196.13069202543801</v>
      </c>
      <c r="AY49" s="12">
        <v>0</v>
      </c>
      <c r="AZ49" s="12">
        <v>0</v>
      </c>
      <c r="BA49" s="12">
        <v>34.794247956690299</v>
      </c>
      <c r="BB49" s="12">
        <v>0</v>
      </c>
      <c r="BC49" s="12">
        <v>0</v>
      </c>
      <c r="BD49" s="12">
        <v>0</v>
      </c>
    </row>
    <row r="50" spans="1:56" ht="11.25" customHeight="1" x14ac:dyDescent="0.25">
      <c r="A50" s="102" t="s">
        <v>43</v>
      </c>
      <c r="B50" s="102" t="s">
        <v>23</v>
      </c>
      <c r="C50" s="102" t="s">
        <v>44</v>
      </c>
      <c r="D50" s="18" t="s">
        <v>45</v>
      </c>
      <c r="E50" s="18" t="s">
        <v>25</v>
      </c>
      <c r="F50" s="18" t="s">
        <v>25</v>
      </c>
      <c r="G50" s="17" t="s">
        <v>77</v>
      </c>
      <c r="H50" s="17" t="s">
        <v>71</v>
      </c>
      <c r="I50" s="17">
        <f>'MERCADO TUSD'!$U$47</f>
        <v>4840.4129999999996</v>
      </c>
      <c r="J50" s="15"/>
      <c r="L50" s="12">
        <f>('TUSD BE'!$L$50+'TUSD BF'!$L$50+'TUSD CVA'!$L$50)*1</f>
        <v>0</v>
      </c>
      <c r="M50" s="12">
        <f>('TUSD BE'!$M$50+'TUSD BF'!$M$50+'TUSD CVA'!$M$50)*1</f>
        <v>1.3051661909412315</v>
      </c>
      <c r="N50" s="12">
        <f ca="1">('TUSD BE'!$N$50+'TUSD BF'!$N$50+'TUSD CVA'!$N$50)*1</f>
        <v>0</v>
      </c>
      <c r="O50" s="12">
        <f>('TUSD BE'!$O$50+'TUSD BF'!$O$50+'TUSD CVA'!$O$50)*1</f>
        <v>0</v>
      </c>
      <c r="P50" s="12">
        <f>('TUSD BE'!$P$50+'TUSD BF'!$P$50+'TUSD CVA'!$P$50)*1</f>
        <v>0</v>
      </c>
      <c r="Q50" s="12">
        <f>('TUSD BE'!$Q$50+'TUSD BF'!$Q$50+'TUSD CVA'!$Q$50)*1</f>
        <v>48.146012160256426</v>
      </c>
      <c r="R50" s="12">
        <f>('TUSD BE'!$R$50+'TUSD BF'!$R$50+'TUSD CVA'!$R$50)*1</f>
        <v>7.6171641684753864</v>
      </c>
      <c r="S50" s="12">
        <f>('TUSD BE'!$S$50+'TUSD BF'!$S$50+'TUSD CVA'!$S$50)*1</f>
        <v>0</v>
      </c>
      <c r="T50" s="12">
        <f>('TUSD BE'!$U$50+'TUSD BF'!$U$50+'TUSD CVA'!$U$50)*1</f>
        <v>0</v>
      </c>
      <c r="U50" s="12">
        <f>('TUSD BE'!$V$50+'TUSD BF'!$V$50+'TUSD CVA'!$V$50)*1</f>
        <v>0</v>
      </c>
      <c r="V50" s="12">
        <f>('TUSD BE'!$W$50+'TUSD BF'!$W$50+'TUSD CVA'!$W$50)*1</f>
        <v>0</v>
      </c>
      <c r="W50" s="12">
        <f>('TUSD BE'!$X$50+'TUSD BF'!$X$50+'TUSD CVA'!$X$50)*1</f>
        <v>0</v>
      </c>
      <c r="X50" s="12">
        <f>('TUSD BE'!$Y$50+'TUSD BF'!$Y$50+'TUSD CVA'!$Y$50)*1</f>
        <v>79.757816368972215</v>
      </c>
      <c r="Y50" s="12">
        <f>('TUSD BE'!$Z$50+'TUSD BF'!$Z$50+'TUSD CVA'!$Z$50)*1</f>
        <v>0</v>
      </c>
      <c r="Z50" s="12">
        <f>('TUSD BE'!$AA$50+'TUSD BF'!$AA$50+'TUSD CVA'!$AA$50)*1</f>
        <v>0</v>
      </c>
      <c r="AA50" s="12">
        <f>('TUSD BE'!$AC$50+'TUSD BF'!$AC$50+'TUSD CVA'!$AC$50)*1</f>
        <v>115.07069723136505</v>
      </c>
      <c r="AB50" s="12">
        <f ca="1">('TUSD BE'!$AE$50+'TUSD BF'!$AE$50+'TUSD CVA'!$AE$50)*1</f>
        <v>0</v>
      </c>
      <c r="AC50" s="12">
        <f ca="1">('TUSD BE'!$AF$50+'TUSD BF'!$AF$50+'TUSD CVA'!$AF$50)*1</f>
        <v>0</v>
      </c>
      <c r="AD50" s="12">
        <f>('TUSD BE'!$AH$50+'TUSD BF'!$AH$50+'TUSD CVA'!$AH$50)*1</f>
        <v>16.42448858299548</v>
      </c>
      <c r="AE50" s="12">
        <f>('TUSD BE'!$AI$50+'TUSD BF'!$AI$50+'TUSD CVA'!$AI$50)*1</f>
        <v>0</v>
      </c>
      <c r="AF50" s="12">
        <f ca="1">('TUSD BE'!$AJ$50+'TUSD BF'!$AJ$50+'TUSD CVA'!$AJ$50)*1</f>
        <v>0</v>
      </c>
      <c r="AG50" s="12">
        <f ca="1">('TUSD BE'!$AK$50+'TUSD BF'!$AK$50+'TUSD CVA'!$AK$50)*1</f>
        <v>0</v>
      </c>
      <c r="AI50" s="12">
        <v>0</v>
      </c>
      <c r="AJ50" s="12">
        <v>1.2469623738897</v>
      </c>
      <c r="AK50" s="12">
        <v>0</v>
      </c>
      <c r="AL50" s="12">
        <v>0</v>
      </c>
      <c r="AM50" s="12">
        <v>0</v>
      </c>
      <c r="AN50" s="12">
        <v>33.030055784572397</v>
      </c>
      <c r="AO50" s="12">
        <v>5.1264597548735198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67.749099680842903</v>
      </c>
      <c r="AV50" s="12">
        <v>0</v>
      </c>
      <c r="AW50" s="12">
        <v>0</v>
      </c>
      <c r="AX50" s="12">
        <v>107.871880613991</v>
      </c>
      <c r="AY50" s="12">
        <v>0</v>
      </c>
      <c r="AZ50" s="12">
        <v>0</v>
      </c>
      <c r="BA50" s="12">
        <v>19.136836376179701</v>
      </c>
      <c r="BB50" s="12">
        <v>0</v>
      </c>
      <c r="BC50" s="12">
        <v>0</v>
      </c>
      <c r="BD50" s="12">
        <v>0</v>
      </c>
    </row>
    <row r="51" spans="1:56" ht="11.25" customHeight="1" x14ac:dyDescent="0.25">
      <c r="A51" s="102"/>
      <c r="B51" s="102"/>
      <c r="C51" s="102"/>
      <c r="D51" s="17" t="s">
        <v>90</v>
      </c>
      <c r="E51" s="17" t="s">
        <v>25</v>
      </c>
      <c r="F51" s="17" t="s">
        <v>25</v>
      </c>
      <c r="G51" s="17" t="s">
        <v>77</v>
      </c>
      <c r="H51" s="17" t="s">
        <v>71</v>
      </c>
      <c r="I51" s="17">
        <f>'MERCADO TUSD'!$U$48</f>
        <v>0</v>
      </c>
      <c r="J51" s="15"/>
      <c r="L51" s="12">
        <f>('TUSD BE'!$L$51+'TUSD BF'!$L$51+'TUSD CVA'!$L$51)*1</f>
        <v>0</v>
      </c>
      <c r="M51" s="12">
        <f>('TUSD BE'!$M$51+'TUSD BF'!$M$51+'TUSD CVA'!$M$51)*1</f>
        <v>1.4238176628449797</v>
      </c>
      <c r="N51" s="12">
        <f ca="1">('TUSD BE'!$N$51+'TUSD BF'!$N$51+'TUSD CVA'!$N$51)*1</f>
        <v>0</v>
      </c>
      <c r="O51" s="12">
        <f>('TUSD BE'!$O$51+'TUSD BF'!$O$51+'TUSD CVA'!$O$51)*1</f>
        <v>0</v>
      </c>
      <c r="P51" s="12">
        <f>('TUSD BE'!$P$51+'TUSD BF'!$P$51+'TUSD CVA'!$P$51)*1</f>
        <v>0</v>
      </c>
      <c r="Q51" s="12">
        <f>('TUSD BE'!$Q$51+'TUSD BF'!$Q$51+'TUSD CVA'!$Q$51)*1</f>
        <v>52.52292235664337</v>
      </c>
      <c r="R51" s="12">
        <f>('TUSD BE'!$R$51+'TUSD BF'!$R$51+'TUSD CVA'!$R$51)*1</f>
        <v>8.3096336383367841</v>
      </c>
      <c r="S51" s="12">
        <f>('TUSD BE'!$S$51+'TUSD BF'!$S$51+'TUSD CVA'!$S$51)*1</f>
        <v>0</v>
      </c>
      <c r="T51" s="12">
        <f>('TUSD BE'!$U$51+'TUSD BF'!$U$51+'TUSD CVA'!$U$51)*1</f>
        <v>0</v>
      </c>
      <c r="U51" s="12">
        <f>('TUSD BE'!$V$51+'TUSD BF'!$V$51+'TUSD CVA'!$V$51)*1</f>
        <v>0</v>
      </c>
      <c r="V51" s="12">
        <f>('TUSD BE'!$W$51+'TUSD BF'!$W$51+'TUSD CVA'!$W$51)*1</f>
        <v>0</v>
      </c>
      <c r="W51" s="12">
        <f>('TUSD BE'!$X$51+'TUSD BF'!$X$51+'TUSD CVA'!$X$51)*1</f>
        <v>0</v>
      </c>
      <c r="X51" s="12">
        <f>('TUSD BE'!$Y$51+'TUSD BF'!$Y$51+'TUSD CVA'!$Y$51)*1</f>
        <v>87.008526947969699</v>
      </c>
      <c r="Y51" s="12">
        <f>('TUSD BE'!$Z$51+'TUSD BF'!$Z$51+'TUSD CVA'!$Z$51)*1</f>
        <v>0</v>
      </c>
      <c r="Z51" s="12">
        <f>('TUSD BE'!$AA$51+'TUSD BF'!$AA$51+'TUSD CVA'!$AA$51)*1</f>
        <v>0</v>
      </c>
      <c r="AA51" s="12">
        <f>('TUSD BE'!$AC$51+'TUSD BF'!$AC$51+'TUSD CVA'!$AC$51)*1</f>
        <v>125.53166970694369</v>
      </c>
      <c r="AB51" s="12">
        <f ca="1">('TUSD BE'!$AE$51+'TUSD BF'!$AE$51+'TUSD CVA'!$AE$51)*1</f>
        <v>0</v>
      </c>
      <c r="AC51" s="12">
        <f ca="1">('TUSD BE'!$AF$51+'TUSD BF'!$AF$51+'TUSD CVA'!$AF$51)*1</f>
        <v>0</v>
      </c>
      <c r="AD51" s="12">
        <f>('TUSD BE'!$AH$51+'TUSD BF'!$AH$51+'TUSD CVA'!$AH$51)*1</f>
        <v>17.917623908722341</v>
      </c>
      <c r="AE51" s="12">
        <f>('TUSD BE'!$AI$51+'TUSD BF'!$AI$51+'TUSD CVA'!$AI$51)*1</f>
        <v>0</v>
      </c>
      <c r="AF51" s="12">
        <f ca="1">('TUSD BE'!$AJ$51+'TUSD BF'!$AJ$51+'TUSD CVA'!$AJ$51)*1</f>
        <v>0</v>
      </c>
      <c r="AG51" s="12">
        <f ca="1">('TUSD BE'!$AK$51+'TUSD BF'!$AK$51+'TUSD CVA'!$AK$51)*1</f>
        <v>0</v>
      </c>
      <c r="AI51" s="12">
        <v>0</v>
      </c>
      <c r="AJ51" s="12">
        <v>1.3603225896978499</v>
      </c>
      <c r="AK51" s="12">
        <v>0</v>
      </c>
      <c r="AL51" s="12">
        <v>0</v>
      </c>
      <c r="AM51" s="12">
        <v>0</v>
      </c>
      <c r="AN51" s="12">
        <v>36.032788128624503</v>
      </c>
      <c r="AO51" s="12">
        <v>5.59250155077111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73.908108742737696</v>
      </c>
      <c r="AV51" s="12">
        <v>0</v>
      </c>
      <c r="AW51" s="12">
        <v>0</v>
      </c>
      <c r="AX51" s="12">
        <v>117.678415215263</v>
      </c>
      <c r="AY51" s="12">
        <v>0</v>
      </c>
      <c r="AZ51" s="12">
        <v>0</v>
      </c>
      <c r="BA51" s="12">
        <v>20.8765487740142</v>
      </c>
      <c r="BB51" s="12">
        <v>0</v>
      </c>
      <c r="BC51" s="12">
        <v>0</v>
      </c>
      <c r="BD51" s="12">
        <v>0</v>
      </c>
    </row>
    <row r="53" spans="1:56" ht="11.25" customHeight="1" x14ac:dyDescent="0.25">
      <c r="L53" s="104" t="s">
        <v>662</v>
      </c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I53" s="104" t="s">
        <v>663</v>
      </c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</row>
    <row r="54" spans="1:56" ht="11.25" customHeight="1" x14ac:dyDescent="0.25">
      <c r="L54" s="104" t="s">
        <v>360</v>
      </c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I54" s="104" t="s">
        <v>360</v>
      </c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</row>
    <row r="55" spans="1:56" ht="11.25" customHeight="1" x14ac:dyDescent="0.25">
      <c r="L55" s="104" t="s">
        <v>361</v>
      </c>
      <c r="M55" s="104"/>
      <c r="N55" s="104"/>
      <c r="O55" s="104"/>
      <c r="P55" s="104"/>
      <c r="Q55" s="104"/>
      <c r="R55" s="104"/>
      <c r="S55" s="104"/>
      <c r="T55" s="104" t="s">
        <v>370</v>
      </c>
      <c r="U55" s="104"/>
      <c r="V55" s="104"/>
      <c r="W55" s="104"/>
      <c r="X55" s="104"/>
      <c r="Y55" s="104"/>
      <c r="Z55" s="104"/>
      <c r="AA55" s="10" t="s">
        <v>378</v>
      </c>
      <c r="AB55" s="104" t="s">
        <v>380</v>
      </c>
      <c r="AC55" s="104"/>
      <c r="AD55" s="104" t="s">
        <v>383</v>
      </c>
      <c r="AE55" s="104"/>
      <c r="AF55" s="104"/>
      <c r="AG55" s="104"/>
      <c r="AI55" s="104" t="s">
        <v>361</v>
      </c>
      <c r="AJ55" s="104"/>
      <c r="AK55" s="104"/>
      <c r="AL55" s="104"/>
      <c r="AM55" s="104"/>
      <c r="AN55" s="104"/>
      <c r="AO55" s="104"/>
      <c r="AP55" s="104"/>
      <c r="AQ55" s="104" t="s">
        <v>370</v>
      </c>
      <c r="AR55" s="104"/>
      <c r="AS55" s="104"/>
      <c r="AT55" s="104"/>
      <c r="AU55" s="104"/>
      <c r="AV55" s="104"/>
      <c r="AW55" s="104"/>
      <c r="AX55" s="10" t="s">
        <v>378</v>
      </c>
      <c r="AY55" s="104" t="s">
        <v>380</v>
      </c>
      <c r="AZ55" s="104"/>
      <c r="BA55" s="104" t="s">
        <v>383</v>
      </c>
      <c r="BB55" s="104"/>
      <c r="BC55" s="104"/>
      <c r="BD55" s="104"/>
    </row>
    <row r="56" spans="1:56" ht="11.25" customHeight="1" x14ac:dyDescent="0.25">
      <c r="L56" s="10" t="s">
        <v>446</v>
      </c>
      <c r="M56" s="10" t="s">
        <v>362</v>
      </c>
      <c r="N56" s="10" t="s">
        <v>363</v>
      </c>
      <c r="O56" s="10" t="s">
        <v>364</v>
      </c>
      <c r="P56" s="10" t="s">
        <v>365</v>
      </c>
      <c r="Q56" s="10" t="s">
        <v>366</v>
      </c>
      <c r="R56" s="10" t="s">
        <v>367</v>
      </c>
      <c r="S56" s="10" t="s">
        <v>368</v>
      </c>
      <c r="T56" s="10" t="s">
        <v>371</v>
      </c>
      <c r="U56" s="10" t="s">
        <v>372</v>
      </c>
      <c r="V56" s="10" t="s">
        <v>373</v>
      </c>
      <c r="W56" s="10" t="s">
        <v>374</v>
      </c>
      <c r="X56" s="10" t="s">
        <v>375</v>
      </c>
      <c r="Y56" s="10" t="s">
        <v>376</v>
      </c>
      <c r="Z56" s="10" t="s">
        <v>377</v>
      </c>
      <c r="AA56" s="10" t="s">
        <v>379</v>
      </c>
      <c r="AB56" s="10" t="s">
        <v>381</v>
      </c>
      <c r="AC56" s="10" t="s">
        <v>382</v>
      </c>
      <c r="AD56" s="10" t="s">
        <v>384</v>
      </c>
      <c r="AE56" s="10" t="s">
        <v>385</v>
      </c>
      <c r="AF56" s="10" t="s">
        <v>386</v>
      </c>
      <c r="AG56" s="10" t="s">
        <v>387</v>
      </c>
      <c r="AI56" s="10" t="s">
        <v>446</v>
      </c>
      <c r="AJ56" s="10" t="s">
        <v>362</v>
      </c>
      <c r="AK56" s="10" t="s">
        <v>363</v>
      </c>
      <c r="AL56" s="10" t="s">
        <v>364</v>
      </c>
      <c r="AM56" s="10" t="s">
        <v>365</v>
      </c>
      <c r="AN56" s="10" t="s">
        <v>366</v>
      </c>
      <c r="AO56" s="10" t="s">
        <v>367</v>
      </c>
      <c r="AP56" s="10" t="s">
        <v>368</v>
      </c>
      <c r="AQ56" s="10" t="s">
        <v>371</v>
      </c>
      <c r="AR56" s="10" t="s">
        <v>372</v>
      </c>
      <c r="AS56" s="10" t="s">
        <v>373</v>
      </c>
      <c r="AT56" s="10" t="s">
        <v>374</v>
      </c>
      <c r="AU56" s="10" t="s">
        <v>375</v>
      </c>
      <c r="AV56" s="10" t="s">
        <v>376</v>
      </c>
      <c r="AW56" s="10" t="s">
        <v>377</v>
      </c>
      <c r="AX56" s="10" t="s">
        <v>379</v>
      </c>
      <c r="AY56" s="10" t="s">
        <v>381</v>
      </c>
      <c r="AZ56" s="10" t="s">
        <v>382</v>
      </c>
      <c r="BA56" s="10" t="s">
        <v>384</v>
      </c>
      <c r="BB56" s="10" t="s">
        <v>385</v>
      </c>
      <c r="BC56" s="10" t="s">
        <v>386</v>
      </c>
      <c r="BD56" s="10" t="s">
        <v>387</v>
      </c>
    </row>
    <row r="57" spans="1:56" ht="11.25" customHeight="1" x14ac:dyDescent="0.25">
      <c r="A57" s="9" t="s">
        <v>35</v>
      </c>
      <c r="B57" s="9" t="s">
        <v>664</v>
      </c>
      <c r="C57" s="9" t="s">
        <v>665</v>
      </c>
      <c r="D57" s="9" t="s">
        <v>666</v>
      </c>
      <c r="E57" s="9" t="s">
        <v>667</v>
      </c>
      <c r="F57" s="9" t="s">
        <v>668</v>
      </c>
      <c r="G57" s="9" t="s">
        <v>669</v>
      </c>
      <c r="L57" s="12">
        <f>$I$5*$L$5</f>
        <v>0</v>
      </c>
      <c r="M57" s="12">
        <f>$I$5*$M$5</f>
        <v>0</v>
      </c>
      <c r="N57" s="12">
        <f ca="1">$I$5*$N$5</f>
        <v>0</v>
      </c>
      <c r="O57" s="12">
        <f>$I$5*$O$5</f>
        <v>0</v>
      </c>
      <c r="P57" s="12">
        <f>$I$5*$P$5</f>
        <v>0</v>
      </c>
      <c r="Q57" s="12">
        <f>$I$5*$Q$5</f>
        <v>0</v>
      </c>
      <c r="R57" s="12">
        <f>$I$5*$R$5</f>
        <v>0</v>
      </c>
      <c r="S57" s="12">
        <f>$I$5*$S$5</f>
        <v>0</v>
      </c>
      <c r="T57" s="12">
        <f>$I$5*$T$5</f>
        <v>0</v>
      </c>
      <c r="U57" s="12">
        <f>$I$5*$U$5</f>
        <v>0</v>
      </c>
      <c r="V57" s="12">
        <f>$I$5*$V$5</f>
        <v>0</v>
      </c>
      <c r="W57" s="12">
        <f>$I$5*$W$5</f>
        <v>0</v>
      </c>
      <c r="X57" s="12">
        <f>$I$5*$X$5</f>
        <v>14222.547674187352</v>
      </c>
      <c r="Y57" s="12">
        <f>$I$5*$Y$5</f>
        <v>0</v>
      </c>
      <c r="Z57" s="12">
        <f>$I$5*$Z$5</f>
        <v>0</v>
      </c>
      <c r="AA57" s="12">
        <f>$I$5*$AA$5</f>
        <v>14764.242978046917</v>
      </c>
      <c r="AB57" s="12">
        <f ca="1">$I$5*$AB$5</f>
        <v>0</v>
      </c>
      <c r="AC57" s="12">
        <f ca="1">$I$5*$AC$5</f>
        <v>0</v>
      </c>
      <c r="AD57" s="12">
        <f>$I$5*$AD$5</f>
        <v>0</v>
      </c>
      <c r="AE57" s="12">
        <f>$I$5*$AE$5</f>
        <v>0</v>
      </c>
      <c r="AF57" s="12">
        <f ca="1">$I$5*$AF$5</f>
        <v>0</v>
      </c>
      <c r="AG57" s="12">
        <f ca="1">$I$5*$AG$5</f>
        <v>0</v>
      </c>
      <c r="AI57" s="12">
        <f>$I$5*$AI$5</f>
        <v>0</v>
      </c>
      <c r="AJ57" s="12">
        <f>$I$5*$AJ$5</f>
        <v>0</v>
      </c>
      <c r="AK57" s="12">
        <f>$I$5*$AK$5</f>
        <v>0</v>
      </c>
      <c r="AL57" s="12">
        <f>$I$5*$AL$5</f>
        <v>0</v>
      </c>
      <c r="AM57" s="12">
        <f>$I$5*$AM$5</f>
        <v>0</v>
      </c>
      <c r="AN57" s="12">
        <f>$I$5*$AN$5</f>
        <v>0</v>
      </c>
      <c r="AO57" s="12">
        <f>$I$5*$AO$5</f>
        <v>0</v>
      </c>
      <c r="AP57" s="12">
        <f>$I$5*$AP$5</f>
        <v>0</v>
      </c>
      <c r="AQ57" s="12">
        <f>$I$5*$AQ$5</f>
        <v>0</v>
      </c>
      <c r="AR57" s="12">
        <f>$I$5*$AR$5</f>
        <v>0</v>
      </c>
      <c r="AS57" s="12">
        <f>$I$5*$AS$5</f>
        <v>0</v>
      </c>
      <c r="AT57" s="12">
        <f>$I$5*$AT$5</f>
        <v>0</v>
      </c>
      <c r="AU57" s="12">
        <f>$I$5*$AU$5</f>
        <v>12063.527920603035</v>
      </c>
      <c r="AV57" s="12">
        <f>$I$5*$AV$5</f>
        <v>0</v>
      </c>
      <c r="AW57" s="12">
        <f>$I$5*$AW$5</f>
        <v>0</v>
      </c>
      <c r="AX57" s="12">
        <f>$I$5*$AX$5</f>
        <v>13840.604059407749</v>
      </c>
      <c r="AY57" s="12">
        <f>$I$5*$AY$5</f>
        <v>0</v>
      </c>
      <c r="AZ57" s="12">
        <f>$I$5*$AZ$5</f>
        <v>0</v>
      </c>
      <c r="BA57" s="12">
        <f>$I$5*$BA$5</f>
        <v>0</v>
      </c>
      <c r="BB57" s="12">
        <f>$I$5*$BB$5</f>
        <v>0</v>
      </c>
      <c r="BC57" s="12">
        <f>$I$5*$BC$5</f>
        <v>0</v>
      </c>
      <c r="BD57" s="12">
        <f>$I$5*$BD$5</f>
        <v>0</v>
      </c>
    </row>
    <row r="58" spans="1:56" ht="11.25" customHeight="1" x14ac:dyDescent="0.25">
      <c r="A58" s="9" t="s">
        <v>35</v>
      </c>
      <c r="B58" s="9" t="s">
        <v>664</v>
      </c>
      <c r="C58" s="9" t="s">
        <v>665</v>
      </c>
      <c r="D58" s="9" t="s">
        <v>666</v>
      </c>
      <c r="E58" s="9" t="s">
        <v>667</v>
      </c>
      <c r="F58" s="9" t="s">
        <v>668</v>
      </c>
      <c r="G58" s="9" t="s">
        <v>670</v>
      </c>
      <c r="L58" s="12">
        <f>$I$6*$L$6</f>
        <v>0</v>
      </c>
      <c r="M58" s="12">
        <f>$I$6*$M$6</f>
        <v>0</v>
      </c>
      <c r="N58" s="12">
        <f ca="1">$I$6*$N$6</f>
        <v>0</v>
      </c>
      <c r="O58" s="12">
        <f>$I$6*$O$6</f>
        <v>0</v>
      </c>
      <c r="P58" s="12">
        <f>$I$6*$P$6</f>
        <v>0</v>
      </c>
      <c r="Q58" s="12">
        <f>$I$6*$Q$6</f>
        <v>0</v>
      </c>
      <c r="R58" s="12">
        <f>$I$6*$R$6</f>
        <v>0</v>
      </c>
      <c r="S58" s="12">
        <f>$I$6*$S$6</f>
        <v>0</v>
      </c>
      <c r="T58" s="12">
        <f>$I$6*$T$6</f>
        <v>0</v>
      </c>
      <c r="U58" s="12">
        <f>$I$6*$U$6</f>
        <v>0</v>
      </c>
      <c r="V58" s="12">
        <f>$I$6*$V$6</f>
        <v>0</v>
      </c>
      <c r="W58" s="12">
        <f>$I$6*$W$6</f>
        <v>0</v>
      </c>
      <c r="X58" s="12">
        <f>$I$6*$X$6</f>
        <v>30547.865525130826</v>
      </c>
      <c r="Y58" s="12">
        <f>$I$6*$Y$6</f>
        <v>0</v>
      </c>
      <c r="Z58" s="12">
        <f>$I$6*$Z$6</f>
        <v>0</v>
      </c>
      <c r="AA58" s="12">
        <f>$I$6*$AA$6</f>
        <v>18571.198536479587</v>
      </c>
      <c r="AB58" s="12">
        <f ca="1">$I$6*$AB$6</f>
        <v>0</v>
      </c>
      <c r="AC58" s="12">
        <f ca="1">$I$6*$AC$6</f>
        <v>0</v>
      </c>
      <c r="AD58" s="12">
        <f>$I$6*$AD$6</f>
        <v>0</v>
      </c>
      <c r="AE58" s="12">
        <f>$I$6*$AE$6</f>
        <v>0</v>
      </c>
      <c r="AF58" s="12">
        <f ca="1">$I$6*$AF$6</f>
        <v>0</v>
      </c>
      <c r="AG58" s="12">
        <f ca="1">$I$6*$AG$6</f>
        <v>0</v>
      </c>
      <c r="AI58" s="12">
        <f>$I$6*$AI$6</f>
        <v>0</v>
      </c>
      <c r="AJ58" s="12">
        <f>$I$6*$AJ$6</f>
        <v>0</v>
      </c>
      <c r="AK58" s="12">
        <f>$I$6*$AK$6</f>
        <v>0</v>
      </c>
      <c r="AL58" s="12">
        <f>$I$6*$AL$6</f>
        <v>0</v>
      </c>
      <c r="AM58" s="12">
        <f>$I$6*$AM$6</f>
        <v>0</v>
      </c>
      <c r="AN58" s="12">
        <f>$I$6*$AN$6</f>
        <v>0</v>
      </c>
      <c r="AO58" s="12">
        <f>$I$6*$AO$6</f>
        <v>0</v>
      </c>
      <c r="AP58" s="12">
        <f>$I$6*$AP$6</f>
        <v>0</v>
      </c>
      <c r="AQ58" s="12">
        <f>$I$6*$AQ$6</f>
        <v>0</v>
      </c>
      <c r="AR58" s="12">
        <f>$I$6*$AR$6</f>
        <v>0</v>
      </c>
      <c r="AS58" s="12">
        <f>$I$6*$AS$6</f>
        <v>0</v>
      </c>
      <c r="AT58" s="12">
        <f>$I$6*$AT$6</f>
        <v>0</v>
      </c>
      <c r="AU58" s="12">
        <f>$I$6*$AU$6</f>
        <v>25871.22652218334</v>
      </c>
      <c r="AV58" s="12">
        <f>$I$6*$AV$6</f>
        <v>0</v>
      </c>
      <c r="AW58" s="12">
        <f>$I$6*$AW$6</f>
        <v>0</v>
      </c>
      <c r="AX58" s="12">
        <f>$I$6*$AX$6</f>
        <v>17409.291836897246</v>
      </c>
      <c r="AY58" s="12">
        <f>$I$6*$AY$6</f>
        <v>0</v>
      </c>
      <c r="AZ58" s="12">
        <f>$I$6*$AZ$6</f>
        <v>0</v>
      </c>
      <c r="BA58" s="12">
        <f>$I$6*$BA$6</f>
        <v>0</v>
      </c>
      <c r="BB58" s="12">
        <f>$I$6*$BB$6</f>
        <v>0</v>
      </c>
      <c r="BC58" s="12">
        <f>$I$6*$BC$6</f>
        <v>0</v>
      </c>
      <c r="BD58" s="12">
        <f>$I$6*$BD$6</f>
        <v>0</v>
      </c>
    </row>
    <row r="59" spans="1:56" ht="11.25" customHeight="1" x14ac:dyDescent="0.25">
      <c r="A59" s="9" t="s">
        <v>35</v>
      </c>
      <c r="B59" s="9" t="s">
        <v>664</v>
      </c>
      <c r="C59" s="9" t="s">
        <v>665</v>
      </c>
      <c r="D59" s="9" t="s">
        <v>666</v>
      </c>
      <c r="E59" s="9" t="s">
        <v>667</v>
      </c>
      <c r="F59" s="9" t="s">
        <v>668</v>
      </c>
      <c r="G59" s="9" t="s">
        <v>671</v>
      </c>
      <c r="L59" s="12">
        <f>$I$7*$L$7</f>
        <v>0</v>
      </c>
      <c r="M59" s="12">
        <f>$I$7*$M$7</f>
        <v>546.70307479235782</v>
      </c>
      <c r="N59" s="12">
        <f ca="1">$I$7*$N$7</f>
        <v>0</v>
      </c>
      <c r="O59" s="12">
        <f>$I$7*$O$7</f>
        <v>0</v>
      </c>
      <c r="P59" s="12">
        <f>$I$7*$P$7</f>
        <v>0</v>
      </c>
      <c r="Q59" s="12">
        <f>$I$7*$Q$7</f>
        <v>19161.433543319577</v>
      </c>
      <c r="R59" s="12">
        <f>$I$7*$R$7</f>
        <v>3608.956985466049</v>
      </c>
      <c r="S59" s="12">
        <f>$I$7*$S$7</f>
        <v>0</v>
      </c>
      <c r="T59" s="12">
        <f>$I$7*$T$7</f>
        <v>0</v>
      </c>
      <c r="U59" s="12">
        <f>$I$7*$U$7</f>
        <v>0</v>
      </c>
      <c r="V59" s="12">
        <f>$I$7*$V$7</f>
        <v>0</v>
      </c>
      <c r="W59" s="12">
        <f>$I$7*$W$7</f>
        <v>0</v>
      </c>
      <c r="X59" s="12">
        <f>$I$7*$X$7</f>
        <v>0</v>
      </c>
      <c r="Y59" s="12">
        <f>$I$7*$Y$7</f>
        <v>0</v>
      </c>
      <c r="Z59" s="12">
        <f>$I$7*$Z$7</f>
        <v>0</v>
      </c>
      <c r="AA59" s="12">
        <f>$I$7*$AA$7</f>
        <v>0</v>
      </c>
      <c r="AB59" s="12">
        <f ca="1">$I$7*$AB$7</f>
        <v>0</v>
      </c>
      <c r="AC59" s="12">
        <f ca="1">$I$7*$AC$7</f>
        <v>0</v>
      </c>
      <c r="AD59" s="12">
        <f>$I$7*$AD$7</f>
        <v>3449.3568524957682</v>
      </c>
      <c r="AE59" s="12">
        <f>$I$7*$AE$7</f>
        <v>0</v>
      </c>
      <c r="AF59" s="12">
        <f ca="1">$I$7*$AF$7</f>
        <v>0</v>
      </c>
      <c r="AG59" s="12">
        <f ca="1">$I$7*$AG$7</f>
        <v>0</v>
      </c>
      <c r="AI59" s="12">
        <f>$I$7*$AI$7</f>
        <v>0</v>
      </c>
      <c r="AJ59" s="12">
        <f>$I$7*$AJ$7</f>
        <v>606.58657949415988</v>
      </c>
      <c r="AK59" s="12">
        <f>$I$7*$AK$7</f>
        <v>0</v>
      </c>
      <c r="AL59" s="12">
        <f>$I$7*$AL$7</f>
        <v>0</v>
      </c>
      <c r="AM59" s="12">
        <f>$I$7*$AM$7</f>
        <v>0</v>
      </c>
      <c r="AN59" s="12">
        <f>$I$7*$AN$7</f>
        <v>13614.978184564323</v>
      </c>
      <c r="AO59" s="12">
        <f>$I$7*$AO$7</f>
        <v>2428.8793485154033</v>
      </c>
      <c r="AP59" s="12">
        <f>$I$7*$AP$7</f>
        <v>0</v>
      </c>
      <c r="AQ59" s="12">
        <f>$I$7*$AQ$7</f>
        <v>0</v>
      </c>
      <c r="AR59" s="12">
        <f>$I$7*$AR$7</f>
        <v>0</v>
      </c>
      <c r="AS59" s="12">
        <f>$I$7*$AS$7</f>
        <v>0</v>
      </c>
      <c r="AT59" s="12">
        <f>$I$7*$AT$7</f>
        <v>0</v>
      </c>
      <c r="AU59" s="12">
        <f>$I$7*$AU$7</f>
        <v>0</v>
      </c>
      <c r="AV59" s="12">
        <f>$I$7*$AV$7</f>
        <v>0</v>
      </c>
      <c r="AW59" s="12">
        <f>$I$7*$AW$7</f>
        <v>0</v>
      </c>
      <c r="AX59" s="12">
        <f>$I$7*$AX$7</f>
        <v>0</v>
      </c>
      <c r="AY59" s="12">
        <f>$I$7*$AY$7</f>
        <v>0</v>
      </c>
      <c r="AZ59" s="12">
        <f>$I$7*$AZ$7</f>
        <v>0</v>
      </c>
      <c r="BA59" s="12">
        <f>$I$7*$BA$7</f>
        <v>4018.9765152558816</v>
      </c>
      <c r="BB59" s="12">
        <f>$I$7*$BB$7</f>
        <v>0</v>
      </c>
      <c r="BC59" s="12">
        <f>$I$7*$BC$7</f>
        <v>0</v>
      </c>
      <c r="BD59" s="12">
        <f>$I$7*$BD$7</f>
        <v>0</v>
      </c>
    </row>
    <row r="60" spans="1:56" ht="11.25" customHeight="1" x14ac:dyDescent="0.25">
      <c r="A60" s="9" t="s">
        <v>35</v>
      </c>
      <c r="B60" s="9" t="s">
        <v>664</v>
      </c>
      <c r="C60" s="9" t="s">
        <v>665</v>
      </c>
      <c r="D60" s="9" t="s">
        <v>666</v>
      </c>
      <c r="E60" s="9" t="s">
        <v>672</v>
      </c>
      <c r="F60" s="9" t="s">
        <v>673</v>
      </c>
      <c r="G60" s="9" t="s">
        <v>674</v>
      </c>
      <c r="L60" s="12">
        <f>$I$8*$L$8</f>
        <v>0</v>
      </c>
      <c r="M60" s="12">
        <f>$I$8*$M$8</f>
        <v>0</v>
      </c>
      <c r="N60" s="12">
        <f ca="1">$I$8*$N$8</f>
        <v>0</v>
      </c>
      <c r="O60" s="12">
        <f>$I$8*$O$8</f>
        <v>0</v>
      </c>
      <c r="P60" s="12">
        <f>$I$8*$P$8</f>
        <v>0</v>
      </c>
      <c r="Q60" s="12">
        <f>$I$8*$Q$8</f>
        <v>0</v>
      </c>
      <c r="R60" s="12">
        <f>$I$8*$R$8</f>
        <v>0</v>
      </c>
      <c r="S60" s="12">
        <f>$I$8*$S$8</f>
        <v>0</v>
      </c>
      <c r="T60" s="12">
        <f>$I$8*$T$8</f>
        <v>0</v>
      </c>
      <c r="U60" s="12">
        <f>$I$8*$U$8</f>
        <v>0</v>
      </c>
      <c r="V60" s="12">
        <f>$I$8*$V$8</f>
        <v>0</v>
      </c>
      <c r="W60" s="12">
        <f>$I$8*$W$8</f>
        <v>0</v>
      </c>
      <c r="X60" s="12">
        <f>$I$8*$X$8</f>
        <v>0</v>
      </c>
      <c r="Y60" s="12">
        <f>$I$8*$Y$8</f>
        <v>0</v>
      </c>
      <c r="Z60" s="12">
        <f>$I$8*$Z$8</f>
        <v>0</v>
      </c>
      <c r="AA60" s="12">
        <f>$I$8*$AA$8</f>
        <v>0</v>
      </c>
      <c r="AB60" s="12">
        <f ca="1">$I$8*$AB$8</f>
        <v>0</v>
      </c>
      <c r="AC60" s="12">
        <f ca="1">$I$8*$AC$8</f>
        <v>0</v>
      </c>
      <c r="AD60" s="12">
        <f>$I$8*$AD$8</f>
        <v>0</v>
      </c>
      <c r="AE60" s="12">
        <f>$I$8*$AE$8</f>
        <v>0</v>
      </c>
      <c r="AF60" s="12">
        <f ca="1">$I$8*$AF$8</f>
        <v>0</v>
      </c>
      <c r="AG60" s="12">
        <f ca="1">$I$8*$AG$8</f>
        <v>0</v>
      </c>
      <c r="AI60" s="12">
        <f>$I$8*$AI$8</f>
        <v>0</v>
      </c>
      <c r="AJ60" s="12">
        <f>$I$8*$AJ$8</f>
        <v>0</v>
      </c>
      <c r="AK60" s="12">
        <f>$I$8*$AK$8</f>
        <v>0</v>
      </c>
      <c r="AL60" s="12">
        <f>$I$8*$AL$8</f>
        <v>0</v>
      </c>
      <c r="AM60" s="12">
        <f>$I$8*$AM$8</f>
        <v>0</v>
      </c>
      <c r="AN60" s="12">
        <f>$I$8*$AN$8</f>
        <v>0</v>
      </c>
      <c r="AO60" s="12">
        <f>$I$8*$AO$8</f>
        <v>0</v>
      </c>
      <c r="AP60" s="12">
        <f>$I$8*$AP$8</f>
        <v>0</v>
      </c>
      <c r="AQ60" s="12">
        <f>$I$8*$AQ$8</f>
        <v>0</v>
      </c>
      <c r="AR60" s="12">
        <f>$I$8*$AR$8</f>
        <v>0</v>
      </c>
      <c r="AS60" s="12">
        <f>$I$8*$AS$8</f>
        <v>0</v>
      </c>
      <c r="AT60" s="12">
        <f>$I$8*$AT$8</f>
        <v>0</v>
      </c>
      <c r="AU60" s="12">
        <f>$I$8*$AU$8</f>
        <v>0</v>
      </c>
      <c r="AV60" s="12">
        <f>$I$8*$AV$8</f>
        <v>0</v>
      </c>
      <c r="AW60" s="12">
        <f>$I$8*$AW$8</f>
        <v>0</v>
      </c>
      <c r="AX60" s="12">
        <f>$I$8*$AX$8</f>
        <v>0</v>
      </c>
      <c r="AY60" s="12">
        <f>$I$8*$AY$8</f>
        <v>0</v>
      </c>
      <c r="AZ60" s="12">
        <f>$I$8*$AZ$8</f>
        <v>0</v>
      </c>
      <c r="BA60" s="12">
        <f>$I$8*$BA$8</f>
        <v>0</v>
      </c>
      <c r="BB60" s="12">
        <f>$I$8*$BB$8</f>
        <v>0</v>
      </c>
      <c r="BC60" s="12">
        <f>$I$8*$BC$8</f>
        <v>0</v>
      </c>
      <c r="BD60" s="12">
        <f>$I$8*$BD$8</f>
        <v>0</v>
      </c>
    </row>
    <row r="61" spans="1:56" ht="11.25" customHeight="1" x14ac:dyDescent="0.25">
      <c r="A61" s="9" t="s">
        <v>35</v>
      </c>
      <c r="B61" s="9" t="s">
        <v>675</v>
      </c>
      <c r="C61" s="9" t="s">
        <v>676</v>
      </c>
      <c r="D61" s="9" t="s">
        <v>677</v>
      </c>
      <c r="E61" s="9" t="s">
        <v>678</v>
      </c>
      <c r="F61" s="9" t="s">
        <v>679</v>
      </c>
      <c r="G61" s="9" t="s">
        <v>680</v>
      </c>
      <c r="L61" s="12">
        <f>$I$9*$L$9</f>
        <v>0</v>
      </c>
      <c r="M61" s="12">
        <f>$I$9*$M$9</f>
        <v>0</v>
      </c>
      <c r="N61" s="12">
        <f ca="1">$I$9*$N$9</f>
        <v>0</v>
      </c>
      <c r="O61" s="12">
        <f>$I$9*$O$9</f>
        <v>0</v>
      </c>
      <c r="P61" s="12">
        <f>$I$9*$P$9</f>
        <v>0</v>
      </c>
      <c r="Q61" s="12">
        <f>$I$9*$Q$9</f>
        <v>0</v>
      </c>
      <c r="R61" s="12">
        <f>$I$9*$R$9</f>
        <v>0</v>
      </c>
      <c r="S61" s="12">
        <f>$I$9*$S$9</f>
        <v>0</v>
      </c>
      <c r="T61" s="12">
        <f>$I$9*$T$9</f>
        <v>0</v>
      </c>
      <c r="U61" s="12">
        <f>$I$9*$U$9</f>
        <v>0</v>
      </c>
      <c r="V61" s="12">
        <f>$I$9*$V$9</f>
        <v>0</v>
      </c>
      <c r="W61" s="12">
        <f>$I$9*$W$9</f>
        <v>0</v>
      </c>
      <c r="X61" s="12">
        <f>$I$9*$X$9</f>
        <v>0</v>
      </c>
      <c r="Y61" s="12">
        <f>$I$9*$Y$9</f>
        <v>0</v>
      </c>
      <c r="Z61" s="12">
        <f>$I$9*$Z$9</f>
        <v>0</v>
      </c>
      <c r="AA61" s="12">
        <f>$I$9*$AA$9</f>
        <v>0</v>
      </c>
      <c r="AB61" s="12">
        <f ca="1">$I$9*$AB$9</f>
        <v>0</v>
      </c>
      <c r="AC61" s="12">
        <f ca="1">$I$9*$AC$9</f>
        <v>0</v>
      </c>
      <c r="AD61" s="12">
        <f>$I$9*$AD$9</f>
        <v>0</v>
      </c>
      <c r="AE61" s="12">
        <f>$I$9*$AE$9</f>
        <v>0</v>
      </c>
      <c r="AF61" s="12">
        <f ca="1">$I$9*$AF$9</f>
        <v>0</v>
      </c>
      <c r="AG61" s="12">
        <f ca="1">$I$9*$AG$9</f>
        <v>0</v>
      </c>
      <c r="AI61" s="12">
        <f>$I$9*$AI$9</f>
        <v>0</v>
      </c>
      <c r="AJ61" s="12">
        <f>$I$9*$AJ$9</f>
        <v>0</v>
      </c>
      <c r="AK61" s="12">
        <f>$I$9*$AK$9</f>
        <v>0</v>
      </c>
      <c r="AL61" s="12">
        <f>$I$9*$AL$9</f>
        <v>0</v>
      </c>
      <c r="AM61" s="12">
        <f>$I$9*$AM$9</f>
        <v>0</v>
      </c>
      <c r="AN61" s="12">
        <f>$I$9*$AN$9</f>
        <v>0</v>
      </c>
      <c r="AO61" s="12">
        <f>$I$9*$AO$9</f>
        <v>0</v>
      </c>
      <c r="AP61" s="12">
        <f>$I$9*$AP$9</f>
        <v>0</v>
      </c>
      <c r="AQ61" s="12">
        <f>$I$9*$AQ$9</f>
        <v>0</v>
      </c>
      <c r="AR61" s="12">
        <f>$I$9*$AR$9</f>
        <v>0</v>
      </c>
      <c r="AS61" s="12">
        <f>$I$9*$AS$9</f>
        <v>0</v>
      </c>
      <c r="AT61" s="12">
        <f>$I$9*$AT$9</f>
        <v>0</v>
      </c>
      <c r="AU61" s="12">
        <f>$I$9*$AU$9</f>
        <v>0</v>
      </c>
      <c r="AV61" s="12">
        <f>$I$9*$AV$9</f>
        <v>0</v>
      </c>
      <c r="AW61" s="12">
        <f>$I$9*$AW$9</f>
        <v>0</v>
      </c>
      <c r="AX61" s="12">
        <f>$I$9*$AX$9</f>
        <v>0</v>
      </c>
      <c r="AY61" s="12">
        <f>$I$9*$AY$9</f>
        <v>0</v>
      </c>
      <c r="AZ61" s="12">
        <f>$I$9*$AZ$9</f>
        <v>0</v>
      </c>
      <c r="BA61" s="12">
        <f>$I$9*$BA$9</f>
        <v>0</v>
      </c>
      <c r="BB61" s="12">
        <f>$I$9*$BB$9</f>
        <v>0</v>
      </c>
      <c r="BC61" s="12">
        <f>$I$9*$BC$9</f>
        <v>0</v>
      </c>
      <c r="BD61" s="12">
        <f>$I$9*$BD$9</f>
        <v>0</v>
      </c>
    </row>
    <row r="62" spans="1:56" ht="11.25" customHeight="1" x14ac:dyDescent="0.25">
      <c r="A62" s="9" t="s">
        <v>35</v>
      </c>
      <c r="B62" s="9" t="s">
        <v>681</v>
      </c>
      <c r="C62" s="9" t="s">
        <v>682</v>
      </c>
      <c r="D62" s="9" t="s">
        <v>683</v>
      </c>
      <c r="E62" s="9" t="s">
        <v>684</v>
      </c>
      <c r="F62" s="9" t="s">
        <v>685</v>
      </c>
      <c r="G62" s="9" t="s">
        <v>686</v>
      </c>
      <c r="L62" s="12">
        <f>$I$10*$L$10</f>
        <v>0</v>
      </c>
      <c r="M62" s="12">
        <f>$I$10*$M$10</f>
        <v>0</v>
      </c>
      <c r="N62" s="12">
        <f ca="1">$I$10*$N$10</f>
        <v>0</v>
      </c>
      <c r="O62" s="12">
        <f>$I$10*$O$10</f>
        <v>0</v>
      </c>
      <c r="P62" s="12">
        <f>$I$10*$P$10</f>
        <v>0</v>
      </c>
      <c r="Q62" s="12">
        <f>$I$10*$Q$10</f>
        <v>0</v>
      </c>
      <c r="R62" s="12">
        <f>$I$10*$R$10</f>
        <v>0</v>
      </c>
      <c r="S62" s="12">
        <f>$I$10*$S$10</f>
        <v>0</v>
      </c>
      <c r="T62" s="12">
        <f>$I$10*$T$10</f>
        <v>0</v>
      </c>
      <c r="U62" s="12">
        <f>$I$10*$U$10</f>
        <v>0</v>
      </c>
      <c r="V62" s="12">
        <f>$I$10*$V$10</f>
        <v>0</v>
      </c>
      <c r="W62" s="12">
        <f>$I$10*$W$10</f>
        <v>0</v>
      </c>
      <c r="X62" s="12">
        <f>$I$10*$X$10</f>
        <v>3505632.0180020281</v>
      </c>
      <c r="Y62" s="12">
        <f>$I$10*$Y$10</f>
        <v>0</v>
      </c>
      <c r="Z62" s="12">
        <f>$I$10*$Z$10</f>
        <v>0</v>
      </c>
      <c r="AA62" s="12">
        <f>$I$10*$AA$10</f>
        <v>2131205.8005688246</v>
      </c>
      <c r="AB62" s="12">
        <f ca="1">$I$10*$AB$10</f>
        <v>0</v>
      </c>
      <c r="AC62" s="12">
        <f ca="1">$I$10*$AC$10</f>
        <v>0</v>
      </c>
      <c r="AD62" s="12">
        <f>$I$10*$AD$10</f>
        <v>0</v>
      </c>
      <c r="AE62" s="12">
        <f>$I$10*$AE$10</f>
        <v>0</v>
      </c>
      <c r="AF62" s="12">
        <f ca="1">$I$10*$AF$10</f>
        <v>0</v>
      </c>
      <c r="AG62" s="12">
        <f ca="1">$I$10*$AG$10</f>
        <v>0</v>
      </c>
      <c r="AI62" s="12">
        <f>$I$10*$AI$10</f>
        <v>0</v>
      </c>
      <c r="AJ62" s="12">
        <f>$I$10*$AJ$10</f>
        <v>0</v>
      </c>
      <c r="AK62" s="12">
        <f>$I$10*$AK$10</f>
        <v>0</v>
      </c>
      <c r="AL62" s="12">
        <f>$I$10*$AL$10</f>
        <v>0</v>
      </c>
      <c r="AM62" s="12">
        <f>$I$10*$AM$10</f>
        <v>0</v>
      </c>
      <c r="AN62" s="12">
        <f>$I$10*$AN$10</f>
        <v>0</v>
      </c>
      <c r="AO62" s="12">
        <f>$I$10*$AO$10</f>
        <v>0</v>
      </c>
      <c r="AP62" s="12">
        <f>$I$10*$AP$10</f>
        <v>0</v>
      </c>
      <c r="AQ62" s="12">
        <f>$I$10*$AQ$10</f>
        <v>0</v>
      </c>
      <c r="AR62" s="12">
        <f>$I$10*$AR$10</f>
        <v>0</v>
      </c>
      <c r="AS62" s="12">
        <f>$I$10*$AS$10</f>
        <v>0</v>
      </c>
      <c r="AT62" s="12">
        <f>$I$10*$AT$10</f>
        <v>0</v>
      </c>
      <c r="AU62" s="12">
        <f>$I$10*$AU$10</f>
        <v>2968947.2073437367</v>
      </c>
      <c r="AV62" s="12">
        <f>$I$10*$AV$10</f>
        <v>0</v>
      </c>
      <c r="AW62" s="12">
        <f>$I$10*$AW$10</f>
        <v>0</v>
      </c>
      <c r="AX62" s="12">
        <f>$I$10*$AX$10</f>
        <v>1997866.9483129771</v>
      </c>
      <c r="AY62" s="12">
        <f>$I$10*$AY$10</f>
        <v>0</v>
      </c>
      <c r="AZ62" s="12">
        <f>$I$10*$AZ$10</f>
        <v>0</v>
      </c>
      <c r="BA62" s="12">
        <f>$I$10*$BA$10</f>
        <v>0</v>
      </c>
      <c r="BB62" s="12">
        <f>$I$10*$BB$10</f>
        <v>0</v>
      </c>
      <c r="BC62" s="12">
        <f>$I$10*$BC$10</f>
        <v>0</v>
      </c>
      <c r="BD62" s="12">
        <f>$I$10*$BD$10</f>
        <v>0</v>
      </c>
    </row>
    <row r="63" spans="1:56" ht="11.25" customHeight="1" x14ac:dyDescent="0.25">
      <c r="A63" s="9" t="s">
        <v>35</v>
      </c>
      <c r="B63" s="9" t="s">
        <v>681</v>
      </c>
      <c r="C63" s="9" t="s">
        <v>682</v>
      </c>
      <c r="D63" s="9" t="s">
        <v>683</v>
      </c>
      <c r="E63" s="9" t="s">
        <v>684</v>
      </c>
      <c r="F63" s="9" t="s">
        <v>685</v>
      </c>
      <c r="G63" s="9" t="s">
        <v>687</v>
      </c>
      <c r="L63" s="12">
        <f>$I$11*$L$11</f>
        <v>0</v>
      </c>
      <c r="M63" s="12">
        <f>$I$11*$M$11</f>
        <v>1954.0041406207815</v>
      </c>
      <c r="N63" s="12">
        <f ca="1">$I$11*$N$11</f>
        <v>0</v>
      </c>
      <c r="O63" s="12">
        <f>$I$11*$O$11</f>
        <v>0</v>
      </c>
      <c r="P63" s="12">
        <f>$I$11*$P$11</f>
        <v>0</v>
      </c>
      <c r="Q63" s="12">
        <f>$I$11*$Q$11</f>
        <v>68486.02506597749</v>
      </c>
      <c r="R63" s="12">
        <f>$I$11*$R$11</f>
        <v>12898.9888992326</v>
      </c>
      <c r="S63" s="12">
        <f>$I$11*$S$11</f>
        <v>0</v>
      </c>
      <c r="T63" s="12">
        <f>$I$11*$T$11</f>
        <v>0</v>
      </c>
      <c r="U63" s="12">
        <f>$I$11*$U$11</f>
        <v>0</v>
      </c>
      <c r="V63" s="12">
        <f>$I$11*$V$11</f>
        <v>0</v>
      </c>
      <c r="W63" s="12">
        <f>$I$11*$W$11</f>
        <v>0</v>
      </c>
      <c r="X63" s="12">
        <f>$I$11*$X$11</f>
        <v>708631.64989346231</v>
      </c>
      <c r="Y63" s="12">
        <f>$I$11*$Y$11</f>
        <v>0</v>
      </c>
      <c r="Z63" s="12">
        <f>$I$11*$Z$11</f>
        <v>0</v>
      </c>
      <c r="AA63" s="12">
        <f>$I$11*$AA$11</f>
        <v>734916.83990175487</v>
      </c>
      <c r="AB63" s="12">
        <f ca="1">$I$11*$AB$11</f>
        <v>0</v>
      </c>
      <c r="AC63" s="12">
        <f ca="1">$I$11*$AC$11</f>
        <v>0</v>
      </c>
      <c r="AD63" s="12">
        <f>$I$11*$AD$11</f>
        <v>12328.552523351591</v>
      </c>
      <c r="AE63" s="12">
        <f>$I$11*$AE$11</f>
        <v>0</v>
      </c>
      <c r="AF63" s="12">
        <f ca="1">$I$11*$AF$11</f>
        <v>0</v>
      </c>
      <c r="AG63" s="12">
        <f ca="1">$I$11*$AG$11</f>
        <v>0</v>
      </c>
      <c r="AI63" s="12">
        <f>$I$11*$AI$11</f>
        <v>0</v>
      </c>
      <c r="AJ63" s="12">
        <f>$I$11*$AJ$11</f>
        <v>2168.0373545123398</v>
      </c>
      <c r="AK63" s="12">
        <f>$I$11*$AK$11</f>
        <v>0</v>
      </c>
      <c r="AL63" s="12">
        <f>$I$11*$AL$11</f>
        <v>0</v>
      </c>
      <c r="AM63" s="12">
        <f>$I$11*$AM$11</f>
        <v>0</v>
      </c>
      <c r="AN63" s="12">
        <f>$I$11*$AN$11</f>
        <v>48662.107410324337</v>
      </c>
      <c r="AO63" s="12">
        <f>$I$11*$AO$11</f>
        <v>8681.2028739183297</v>
      </c>
      <c r="AP63" s="12">
        <f>$I$11*$AP$11</f>
        <v>0</v>
      </c>
      <c r="AQ63" s="12">
        <f>$I$11*$AQ$11</f>
        <v>0</v>
      </c>
      <c r="AR63" s="12">
        <f>$I$11*$AR$11</f>
        <v>0</v>
      </c>
      <c r="AS63" s="12">
        <f>$I$11*$AS$11</f>
        <v>0</v>
      </c>
      <c r="AT63" s="12">
        <f>$I$11*$AT$11</f>
        <v>0</v>
      </c>
      <c r="AU63" s="12">
        <f>$I$11*$AU$11</f>
        <v>601764.05685596645</v>
      </c>
      <c r="AV63" s="12">
        <f>$I$11*$AV$11</f>
        <v>0</v>
      </c>
      <c r="AW63" s="12">
        <f>$I$11*$AW$11</f>
        <v>0</v>
      </c>
      <c r="AX63" s="12">
        <f>$I$11*$AX$11</f>
        <v>688940.20175326231</v>
      </c>
      <c r="AY63" s="12">
        <f>$I$11*$AY$11</f>
        <v>0</v>
      </c>
      <c r="AZ63" s="12">
        <f>$I$11*$AZ$11</f>
        <v>0</v>
      </c>
      <c r="BA63" s="12">
        <f>$I$11*$BA$11</f>
        <v>14364.464210943646</v>
      </c>
      <c r="BB63" s="12">
        <f>$I$11*$BB$11</f>
        <v>0</v>
      </c>
      <c r="BC63" s="12">
        <f>$I$11*$BC$11</f>
        <v>0</v>
      </c>
      <c r="BD63" s="12">
        <f>$I$11*$BD$11</f>
        <v>0</v>
      </c>
    </row>
    <row r="64" spans="1:56" ht="11.25" customHeight="1" x14ac:dyDescent="0.25">
      <c r="A64" s="9" t="s">
        <v>35</v>
      </c>
      <c r="B64" s="9" t="s">
        <v>681</v>
      </c>
      <c r="C64" s="9" t="s">
        <v>682</v>
      </c>
      <c r="D64" s="9" t="s">
        <v>683</v>
      </c>
      <c r="E64" s="9" t="s">
        <v>684</v>
      </c>
      <c r="F64" s="9" t="s">
        <v>685</v>
      </c>
      <c r="G64" s="9" t="s">
        <v>688</v>
      </c>
      <c r="L64" s="12">
        <f>$I$12*$L$12</f>
        <v>0</v>
      </c>
      <c r="M64" s="12">
        <f>$I$12*$M$12</f>
        <v>30385.811696082437</v>
      </c>
      <c r="N64" s="12">
        <f ca="1">$I$12*$N$12</f>
        <v>0</v>
      </c>
      <c r="O64" s="12">
        <f>$I$12*$O$12</f>
        <v>0</v>
      </c>
      <c r="P64" s="12">
        <f>$I$12*$P$12</f>
        <v>0</v>
      </c>
      <c r="Q64" s="12">
        <f>$I$12*$Q$12</f>
        <v>1064994.3969959272</v>
      </c>
      <c r="R64" s="12">
        <f>$I$12*$R$12</f>
        <v>200586.19099825411</v>
      </c>
      <c r="S64" s="12">
        <f>$I$12*$S$12</f>
        <v>0</v>
      </c>
      <c r="T64" s="12">
        <f>$I$12*$T$12</f>
        <v>0</v>
      </c>
      <c r="U64" s="12">
        <f>$I$12*$U$12</f>
        <v>0</v>
      </c>
      <c r="V64" s="12">
        <f>$I$12*$V$12</f>
        <v>0</v>
      </c>
      <c r="W64" s="12">
        <f>$I$12*$W$12</f>
        <v>0</v>
      </c>
      <c r="X64" s="12">
        <f>$I$12*$X$12</f>
        <v>0</v>
      </c>
      <c r="Y64" s="12">
        <f>$I$12*$Y$12</f>
        <v>0</v>
      </c>
      <c r="Z64" s="12">
        <f>$I$12*$Z$12</f>
        <v>0</v>
      </c>
      <c r="AA64" s="12">
        <f>$I$12*$AA$12</f>
        <v>0</v>
      </c>
      <c r="AB64" s="12">
        <f ca="1">$I$12*$AB$12</f>
        <v>0</v>
      </c>
      <c r="AC64" s="12">
        <f ca="1">$I$12*$AC$12</f>
        <v>0</v>
      </c>
      <c r="AD64" s="12">
        <f>$I$12*$AD$12</f>
        <v>191715.59961014715</v>
      </c>
      <c r="AE64" s="12">
        <f>$I$12*$AE$12</f>
        <v>0</v>
      </c>
      <c r="AF64" s="12">
        <f ca="1">$I$12*$AF$12</f>
        <v>0</v>
      </c>
      <c r="AG64" s="12">
        <f ca="1">$I$12*$AG$12</f>
        <v>0</v>
      </c>
      <c r="AI64" s="12">
        <f>$I$12*$AI$12</f>
        <v>0</v>
      </c>
      <c r="AJ64" s="12">
        <f>$I$12*$AJ$12</f>
        <v>33714.142889868985</v>
      </c>
      <c r="AK64" s="12">
        <f>$I$12*$AK$12</f>
        <v>0</v>
      </c>
      <c r="AL64" s="12">
        <f>$I$12*$AL$12</f>
        <v>0</v>
      </c>
      <c r="AM64" s="12">
        <f>$I$12*$AM$12</f>
        <v>0</v>
      </c>
      <c r="AN64" s="12">
        <f>$I$12*$AN$12</f>
        <v>756721.85220390279</v>
      </c>
      <c r="AO64" s="12">
        <f>$I$12*$AO$12</f>
        <v>134997.35765072034</v>
      </c>
      <c r="AP64" s="12">
        <f>$I$12*$AP$12</f>
        <v>0</v>
      </c>
      <c r="AQ64" s="12">
        <f>$I$12*$AQ$12</f>
        <v>0</v>
      </c>
      <c r="AR64" s="12">
        <f>$I$12*$AR$12</f>
        <v>0</v>
      </c>
      <c r="AS64" s="12">
        <f>$I$12*$AS$12</f>
        <v>0</v>
      </c>
      <c r="AT64" s="12">
        <f>$I$12*$AT$12</f>
        <v>0</v>
      </c>
      <c r="AU64" s="12">
        <f>$I$12*$AU$12</f>
        <v>0</v>
      </c>
      <c r="AV64" s="12">
        <f>$I$12*$AV$12</f>
        <v>0</v>
      </c>
      <c r="AW64" s="12">
        <f>$I$12*$AW$12</f>
        <v>0</v>
      </c>
      <c r="AX64" s="12">
        <f>$I$12*$AX$12</f>
        <v>0</v>
      </c>
      <c r="AY64" s="12">
        <f>$I$12*$AY$12</f>
        <v>0</v>
      </c>
      <c r="AZ64" s="12">
        <f>$I$12*$AZ$12</f>
        <v>0</v>
      </c>
      <c r="BA64" s="12">
        <f>$I$12*$BA$12</f>
        <v>223375.11756253592</v>
      </c>
      <c r="BB64" s="12">
        <f>$I$12*$BB$12</f>
        <v>0</v>
      </c>
      <c r="BC64" s="12">
        <f>$I$12*$BC$12</f>
        <v>0</v>
      </c>
      <c r="BD64" s="12">
        <f>$I$12*$BD$12</f>
        <v>0</v>
      </c>
    </row>
    <row r="65" spans="1:56" ht="11.25" customHeight="1" x14ac:dyDescent="0.25">
      <c r="A65" s="9" t="s">
        <v>35</v>
      </c>
      <c r="B65" s="9" t="s">
        <v>681</v>
      </c>
      <c r="C65" s="9" t="s">
        <v>682</v>
      </c>
      <c r="D65" s="9" t="s">
        <v>683</v>
      </c>
      <c r="E65" s="9" t="s">
        <v>689</v>
      </c>
      <c r="F65" s="9" t="s">
        <v>690</v>
      </c>
      <c r="G65" s="9" t="s">
        <v>691</v>
      </c>
      <c r="L65" s="12">
        <f>$I$13*$L$13</f>
        <v>0</v>
      </c>
      <c r="M65" s="12">
        <f>$I$13*$M$13</f>
        <v>0</v>
      </c>
      <c r="N65" s="12">
        <f ca="1">$I$13*$N$13</f>
        <v>0</v>
      </c>
      <c r="O65" s="12">
        <f>$I$13*$O$13</f>
        <v>0</v>
      </c>
      <c r="P65" s="12">
        <f>$I$13*$P$13</f>
        <v>0</v>
      </c>
      <c r="Q65" s="12">
        <f>$I$13*$Q$13</f>
        <v>0</v>
      </c>
      <c r="R65" s="12">
        <f>$I$13*$R$13</f>
        <v>0</v>
      </c>
      <c r="S65" s="12">
        <f>$I$13*$S$13</f>
        <v>0</v>
      </c>
      <c r="T65" s="12">
        <f>$I$13*$T$13</f>
        <v>0</v>
      </c>
      <c r="U65" s="12">
        <f>$I$13*$U$13</f>
        <v>0</v>
      </c>
      <c r="V65" s="12">
        <f>$I$13*$V$13</f>
        <v>0</v>
      </c>
      <c r="W65" s="12">
        <f>$I$13*$W$13</f>
        <v>0</v>
      </c>
      <c r="X65" s="12">
        <f>$I$13*$X$13</f>
        <v>0</v>
      </c>
      <c r="Y65" s="12">
        <f>$I$13*$Y$13</f>
        <v>0</v>
      </c>
      <c r="Z65" s="12">
        <f>$I$13*$Z$13</f>
        <v>0</v>
      </c>
      <c r="AA65" s="12">
        <f>$I$13*$AA$13</f>
        <v>0</v>
      </c>
      <c r="AB65" s="12">
        <f ca="1">$I$13*$AB$13</f>
        <v>0</v>
      </c>
      <c r="AC65" s="12">
        <f ca="1">$I$13*$AC$13</f>
        <v>0</v>
      </c>
      <c r="AD65" s="12">
        <f>$I$13*$AD$13</f>
        <v>0</v>
      </c>
      <c r="AE65" s="12">
        <f>$I$13*$AE$13</f>
        <v>0</v>
      </c>
      <c r="AF65" s="12">
        <f ca="1">$I$13*$AF$13</f>
        <v>0</v>
      </c>
      <c r="AG65" s="12">
        <f ca="1">$I$13*$AG$13</f>
        <v>0</v>
      </c>
      <c r="AI65" s="12">
        <f>$I$13*$AI$13</f>
        <v>0</v>
      </c>
      <c r="AJ65" s="12">
        <f>$I$13*$AJ$13</f>
        <v>0</v>
      </c>
      <c r="AK65" s="12">
        <f>$I$13*$AK$13</f>
        <v>0</v>
      </c>
      <c r="AL65" s="12">
        <f>$I$13*$AL$13</f>
        <v>0</v>
      </c>
      <c r="AM65" s="12">
        <f>$I$13*$AM$13</f>
        <v>0</v>
      </c>
      <c r="AN65" s="12">
        <f>$I$13*$AN$13</f>
        <v>0</v>
      </c>
      <c r="AO65" s="12">
        <f>$I$13*$AO$13</f>
        <v>0</v>
      </c>
      <c r="AP65" s="12">
        <f>$I$13*$AP$13</f>
        <v>0</v>
      </c>
      <c r="AQ65" s="12">
        <f>$I$13*$AQ$13</f>
        <v>0</v>
      </c>
      <c r="AR65" s="12">
        <f>$I$13*$AR$13</f>
        <v>0</v>
      </c>
      <c r="AS65" s="12">
        <f>$I$13*$AS$13</f>
        <v>0</v>
      </c>
      <c r="AT65" s="12">
        <f>$I$13*$AT$13</f>
        <v>0</v>
      </c>
      <c r="AU65" s="12">
        <f>$I$13*$AU$13</f>
        <v>0</v>
      </c>
      <c r="AV65" s="12">
        <f>$I$13*$AV$13</f>
        <v>0</v>
      </c>
      <c r="AW65" s="12">
        <f>$I$13*$AW$13</f>
        <v>0</v>
      </c>
      <c r="AX65" s="12">
        <f>$I$13*$AX$13</f>
        <v>0</v>
      </c>
      <c r="AY65" s="12">
        <f>$I$13*$AY$13</f>
        <v>0</v>
      </c>
      <c r="AZ65" s="12">
        <f>$I$13*$AZ$13</f>
        <v>0</v>
      </c>
      <c r="BA65" s="12">
        <f>$I$13*$BA$13</f>
        <v>0</v>
      </c>
      <c r="BB65" s="12">
        <f>$I$13*$BB$13</f>
        <v>0</v>
      </c>
      <c r="BC65" s="12">
        <f>$I$13*$BC$13</f>
        <v>0</v>
      </c>
      <c r="BD65" s="12">
        <f>$I$13*$BD$13</f>
        <v>0</v>
      </c>
    </row>
    <row r="66" spans="1:56" ht="11.25" customHeight="1" x14ac:dyDescent="0.25">
      <c r="A66" s="9" t="s">
        <v>35</v>
      </c>
      <c r="B66" s="9" t="s">
        <v>681</v>
      </c>
      <c r="C66" s="9" t="s">
        <v>682</v>
      </c>
      <c r="D66" s="9" t="s">
        <v>683</v>
      </c>
      <c r="E66" s="9" t="s">
        <v>689</v>
      </c>
      <c r="F66" s="9" t="s">
        <v>690</v>
      </c>
      <c r="G66" s="9" t="s">
        <v>692</v>
      </c>
      <c r="L66" s="12">
        <f>$I$14*$L$14</f>
        <v>0</v>
      </c>
      <c r="M66" s="12">
        <f>$I$14*$M$14</f>
        <v>0</v>
      </c>
      <c r="N66" s="12">
        <f ca="1">$I$14*$N$14</f>
        <v>0</v>
      </c>
      <c r="O66" s="12">
        <f>$I$14*$O$14</f>
        <v>0</v>
      </c>
      <c r="P66" s="12">
        <f>$I$14*$P$14</f>
        <v>0</v>
      </c>
      <c r="Q66" s="12">
        <f>$I$14*$Q$14</f>
        <v>0</v>
      </c>
      <c r="R66" s="12">
        <f>$I$14*$R$14</f>
        <v>0</v>
      </c>
      <c r="S66" s="12">
        <f>$I$14*$S$14</f>
        <v>0</v>
      </c>
      <c r="T66" s="12">
        <f>$I$14*$T$14</f>
        <v>0</v>
      </c>
      <c r="U66" s="12">
        <f>$I$14*$U$14</f>
        <v>0</v>
      </c>
      <c r="V66" s="12">
        <f>$I$14*$V$14</f>
        <v>0</v>
      </c>
      <c r="W66" s="12">
        <f>$I$14*$W$14</f>
        <v>0</v>
      </c>
      <c r="X66" s="12">
        <f>$I$14*$X$14</f>
        <v>0</v>
      </c>
      <c r="Y66" s="12">
        <f>$I$14*$Y$14</f>
        <v>0</v>
      </c>
      <c r="Z66" s="12">
        <f>$I$14*$Z$14</f>
        <v>0</v>
      </c>
      <c r="AA66" s="12">
        <f>$I$14*$AA$14</f>
        <v>0</v>
      </c>
      <c r="AB66" s="12">
        <f ca="1">$I$14*$AB$14</f>
        <v>0</v>
      </c>
      <c r="AC66" s="12">
        <f ca="1">$I$14*$AC$14</f>
        <v>0</v>
      </c>
      <c r="AD66" s="12">
        <f>$I$14*$AD$14</f>
        <v>0</v>
      </c>
      <c r="AE66" s="12">
        <f>$I$14*$AE$14</f>
        <v>0</v>
      </c>
      <c r="AF66" s="12">
        <f ca="1">$I$14*$AF$14</f>
        <v>0</v>
      </c>
      <c r="AG66" s="12">
        <f ca="1">$I$14*$AG$14</f>
        <v>0</v>
      </c>
      <c r="AI66" s="12">
        <f>$I$14*$AI$14</f>
        <v>0</v>
      </c>
      <c r="AJ66" s="12">
        <f>$I$14*$AJ$14</f>
        <v>0</v>
      </c>
      <c r="AK66" s="12">
        <f>$I$14*$AK$14</f>
        <v>0</v>
      </c>
      <c r="AL66" s="12">
        <f>$I$14*$AL$14</f>
        <v>0</v>
      </c>
      <c r="AM66" s="12">
        <f>$I$14*$AM$14</f>
        <v>0</v>
      </c>
      <c r="AN66" s="12">
        <f>$I$14*$AN$14</f>
        <v>0</v>
      </c>
      <c r="AO66" s="12">
        <f>$I$14*$AO$14</f>
        <v>0</v>
      </c>
      <c r="AP66" s="12">
        <f>$I$14*$AP$14</f>
        <v>0</v>
      </c>
      <c r="AQ66" s="12">
        <f>$I$14*$AQ$14</f>
        <v>0</v>
      </c>
      <c r="AR66" s="12">
        <f>$I$14*$AR$14</f>
        <v>0</v>
      </c>
      <c r="AS66" s="12">
        <f>$I$14*$AS$14</f>
        <v>0</v>
      </c>
      <c r="AT66" s="12">
        <f>$I$14*$AT$14</f>
        <v>0</v>
      </c>
      <c r="AU66" s="12">
        <f>$I$14*$AU$14</f>
        <v>0</v>
      </c>
      <c r="AV66" s="12">
        <f>$I$14*$AV$14</f>
        <v>0</v>
      </c>
      <c r="AW66" s="12">
        <f>$I$14*$AW$14</f>
        <v>0</v>
      </c>
      <c r="AX66" s="12">
        <f>$I$14*$AX$14</f>
        <v>0</v>
      </c>
      <c r="AY66" s="12">
        <f>$I$14*$AY$14</f>
        <v>0</v>
      </c>
      <c r="AZ66" s="12">
        <f>$I$14*$AZ$14</f>
        <v>0</v>
      </c>
      <c r="BA66" s="12">
        <f>$I$14*$BA$14</f>
        <v>0</v>
      </c>
      <c r="BB66" s="12">
        <f>$I$14*$BB$14</f>
        <v>0</v>
      </c>
      <c r="BC66" s="12">
        <f>$I$14*$BC$14</f>
        <v>0</v>
      </c>
      <c r="BD66" s="12">
        <f>$I$14*$BD$14</f>
        <v>0</v>
      </c>
    </row>
    <row r="67" spans="1:56" ht="11.25" customHeight="1" x14ac:dyDescent="0.25">
      <c r="A67" s="9" t="s">
        <v>80</v>
      </c>
      <c r="B67" s="9" t="s">
        <v>693</v>
      </c>
      <c r="C67" s="9" t="s">
        <v>694</v>
      </c>
      <c r="D67" s="9" t="s">
        <v>695</v>
      </c>
      <c r="E67" s="9" t="s">
        <v>696</v>
      </c>
      <c r="F67" s="9" t="s">
        <v>697</v>
      </c>
      <c r="G67" s="9" t="s">
        <v>698</v>
      </c>
      <c r="L67" s="12">
        <f>$I$15*$L$15</f>
        <v>0</v>
      </c>
      <c r="M67" s="12">
        <f>$I$15*$M$15</f>
        <v>1.2255746382789734E-10</v>
      </c>
      <c r="N67" s="12">
        <f ca="1">$I$15*$N$15</f>
        <v>0</v>
      </c>
      <c r="O67" s="12">
        <f>$I$15*$O$15</f>
        <v>0</v>
      </c>
      <c r="P67" s="12">
        <f>$I$15*$P$15</f>
        <v>0</v>
      </c>
      <c r="Q67" s="12">
        <f>$I$15*$Q$15</f>
        <v>0</v>
      </c>
      <c r="R67" s="12">
        <f>$I$15*$R$15</f>
        <v>0</v>
      </c>
      <c r="S67" s="12">
        <f>$I$15*$S$15</f>
        <v>0</v>
      </c>
      <c r="T67" s="12">
        <f>$I$15*$T$15</f>
        <v>0</v>
      </c>
      <c r="U67" s="12">
        <f>$I$15*$U$15</f>
        <v>0</v>
      </c>
      <c r="V67" s="12">
        <f>$I$15*$V$15</f>
        <v>0</v>
      </c>
      <c r="W67" s="12">
        <f>$I$15*$W$15</f>
        <v>0</v>
      </c>
      <c r="X67" s="12">
        <f>$I$15*$X$15</f>
        <v>0</v>
      </c>
      <c r="Y67" s="12">
        <f>$I$15*$Y$15</f>
        <v>0</v>
      </c>
      <c r="Z67" s="12">
        <f>$I$15*$Z$15</f>
        <v>0</v>
      </c>
      <c r="AA67" s="12">
        <f>$I$15*$AA$15</f>
        <v>4.5334551068551132E-8</v>
      </c>
      <c r="AB67" s="12">
        <f ca="1">$I$15*$AB$15</f>
        <v>0</v>
      </c>
      <c r="AC67" s="12">
        <f ca="1">$I$15*$AC$15</f>
        <v>0</v>
      </c>
      <c r="AD67" s="12">
        <f>$I$15*$AD$15</f>
        <v>0</v>
      </c>
      <c r="AE67" s="12">
        <f>$I$15*$AE$15</f>
        <v>0</v>
      </c>
      <c r="AF67" s="12">
        <f ca="1">$I$15*$AF$15</f>
        <v>0</v>
      </c>
      <c r="AG67" s="12">
        <f ca="1">$I$15*$AG$15</f>
        <v>0</v>
      </c>
      <c r="AI67" s="12">
        <f>$I$15*$AI$15</f>
        <v>0</v>
      </c>
      <c r="AJ67" s="12">
        <f>$I$15*$AJ$15</f>
        <v>1.3098995526397201E-10</v>
      </c>
      <c r="AK67" s="12">
        <f>$I$15*$AK$15</f>
        <v>0</v>
      </c>
      <c r="AL67" s="12">
        <f>$I$15*$AL$15</f>
        <v>0</v>
      </c>
      <c r="AM67" s="12">
        <f>$I$15*$AM$15</f>
        <v>0</v>
      </c>
      <c r="AN67" s="12">
        <f>$I$15*$AN$15</f>
        <v>0</v>
      </c>
      <c r="AO67" s="12">
        <f>$I$15*$AO$15</f>
        <v>0</v>
      </c>
      <c r="AP67" s="12">
        <f>$I$15*$AP$15</f>
        <v>0</v>
      </c>
      <c r="AQ67" s="12">
        <f>$I$15*$AQ$15</f>
        <v>0</v>
      </c>
      <c r="AR67" s="12">
        <f>$I$15*$AR$15</f>
        <v>0</v>
      </c>
      <c r="AS67" s="12">
        <f>$I$15*$AS$15</f>
        <v>0</v>
      </c>
      <c r="AT67" s="12">
        <f>$I$15*$AT$15</f>
        <v>0</v>
      </c>
      <c r="AU67" s="12">
        <f>$I$15*$AU$15</f>
        <v>0</v>
      </c>
      <c r="AV67" s="12">
        <f>$I$15*$AV$15</f>
        <v>0</v>
      </c>
      <c r="AW67" s="12">
        <f>$I$15*$AW$15</f>
        <v>0</v>
      </c>
      <c r="AX67" s="12">
        <f>$I$15*$AX$15</f>
        <v>4.24983710149495E-8</v>
      </c>
      <c r="AY67" s="12">
        <f>$I$15*$AY$15</f>
        <v>0</v>
      </c>
      <c r="AZ67" s="12">
        <f>$I$15*$AZ$15</f>
        <v>0</v>
      </c>
      <c r="BA67" s="12">
        <f>$I$15*$BA$15</f>
        <v>0</v>
      </c>
      <c r="BB67" s="12">
        <f>$I$15*$BB$15</f>
        <v>0</v>
      </c>
      <c r="BC67" s="12">
        <f>$I$15*$BC$15</f>
        <v>0</v>
      </c>
      <c r="BD67" s="12">
        <f>$I$15*$BD$15</f>
        <v>0</v>
      </c>
    </row>
    <row r="68" spans="1:56" ht="11.25" customHeight="1" x14ac:dyDescent="0.25">
      <c r="A68" s="9" t="s">
        <v>80</v>
      </c>
      <c r="B68" s="9" t="s">
        <v>693</v>
      </c>
      <c r="C68" s="9" t="s">
        <v>694</v>
      </c>
      <c r="D68" s="9" t="s">
        <v>695</v>
      </c>
      <c r="E68" s="9" t="s">
        <v>699</v>
      </c>
      <c r="F68" s="9" t="s">
        <v>700</v>
      </c>
      <c r="G68" s="9" t="s">
        <v>701</v>
      </c>
      <c r="L68" s="12">
        <f>$I$16*$L$16</f>
        <v>0</v>
      </c>
      <c r="M68" s="12">
        <f>$I$16*$M$16</f>
        <v>1.2255746382789734E-10</v>
      </c>
      <c r="N68" s="12">
        <f ca="1">$I$16*$N$16</f>
        <v>0</v>
      </c>
      <c r="O68" s="12">
        <f>$I$16*$O$16</f>
        <v>0</v>
      </c>
      <c r="P68" s="12">
        <f>$I$16*$P$16</f>
        <v>0</v>
      </c>
      <c r="Q68" s="12">
        <f>$I$16*$Q$16</f>
        <v>0</v>
      </c>
      <c r="R68" s="12">
        <f>$I$16*$R$16</f>
        <v>0</v>
      </c>
      <c r="S68" s="12">
        <f>$I$16*$S$16</f>
        <v>0</v>
      </c>
      <c r="T68" s="12">
        <f>$I$16*$T$16</f>
        <v>0</v>
      </c>
      <c r="U68" s="12">
        <f>$I$16*$U$16</f>
        <v>0</v>
      </c>
      <c r="V68" s="12">
        <f>$I$16*$V$16</f>
        <v>0</v>
      </c>
      <c r="W68" s="12">
        <f>$I$16*$W$16</f>
        <v>0</v>
      </c>
      <c r="X68" s="12">
        <f>$I$16*$X$16</f>
        <v>0</v>
      </c>
      <c r="Y68" s="12">
        <f>$I$16*$Y$16</f>
        <v>0</v>
      </c>
      <c r="Z68" s="12">
        <f>$I$16*$Z$16</f>
        <v>0</v>
      </c>
      <c r="AA68" s="12">
        <f>$I$16*$AA$16</f>
        <v>1.1790470101814805E-7</v>
      </c>
      <c r="AB68" s="12">
        <f ca="1">$I$16*$AB$16</f>
        <v>0</v>
      </c>
      <c r="AC68" s="12">
        <f ca="1">$I$16*$AC$16</f>
        <v>0</v>
      </c>
      <c r="AD68" s="12">
        <f>$I$16*$AD$16</f>
        <v>0</v>
      </c>
      <c r="AE68" s="12">
        <f>$I$16*$AE$16</f>
        <v>0</v>
      </c>
      <c r="AF68" s="12">
        <f ca="1">$I$16*$AF$16</f>
        <v>0</v>
      </c>
      <c r="AG68" s="12">
        <f ca="1">$I$16*$AG$16</f>
        <v>0</v>
      </c>
      <c r="AI68" s="12">
        <f>$I$16*$AI$16</f>
        <v>0</v>
      </c>
      <c r="AJ68" s="12">
        <f>$I$16*$AJ$16</f>
        <v>1.3098995526397201E-10</v>
      </c>
      <c r="AK68" s="12">
        <f>$I$16*$AK$16</f>
        <v>0</v>
      </c>
      <c r="AL68" s="12">
        <f>$I$16*$AL$16</f>
        <v>0</v>
      </c>
      <c r="AM68" s="12">
        <f>$I$16*$AM$16</f>
        <v>0</v>
      </c>
      <c r="AN68" s="12">
        <f>$I$16*$AN$16</f>
        <v>0</v>
      </c>
      <c r="AO68" s="12">
        <f>$I$16*$AO$16</f>
        <v>0</v>
      </c>
      <c r="AP68" s="12">
        <f>$I$16*$AP$16</f>
        <v>0</v>
      </c>
      <c r="AQ68" s="12">
        <f>$I$16*$AQ$16</f>
        <v>0</v>
      </c>
      <c r="AR68" s="12">
        <f>$I$16*$AR$16</f>
        <v>0</v>
      </c>
      <c r="AS68" s="12">
        <f>$I$16*$AS$16</f>
        <v>0</v>
      </c>
      <c r="AT68" s="12">
        <f>$I$16*$AT$16</f>
        <v>0</v>
      </c>
      <c r="AU68" s="12">
        <f>$I$16*$AU$16</f>
        <v>0</v>
      </c>
      <c r="AV68" s="12">
        <f>$I$16*$AV$16</f>
        <v>0</v>
      </c>
      <c r="AW68" s="12">
        <f>$I$16*$AW$16</f>
        <v>0</v>
      </c>
      <c r="AX68" s="12">
        <f>$I$16*$AX$16</f>
        <v>1.10528634476199E-7</v>
      </c>
      <c r="AY68" s="12">
        <f>$I$16*$AY$16</f>
        <v>0</v>
      </c>
      <c r="AZ68" s="12">
        <f>$I$16*$AZ$16</f>
        <v>0</v>
      </c>
      <c r="BA68" s="12">
        <f>$I$16*$BA$16</f>
        <v>0</v>
      </c>
      <c r="BB68" s="12">
        <f>$I$16*$BB$16</f>
        <v>0</v>
      </c>
      <c r="BC68" s="12">
        <f>$I$16*$BC$16</f>
        <v>0</v>
      </c>
      <c r="BD68" s="12">
        <f>$I$16*$BD$16</f>
        <v>0</v>
      </c>
    </row>
    <row r="69" spans="1:56" ht="11.25" customHeight="1" x14ac:dyDescent="0.25">
      <c r="A69" s="9" t="s">
        <v>22</v>
      </c>
      <c r="B69" s="9" t="s">
        <v>702</v>
      </c>
      <c r="C69" s="9" t="s">
        <v>703</v>
      </c>
      <c r="D69" s="9" t="s">
        <v>704</v>
      </c>
      <c r="E69" s="9" t="s">
        <v>705</v>
      </c>
      <c r="F69" s="9" t="s">
        <v>706</v>
      </c>
      <c r="G69" s="9" t="s">
        <v>707</v>
      </c>
      <c r="L69" s="12">
        <f>$I$17*$L$17</f>
        <v>0</v>
      </c>
      <c r="M69" s="12">
        <f>$I$17*$M$17</f>
        <v>0</v>
      </c>
      <c r="N69" s="12">
        <f ca="1">$I$17*$N$17</f>
        <v>0</v>
      </c>
      <c r="O69" s="12">
        <f>$I$17*$O$17</f>
        <v>0</v>
      </c>
      <c r="P69" s="12">
        <f>$I$17*$P$17</f>
        <v>0</v>
      </c>
      <c r="Q69" s="12">
        <f>$I$17*$Q$17</f>
        <v>0</v>
      </c>
      <c r="R69" s="12">
        <f>$I$17*$R$17</f>
        <v>0</v>
      </c>
      <c r="S69" s="12">
        <f>$I$17*$S$17</f>
        <v>0</v>
      </c>
      <c r="T69" s="12">
        <f>$I$17*$T$17</f>
        <v>0</v>
      </c>
      <c r="U69" s="12">
        <f>$I$17*$U$17</f>
        <v>0</v>
      </c>
      <c r="V69" s="12">
        <f>$I$17*$V$17</f>
        <v>0</v>
      </c>
      <c r="W69" s="12">
        <f>$I$17*$W$17</f>
        <v>0</v>
      </c>
      <c r="X69" s="12">
        <f>$I$17*$X$17</f>
        <v>0</v>
      </c>
      <c r="Y69" s="12">
        <f>$I$17*$Y$17</f>
        <v>0</v>
      </c>
      <c r="Z69" s="12">
        <f>$I$17*$Z$17</f>
        <v>0</v>
      </c>
      <c r="AA69" s="12">
        <f>$I$17*$AA$17</f>
        <v>0</v>
      </c>
      <c r="AB69" s="12">
        <f ca="1">$I$17*$AB$17</f>
        <v>0</v>
      </c>
      <c r="AC69" s="12">
        <f ca="1">$I$17*$AC$17</f>
        <v>0</v>
      </c>
      <c r="AD69" s="12">
        <f>$I$17*$AD$17</f>
        <v>0</v>
      </c>
      <c r="AE69" s="12">
        <f>$I$17*$AE$17</f>
        <v>0</v>
      </c>
      <c r="AF69" s="12">
        <f ca="1">$I$17*$AF$17</f>
        <v>0</v>
      </c>
      <c r="AG69" s="12">
        <f ca="1">$I$17*$AG$17</f>
        <v>0</v>
      </c>
      <c r="AI69" s="12">
        <f>$I$17*$AI$17</f>
        <v>0</v>
      </c>
      <c r="AJ69" s="12">
        <f>$I$17*$AJ$17</f>
        <v>0</v>
      </c>
      <c r="AK69" s="12">
        <f>$I$17*$AK$17</f>
        <v>0</v>
      </c>
      <c r="AL69" s="12">
        <f>$I$17*$AL$17</f>
        <v>0</v>
      </c>
      <c r="AM69" s="12">
        <f>$I$17*$AM$17</f>
        <v>0</v>
      </c>
      <c r="AN69" s="12">
        <f>$I$17*$AN$17</f>
        <v>0</v>
      </c>
      <c r="AO69" s="12">
        <f>$I$17*$AO$17</f>
        <v>0</v>
      </c>
      <c r="AP69" s="12">
        <f>$I$17*$AP$17</f>
        <v>0</v>
      </c>
      <c r="AQ69" s="12">
        <f>$I$17*$AQ$17</f>
        <v>0</v>
      </c>
      <c r="AR69" s="12">
        <f>$I$17*$AR$17</f>
        <v>0</v>
      </c>
      <c r="AS69" s="12">
        <f>$I$17*$AS$17</f>
        <v>0</v>
      </c>
      <c r="AT69" s="12">
        <f>$I$17*$AT$17</f>
        <v>0</v>
      </c>
      <c r="AU69" s="12">
        <f>$I$17*$AU$17</f>
        <v>0</v>
      </c>
      <c r="AV69" s="12">
        <f>$I$17*$AV$17</f>
        <v>0</v>
      </c>
      <c r="AW69" s="12">
        <f>$I$17*$AW$17</f>
        <v>0</v>
      </c>
      <c r="AX69" s="12">
        <f>$I$17*$AX$17</f>
        <v>0</v>
      </c>
      <c r="AY69" s="12">
        <f>$I$17*$AY$17</f>
        <v>0</v>
      </c>
      <c r="AZ69" s="12">
        <f>$I$17*$AZ$17</f>
        <v>0</v>
      </c>
      <c r="BA69" s="12">
        <f>$I$17*$BA$17</f>
        <v>0</v>
      </c>
      <c r="BB69" s="12">
        <f>$I$17*$BB$17</f>
        <v>0</v>
      </c>
      <c r="BC69" s="12">
        <f>$I$17*$BC$17</f>
        <v>0</v>
      </c>
      <c r="BD69" s="12">
        <f>$I$17*$BD$17</f>
        <v>0</v>
      </c>
    </row>
    <row r="70" spans="1:56" ht="11.25" customHeight="1" x14ac:dyDescent="0.25">
      <c r="A70" s="9" t="s">
        <v>22</v>
      </c>
      <c r="B70" s="9" t="s">
        <v>702</v>
      </c>
      <c r="C70" s="9" t="s">
        <v>703</v>
      </c>
      <c r="D70" s="9" t="s">
        <v>704</v>
      </c>
      <c r="E70" s="9" t="s">
        <v>705</v>
      </c>
      <c r="F70" s="9" t="s">
        <v>706</v>
      </c>
      <c r="G70" s="9" t="s">
        <v>708</v>
      </c>
      <c r="L70" s="12">
        <f>$I$18*$L$18</f>
        <v>0</v>
      </c>
      <c r="M70" s="12">
        <f>$I$18*$M$18</f>
        <v>0</v>
      </c>
      <c r="N70" s="12">
        <f ca="1">$I$18*$N$18</f>
        <v>0</v>
      </c>
      <c r="O70" s="12">
        <f>$I$18*$O$18</f>
        <v>0</v>
      </c>
      <c r="P70" s="12">
        <f>$I$18*$P$18</f>
        <v>0</v>
      </c>
      <c r="Q70" s="12">
        <f>$I$18*$Q$18</f>
        <v>0</v>
      </c>
      <c r="R70" s="12">
        <f>$I$18*$R$18</f>
        <v>0</v>
      </c>
      <c r="S70" s="12">
        <f>$I$18*$S$18</f>
        <v>0</v>
      </c>
      <c r="T70" s="12">
        <f>$I$18*$T$18</f>
        <v>0</v>
      </c>
      <c r="U70" s="12">
        <f>$I$18*$U$18</f>
        <v>0</v>
      </c>
      <c r="V70" s="12">
        <f>$I$18*$V$18</f>
        <v>0</v>
      </c>
      <c r="W70" s="12">
        <f>$I$18*$W$18</f>
        <v>0</v>
      </c>
      <c r="X70" s="12">
        <f>$I$18*$X$18</f>
        <v>0</v>
      </c>
      <c r="Y70" s="12">
        <f>$I$18*$Y$18</f>
        <v>0</v>
      </c>
      <c r="Z70" s="12">
        <f>$I$18*$Z$18</f>
        <v>0</v>
      </c>
      <c r="AA70" s="12">
        <f>$I$18*$AA$18</f>
        <v>0</v>
      </c>
      <c r="AB70" s="12">
        <f ca="1">$I$18*$AB$18</f>
        <v>0</v>
      </c>
      <c r="AC70" s="12">
        <f ca="1">$I$18*$AC$18</f>
        <v>0</v>
      </c>
      <c r="AD70" s="12">
        <f>$I$18*$AD$18</f>
        <v>0</v>
      </c>
      <c r="AE70" s="12">
        <f>$I$18*$AE$18</f>
        <v>0</v>
      </c>
      <c r="AF70" s="12">
        <f ca="1">$I$18*$AF$18</f>
        <v>0</v>
      </c>
      <c r="AG70" s="12">
        <f ca="1">$I$18*$AG$18</f>
        <v>0</v>
      </c>
      <c r="AI70" s="12">
        <f>$I$18*$AI$18</f>
        <v>0</v>
      </c>
      <c r="AJ70" s="12">
        <f>$I$18*$AJ$18</f>
        <v>0</v>
      </c>
      <c r="AK70" s="12">
        <f>$I$18*$AK$18</f>
        <v>0</v>
      </c>
      <c r="AL70" s="12">
        <f>$I$18*$AL$18</f>
        <v>0</v>
      </c>
      <c r="AM70" s="12">
        <f>$I$18*$AM$18</f>
        <v>0</v>
      </c>
      <c r="AN70" s="12">
        <f>$I$18*$AN$18</f>
        <v>0</v>
      </c>
      <c r="AO70" s="12">
        <f>$I$18*$AO$18</f>
        <v>0</v>
      </c>
      <c r="AP70" s="12">
        <f>$I$18*$AP$18</f>
        <v>0</v>
      </c>
      <c r="AQ70" s="12">
        <f>$I$18*$AQ$18</f>
        <v>0</v>
      </c>
      <c r="AR70" s="12">
        <f>$I$18*$AR$18</f>
        <v>0</v>
      </c>
      <c r="AS70" s="12">
        <f>$I$18*$AS$18</f>
        <v>0</v>
      </c>
      <c r="AT70" s="12">
        <f>$I$18*$AT$18</f>
        <v>0</v>
      </c>
      <c r="AU70" s="12">
        <f>$I$18*$AU$18</f>
        <v>0</v>
      </c>
      <c r="AV70" s="12">
        <f>$I$18*$AV$18</f>
        <v>0</v>
      </c>
      <c r="AW70" s="12">
        <f>$I$18*$AW$18</f>
        <v>0</v>
      </c>
      <c r="AX70" s="12">
        <f>$I$18*$AX$18</f>
        <v>0</v>
      </c>
      <c r="AY70" s="12">
        <f>$I$18*$AY$18</f>
        <v>0</v>
      </c>
      <c r="AZ70" s="12">
        <f>$I$18*$AZ$18</f>
        <v>0</v>
      </c>
      <c r="BA70" s="12">
        <f>$I$18*$BA$18</f>
        <v>0</v>
      </c>
      <c r="BB70" s="12">
        <f>$I$18*$BB$18</f>
        <v>0</v>
      </c>
      <c r="BC70" s="12">
        <f>$I$18*$BC$18</f>
        <v>0</v>
      </c>
      <c r="BD70" s="12">
        <f>$I$18*$BD$18</f>
        <v>0</v>
      </c>
    </row>
    <row r="71" spans="1:56" ht="11.25" customHeight="1" x14ac:dyDescent="0.25">
      <c r="A71" s="9" t="s">
        <v>22</v>
      </c>
      <c r="B71" s="9" t="s">
        <v>702</v>
      </c>
      <c r="C71" s="9" t="s">
        <v>703</v>
      </c>
      <c r="D71" s="9" t="s">
        <v>704</v>
      </c>
      <c r="E71" s="9" t="s">
        <v>705</v>
      </c>
      <c r="F71" s="9" t="s">
        <v>706</v>
      </c>
      <c r="G71" s="9" t="s">
        <v>709</v>
      </c>
      <c r="L71" s="12">
        <f>$I$19*$L$19</f>
        <v>0</v>
      </c>
      <c r="M71" s="12">
        <f>$I$19*$M$19</f>
        <v>0</v>
      </c>
      <c r="N71" s="12">
        <f ca="1">$I$19*$N$19</f>
        <v>0</v>
      </c>
      <c r="O71" s="12">
        <f>$I$19*$O$19</f>
        <v>0</v>
      </c>
      <c r="P71" s="12">
        <f>$I$19*$P$19</f>
        <v>0</v>
      </c>
      <c r="Q71" s="12">
        <f>$I$19*$Q$19</f>
        <v>0</v>
      </c>
      <c r="R71" s="12">
        <f>$I$19*$R$19</f>
        <v>0</v>
      </c>
      <c r="S71" s="12">
        <f>$I$19*$S$19</f>
        <v>0</v>
      </c>
      <c r="T71" s="12">
        <f>$I$19*$T$19</f>
        <v>0</v>
      </c>
      <c r="U71" s="12">
        <f>$I$19*$U$19</f>
        <v>0</v>
      </c>
      <c r="V71" s="12">
        <f>$I$19*$V$19</f>
        <v>0</v>
      </c>
      <c r="W71" s="12">
        <f>$I$19*$W$19</f>
        <v>0</v>
      </c>
      <c r="X71" s="12">
        <f>$I$19*$X$19</f>
        <v>0</v>
      </c>
      <c r="Y71" s="12">
        <f>$I$19*$Y$19</f>
        <v>0</v>
      </c>
      <c r="Z71" s="12">
        <f>$I$19*$Z$19</f>
        <v>0</v>
      </c>
      <c r="AA71" s="12">
        <f>$I$19*$AA$19</f>
        <v>0</v>
      </c>
      <c r="AB71" s="12">
        <f ca="1">$I$19*$AB$19</f>
        <v>0</v>
      </c>
      <c r="AC71" s="12">
        <f ca="1">$I$19*$AC$19</f>
        <v>0</v>
      </c>
      <c r="AD71" s="12">
        <f>$I$19*$AD$19</f>
        <v>0</v>
      </c>
      <c r="AE71" s="12">
        <f>$I$19*$AE$19</f>
        <v>0</v>
      </c>
      <c r="AF71" s="12">
        <f ca="1">$I$19*$AF$19</f>
        <v>0</v>
      </c>
      <c r="AG71" s="12">
        <f ca="1">$I$19*$AG$19</f>
        <v>0</v>
      </c>
      <c r="AI71" s="12">
        <f>$I$19*$AI$19</f>
        <v>0</v>
      </c>
      <c r="AJ71" s="12">
        <f>$I$19*$AJ$19</f>
        <v>0</v>
      </c>
      <c r="AK71" s="12">
        <f>$I$19*$AK$19</f>
        <v>0</v>
      </c>
      <c r="AL71" s="12">
        <f>$I$19*$AL$19</f>
        <v>0</v>
      </c>
      <c r="AM71" s="12">
        <f>$I$19*$AM$19</f>
        <v>0</v>
      </c>
      <c r="AN71" s="12">
        <f>$I$19*$AN$19</f>
        <v>0</v>
      </c>
      <c r="AO71" s="12">
        <f>$I$19*$AO$19</f>
        <v>0</v>
      </c>
      <c r="AP71" s="12">
        <f>$I$19*$AP$19</f>
        <v>0</v>
      </c>
      <c r="AQ71" s="12">
        <f>$I$19*$AQ$19</f>
        <v>0</v>
      </c>
      <c r="AR71" s="12">
        <f>$I$19*$AR$19</f>
        <v>0</v>
      </c>
      <c r="AS71" s="12">
        <f>$I$19*$AS$19</f>
        <v>0</v>
      </c>
      <c r="AT71" s="12">
        <f>$I$19*$AT$19</f>
        <v>0</v>
      </c>
      <c r="AU71" s="12">
        <f>$I$19*$AU$19</f>
        <v>0</v>
      </c>
      <c r="AV71" s="12">
        <f>$I$19*$AV$19</f>
        <v>0</v>
      </c>
      <c r="AW71" s="12">
        <f>$I$19*$AW$19</f>
        <v>0</v>
      </c>
      <c r="AX71" s="12">
        <f>$I$19*$AX$19</f>
        <v>0</v>
      </c>
      <c r="AY71" s="12">
        <f>$I$19*$AY$19</f>
        <v>0</v>
      </c>
      <c r="AZ71" s="12">
        <f>$I$19*$AZ$19</f>
        <v>0</v>
      </c>
      <c r="BA71" s="12">
        <f>$I$19*$BA$19</f>
        <v>0</v>
      </c>
      <c r="BB71" s="12">
        <f>$I$19*$BB$19</f>
        <v>0</v>
      </c>
      <c r="BC71" s="12">
        <f>$I$19*$BC$19</f>
        <v>0</v>
      </c>
      <c r="BD71" s="12">
        <f>$I$19*$BD$19</f>
        <v>0</v>
      </c>
    </row>
    <row r="72" spans="1:56" ht="11.25" customHeight="1" x14ac:dyDescent="0.25">
      <c r="A72" s="9" t="s">
        <v>22</v>
      </c>
      <c r="B72" s="9" t="s">
        <v>710</v>
      </c>
      <c r="C72" s="9" t="s">
        <v>711</v>
      </c>
      <c r="D72" s="9" t="s">
        <v>712</v>
      </c>
      <c r="E72" s="9" t="s">
        <v>713</v>
      </c>
      <c r="F72" s="9" t="s">
        <v>714</v>
      </c>
      <c r="G72" s="9" t="s">
        <v>715</v>
      </c>
      <c r="L72" s="12">
        <f>$I$20*$L$20</f>
        <v>0</v>
      </c>
      <c r="M72" s="12">
        <f>$I$20*$M$20</f>
        <v>32789.092211598159</v>
      </c>
      <c r="N72" s="12">
        <f ca="1">$I$20*$N$20</f>
        <v>0</v>
      </c>
      <c r="O72" s="12">
        <f>$I$20*$O$20</f>
        <v>0</v>
      </c>
      <c r="P72" s="12">
        <f>$I$20*$P$20</f>
        <v>0</v>
      </c>
      <c r="Q72" s="12">
        <f>$I$20*$Q$20</f>
        <v>1209550.2038747324</v>
      </c>
      <c r="R72" s="12">
        <f>$I$20*$R$20</f>
        <v>191362.52535847903</v>
      </c>
      <c r="S72" s="12">
        <f>$I$20*$S$20</f>
        <v>0</v>
      </c>
      <c r="T72" s="12">
        <f>$I$20*$T$20</f>
        <v>0</v>
      </c>
      <c r="U72" s="12">
        <f>$I$20*$U$20</f>
        <v>0</v>
      </c>
      <c r="V72" s="12">
        <f>$I$20*$V$20</f>
        <v>0</v>
      </c>
      <c r="W72" s="12">
        <f>$I$20*$W$20</f>
        <v>0</v>
      </c>
      <c r="X72" s="12">
        <f>$I$20*$X$20</f>
        <v>2003719.0770563707</v>
      </c>
      <c r="Y72" s="12">
        <f>$I$20*$Y$20</f>
        <v>0</v>
      </c>
      <c r="Z72" s="12">
        <f>$I$20*$Z$20</f>
        <v>0</v>
      </c>
      <c r="AA72" s="12">
        <f>$I$20*$AA$20</f>
        <v>2890868.4032423072</v>
      </c>
      <c r="AB72" s="12">
        <f ca="1">$I$20*$AB$20</f>
        <v>0</v>
      </c>
      <c r="AC72" s="12">
        <f ca="1">$I$20*$AC$20</f>
        <v>0</v>
      </c>
      <c r="AD72" s="12">
        <f>$I$20*$AD$20</f>
        <v>412624.9012685538</v>
      </c>
      <c r="AE72" s="12">
        <f>$I$20*$AE$20</f>
        <v>0</v>
      </c>
      <c r="AF72" s="12">
        <f ca="1">$I$20*$AF$20</f>
        <v>0</v>
      </c>
      <c r="AG72" s="12">
        <f ca="1">$I$20*$AG$20</f>
        <v>0</v>
      </c>
      <c r="AI72" s="12">
        <f>$I$20*$AI$20</f>
        <v>0</v>
      </c>
      <c r="AJ72" s="12">
        <f>$I$20*$AJ$20</f>
        <v>31326.86438374325</v>
      </c>
      <c r="AK72" s="12">
        <f>$I$20*$AK$20</f>
        <v>0</v>
      </c>
      <c r="AL72" s="12">
        <f>$I$20*$AL$20</f>
        <v>0</v>
      </c>
      <c r="AM72" s="12">
        <f>$I$20*$AM$20</f>
        <v>0</v>
      </c>
      <c r="AN72" s="12">
        <f>$I$20*$AN$20</f>
        <v>829798.95770479948</v>
      </c>
      <c r="AO72" s="12">
        <f>$I$20*$AO$20</f>
        <v>128789.6995710362</v>
      </c>
      <c r="AP72" s="12">
        <f>$I$20*$AP$20</f>
        <v>0</v>
      </c>
      <c r="AQ72" s="12">
        <f>$I$20*$AQ$20</f>
        <v>0</v>
      </c>
      <c r="AR72" s="12">
        <f>$I$20*$AR$20</f>
        <v>0</v>
      </c>
      <c r="AS72" s="12">
        <f>$I$20*$AS$20</f>
        <v>0</v>
      </c>
      <c r="AT72" s="12">
        <f>$I$20*$AT$20</f>
        <v>0</v>
      </c>
      <c r="AU72" s="12">
        <f>$I$20*$AU$20</f>
        <v>1702029.5898761419</v>
      </c>
      <c r="AV72" s="12">
        <f>$I$20*$AV$20</f>
        <v>0</v>
      </c>
      <c r="AW72" s="12">
        <f>$I$20*$AW$20</f>
        <v>0</v>
      </c>
      <c r="AX72" s="12">
        <f>$I$20*$AX$20</f>
        <v>2710015.8317309031</v>
      </c>
      <c r="AY72" s="12">
        <f>$I$20*$AY$20</f>
        <v>0</v>
      </c>
      <c r="AZ72" s="12">
        <f>$I$20*$AZ$20</f>
        <v>0</v>
      </c>
      <c r="BA72" s="12">
        <f>$I$20*$BA$20</f>
        <v>480765.97212827665</v>
      </c>
      <c r="BB72" s="12">
        <f>$I$20*$BB$20</f>
        <v>0</v>
      </c>
      <c r="BC72" s="12">
        <f>$I$20*$BC$20</f>
        <v>0</v>
      </c>
      <c r="BD72" s="12">
        <f>$I$20*$BD$20</f>
        <v>0</v>
      </c>
    </row>
    <row r="73" spans="1:56" ht="11.25" customHeight="1" x14ac:dyDescent="0.25">
      <c r="A73" s="9" t="s">
        <v>22</v>
      </c>
      <c r="B73" s="9" t="s">
        <v>710</v>
      </c>
      <c r="C73" s="9" t="s">
        <v>711</v>
      </c>
      <c r="D73" s="9" t="s">
        <v>716</v>
      </c>
      <c r="E73" s="9" t="s">
        <v>717</v>
      </c>
      <c r="F73" s="9" t="s">
        <v>718</v>
      </c>
      <c r="G73" s="9" t="s">
        <v>719</v>
      </c>
      <c r="L73" s="12">
        <f>$I$21*$L$21</f>
        <v>0</v>
      </c>
      <c r="M73" s="12">
        <f>$I$21*$M$21</f>
        <v>126.42955049292661</v>
      </c>
      <c r="N73" s="12">
        <f ca="1">$I$21*$N$21</f>
        <v>0</v>
      </c>
      <c r="O73" s="12">
        <f>$I$21*$O$21</f>
        <v>0</v>
      </c>
      <c r="P73" s="12">
        <f>$I$21*$P$21</f>
        <v>0</v>
      </c>
      <c r="Q73" s="12">
        <f>$I$21*$Q$21</f>
        <v>0</v>
      </c>
      <c r="R73" s="12">
        <f>$I$21*$R$21</f>
        <v>0</v>
      </c>
      <c r="S73" s="12">
        <f>$I$21*$S$21</f>
        <v>0</v>
      </c>
      <c r="T73" s="12">
        <f>$I$21*$T$21</f>
        <v>0</v>
      </c>
      <c r="U73" s="12">
        <f>$I$21*$U$21</f>
        <v>0</v>
      </c>
      <c r="V73" s="12">
        <f>$I$21*$V$21</f>
        <v>0</v>
      </c>
      <c r="W73" s="12">
        <f>$I$21*$W$21</f>
        <v>0</v>
      </c>
      <c r="X73" s="12">
        <f>$I$21*$X$21</f>
        <v>7726.0236602930727</v>
      </c>
      <c r="Y73" s="12">
        <f>$I$21*$Y$21</f>
        <v>0</v>
      </c>
      <c r="Z73" s="12">
        <f>$I$21*$Z$21</f>
        <v>0</v>
      </c>
      <c r="AA73" s="12">
        <f>$I$21*$AA$21</f>
        <v>11146.731065242722</v>
      </c>
      <c r="AB73" s="12">
        <f ca="1">$I$21*$AB$21</f>
        <v>0</v>
      </c>
      <c r="AC73" s="12">
        <f ca="1">$I$21*$AC$21</f>
        <v>0</v>
      </c>
      <c r="AD73" s="12">
        <f>$I$21*$AD$21</f>
        <v>1591.0163188695603</v>
      </c>
      <c r="AE73" s="12">
        <f>$I$21*$AE$21</f>
        <v>0</v>
      </c>
      <c r="AF73" s="12">
        <f ca="1">$I$21*$AF$21</f>
        <v>0</v>
      </c>
      <c r="AG73" s="12">
        <f ca="1">$I$21*$AG$21</f>
        <v>0</v>
      </c>
      <c r="AI73" s="12">
        <f>$I$21*$AI$21</f>
        <v>0</v>
      </c>
      <c r="AJ73" s="12">
        <f>$I$21*$AJ$21</f>
        <v>120.79143139524218</v>
      </c>
      <c r="AK73" s="12">
        <f>$I$21*$AK$21</f>
        <v>0</v>
      </c>
      <c r="AL73" s="12">
        <f>$I$21*$AL$21</f>
        <v>0</v>
      </c>
      <c r="AM73" s="12">
        <f>$I$21*$AM$21</f>
        <v>0</v>
      </c>
      <c r="AN73" s="12">
        <f>$I$21*$AN$21</f>
        <v>0</v>
      </c>
      <c r="AO73" s="12">
        <f>$I$21*$AO$21</f>
        <v>0</v>
      </c>
      <c r="AP73" s="12">
        <f>$I$21*$AP$21</f>
        <v>0</v>
      </c>
      <c r="AQ73" s="12">
        <f>$I$21*$AQ$21</f>
        <v>0</v>
      </c>
      <c r="AR73" s="12">
        <f>$I$21*$AR$21</f>
        <v>0</v>
      </c>
      <c r="AS73" s="12">
        <f>$I$21*$AS$21</f>
        <v>0</v>
      </c>
      <c r="AT73" s="12">
        <f>$I$21*$AT$21</f>
        <v>0</v>
      </c>
      <c r="AU73" s="12">
        <f>$I$21*$AU$21</f>
        <v>6562.7567419382667</v>
      </c>
      <c r="AV73" s="12">
        <f>$I$21*$AV$21</f>
        <v>0</v>
      </c>
      <c r="AW73" s="12">
        <f>$I$21*$AW$21</f>
        <v>0</v>
      </c>
      <c r="AX73" s="12">
        <f>$I$21*$AX$21</f>
        <v>10449.392170523693</v>
      </c>
      <c r="AY73" s="12">
        <f>$I$21*$AY$21</f>
        <v>0</v>
      </c>
      <c r="AZ73" s="12">
        <f>$I$21*$AZ$21</f>
        <v>0</v>
      </c>
      <c r="BA73" s="12">
        <f>$I$21*$BA$21</f>
        <v>1853.7575043621582</v>
      </c>
      <c r="BB73" s="12">
        <f>$I$21*$BB$21</f>
        <v>0</v>
      </c>
      <c r="BC73" s="12">
        <f>$I$21*$BC$21</f>
        <v>0</v>
      </c>
      <c r="BD73" s="12">
        <f>$I$21*$BD$21</f>
        <v>0</v>
      </c>
    </row>
    <row r="74" spans="1:56" ht="11.25" customHeight="1" x14ac:dyDescent="0.25">
      <c r="A74" s="9" t="s">
        <v>22</v>
      </c>
      <c r="B74" s="9" t="s">
        <v>710</v>
      </c>
      <c r="C74" s="9" t="s">
        <v>711</v>
      </c>
      <c r="D74" s="9" t="s">
        <v>720</v>
      </c>
      <c r="E74" s="9" t="s">
        <v>721</v>
      </c>
      <c r="F74" s="9" t="s">
        <v>722</v>
      </c>
      <c r="G74" s="9" t="s">
        <v>723</v>
      </c>
      <c r="L74" s="12">
        <f>$I$22*$L$22</f>
        <v>0</v>
      </c>
      <c r="M74" s="12">
        <f>$I$22*$M$22</f>
        <v>386.74020121727892</v>
      </c>
      <c r="N74" s="12">
        <f ca="1">$I$22*$N$22</f>
        <v>0</v>
      </c>
      <c r="O74" s="12">
        <f>$I$22*$O$22</f>
        <v>0</v>
      </c>
      <c r="P74" s="12">
        <f>$I$22*$P$22</f>
        <v>0</v>
      </c>
      <c r="Q74" s="12">
        <f>$I$22*$Q$22</f>
        <v>0</v>
      </c>
      <c r="R74" s="12">
        <f>$I$22*$R$22</f>
        <v>0</v>
      </c>
      <c r="S74" s="12">
        <f>$I$22*$S$22</f>
        <v>0</v>
      </c>
      <c r="T74" s="12">
        <f>$I$22*$T$22</f>
        <v>0</v>
      </c>
      <c r="U74" s="12">
        <f>$I$22*$U$22</f>
        <v>0</v>
      </c>
      <c r="V74" s="12">
        <f>$I$22*$V$22</f>
        <v>0</v>
      </c>
      <c r="W74" s="12">
        <f>$I$22*$W$22</f>
        <v>0</v>
      </c>
      <c r="X74" s="12">
        <f>$I$22*$X$22</f>
        <v>23633.430106661413</v>
      </c>
      <c r="Y74" s="12">
        <f>$I$22*$Y$22</f>
        <v>0</v>
      </c>
      <c r="Z74" s="12">
        <f>$I$22*$Z$22</f>
        <v>0</v>
      </c>
      <c r="AA74" s="12">
        <f>$I$22*$AA$22</f>
        <v>34097.16318913945</v>
      </c>
      <c r="AB74" s="12">
        <f ca="1">$I$22*$AB$22</f>
        <v>0</v>
      </c>
      <c r="AC74" s="12">
        <f ca="1">$I$22*$AC$22</f>
        <v>0</v>
      </c>
      <c r="AD74" s="12">
        <f>$I$22*$AD$22</f>
        <v>4866.8208413349785</v>
      </c>
      <c r="AE74" s="12">
        <f>$I$22*$AE$22</f>
        <v>0</v>
      </c>
      <c r="AF74" s="12">
        <f ca="1">$I$22*$AF$22</f>
        <v>0</v>
      </c>
      <c r="AG74" s="12">
        <f ca="1">$I$22*$AG$22</f>
        <v>0</v>
      </c>
      <c r="AI74" s="12">
        <f>$I$22*$AI$22</f>
        <v>0</v>
      </c>
      <c r="AJ74" s="12">
        <f>$I$22*$AJ$22</f>
        <v>369.49354245890936</v>
      </c>
      <c r="AK74" s="12">
        <f>$I$22*$AK$22</f>
        <v>0</v>
      </c>
      <c r="AL74" s="12">
        <f>$I$22*$AL$22</f>
        <v>0</v>
      </c>
      <c r="AM74" s="12">
        <f>$I$22*$AM$22</f>
        <v>0</v>
      </c>
      <c r="AN74" s="12">
        <f>$I$22*$AN$22</f>
        <v>0</v>
      </c>
      <c r="AO74" s="12">
        <f>$I$22*$AO$22</f>
        <v>0</v>
      </c>
      <c r="AP74" s="12">
        <f>$I$22*$AP$22</f>
        <v>0</v>
      </c>
      <c r="AQ74" s="12">
        <f>$I$22*$AQ$22</f>
        <v>0</v>
      </c>
      <c r="AR74" s="12">
        <f>$I$22*$AR$22</f>
        <v>0</v>
      </c>
      <c r="AS74" s="12">
        <f>$I$22*$AS$22</f>
        <v>0</v>
      </c>
      <c r="AT74" s="12">
        <f>$I$22*$AT$22</f>
        <v>0</v>
      </c>
      <c r="AU74" s="12">
        <f>$I$22*$AU$22</f>
        <v>20075.068312919895</v>
      </c>
      <c r="AV74" s="12">
        <f>$I$22*$AV$22</f>
        <v>0</v>
      </c>
      <c r="AW74" s="12">
        <f>$I$22*$AW$22</f>
        <v>0</v>
      </c>
      <c r="AX74" s="12">
        <f>$I$22*$AX$22</f>
        <v>31964.04649760016</v>
      </c>
      <c r="AY74" s="12">
        <f>$I$22*$AY$22</f>
        <v>0</v>
      </c>
      <c r="AZ74" s="12">
        <f>$I$22*$AZ$22</f>
        <v>0</v>
      </c>
      <c r="BA74" s="12">
        <f>$I$22*$BA$22</f>
        <v>5670.5299310952842</v>
      </c>
      <c r="BB74" s="12">
        <f>$I$22*$BB$22</f>
        <v>0</v>
      </c>
      <c r="BC74" s="12">
        <f>$I$22*$BC$22</f>
        <v>0</v>
      </c>
      <c r="BD74" s="12">
        <f>$I$22*$BD$22</f>
        <v>0</v>
      </c>
    </row>
    <row r="75" spans="1:56" ht="11.25" customHeight="1" x14ac:dyDescent="0.25">
      <c r="A75" s="9" t="s">
        <v>22</v>
      </c>
      <c r="B75" s="9" t="s">
        <v>710</v>
      </c>
      <c r="C75" s="9" t="s">
        <v>711</v>
      </c>
      <c r="D75" s="9" t="s">
        <v>724</v>
      </c>
      <c r="E75" s="9" t="s">
        <v>725</v>
      </c>
      <c r="F75" s="9" t="s">
        <v>726</v>
      </c>
      <c r="G75" s="9" t="s">
        <v>727</v>
      </c>
      <c r="L75" s="12">
        <f>$I$23*$L$23</f>
        <v>0</v>
      </c>
      <c r="M75" s="12">
        <f>$I$23*$M$23</f>
        <v>418.00866091101761</v>
      </c>
      <c r="N75" s="12">
        <f ca="1">$I$23*$N$23</f>
        <v>0</v>
      </c>
      <c r="O75" s="12">
        <f>$I$23*$O$23</f>
        <v>0</v>
      </c>
      <c r="P75" s="12">
        <f>$I$23*$P$23</f>
        <v>0</v>
      </c>
      <c r="Q75" s="12">
        <f>$I$23*$Q$23</f>
        <v>0</v>
      </c>
      <c r="R75" s="12">
        <f>$I$23*$R$23</f>
        <v>0</v>
      </c>
      <c r="S75" s="12">
        <f>$I$23*$S$23</f>
        <v>0</v>
      </c>
      <c r="T75" s="12">
        <f>$I$23*$T$23</f>
        <v>0</v>
      </c>
      <c r="U75" s="12">
        <f>$I$23*$U$23</f>
        <v>0</v>
      </c>
      <c r="V75" s="12">
        <f>$I$23*$V$23</f>
        <v>0</v>
      </c>
      <c r="W75" s="12">
        <f>$I$23*$W$23</f>
        <v>0</v>
      </c>
      <c r="X75" s="12">
        <f>$I$23*$X$23</f>
        <v>25544.224366965784</v>
      </c>
      <c r="Y75" s="12">
        <f>$I$23*$Y$23</f>
        <v>0</v>
      </c>
      <c r="Z75" s="12">
        <f>$I$23*$Z$23</f>
        <v>0</v>
      </c>
      <c r="AA75" s="12">
        <f>$I$23*$AA$23</f>
        <v>36853.964187573649</v>
      </c>
      <c r="AB75" s="12">
        <f ca="1">$I$23*$AB$23</f>
        <v>0</v>
      </c>
      <c r="AC75" s="12">
        <f ca="1">$I$23*$AC$23</f>
        <v>0</v>
      </c>
      <c r="AD75" s="12">
        <f>$I$23*$AD$23</f>
        <v>5260.3097799944317</v>
      </c>
      <c r="AE75" s="12">
        <f>$I$23*$AE$23</f>
        <v>0</v>
      </c>
      <c r="AF75" s="12">
        <f ca="1">$I$23*$AF$23</f>
        <v>0</v>
      </c>
      <c r="AG75" s="12">
        <f ca="1">$I$23*$AG$23</f>
        <v>0</v>
      </c>
      <c r="AI75" s="12">
        <f>$I$23*$AI$23</f>
        <v>0</v>
      </c>
      <c r="AJ75" s="12">
        <f>$I$23*$AJ$23</f>
        <v>399.36758685126489</v>
      </c>
      <c r="AK75" s="12">
        <f>$I$23*$AK$23</f>
        <v>0</v>
      </c>
      <c r="AL75" s="12">
        <f>$I$23*$AL$23</f>
        <v>0</v>
      </c>
      <c r="AM75" s="12">
        <f>$I$23*$AM$23</f>
        <v>0</v>
      </c>
      <c r="AN75" s="12">
        <f>$I$23*$AN$23</f>
        <v>0</v>
      </c>
      <c r="AO75" s="12">
        <f>$I$23*$AO$23</f>
        <v>0</v>
      </c>
      <c r="AP75" s="12">
        <f>$I$23*$AP$23</f>
        <v>0</v>
      </c>
      <c r="AQ75" s="12">
        <f>$I$23*$AQ$23</f>
        <v>0</v>
      </c>
      <c r="AR75" s="12">
        <f>$I$23*$AR$23</f>
        <v>0</v>
      </c>
      <c r="AS75" s="12">
        <f>$I$23*$AS$23</f>
        <v>0</v>
      </c>
      <c r="AT75" s="12">
        <f>$I$23*$AT$23</f>
        <v>0</v>
      </c>
      <c r="AU75" s="12">
        <f>$I$23*$AU$23</f>
        <v>21698.164289019252</v>
      </c>
      <c r="AV75" s="12">
        <f>$I$23*$AV$23</f>
        <v>0</v>
      </c>
      <c r="AW75" s="12">
        <f>$I$23*$AW$23</f>
        <v>0</v>
      </c>
      <c r="AX75" s="12">
        <f>$I$23*$AX$23</f>
        <v>34548.382174142658</v>
      </c>
      <c r="AY75" s="12">
        <f>$I$23*$AY$23</f>
        <v>0</v>
      </c>
      <c r="AZ75" s="12">
        <f>$I$23*$AZ$23</f>
        <v>0</v>
      </c>
      <c r="BA75" s="12">
        <f>$I$23*$BA$23</f>
        <v>6128.9998187214114</v>
      </c>
      <c r="BB75" s="12">
        <f>$I$23*$BB$23</f>
        <v>0</v>
      </c>
      <c r="BC75" s="12">
        <f>$I$23*$BC$23</f>
        <v>0</v>
      </c>
      <c r="BD75" s="12">
        <f>$I$23*$BD$23</f>
        <v>0</v>
      </c>
    </row>
    <row r="76" spans="1:56" ht="11.25" customHeight="1" x14ac:dyDescent="0.25">
      <c r="A76" s="9" t="s">
        <v>22</v>
      </c>
      <c r="B76" s="9" t="s">
        <v>710</v>
      </c>
      <c r="C76" s="9" t="s">
        <v>711</v>
      </c>
      <c r="D76" s="9" t="s">
        <v>728</v>
      </c>
      <c r="E76" s="9" t="s">
        <v>729</v>
      </c>
      <c r="F76" s="9" t="s">
        <v>730</v>
      </c>
      <c r="G76" s="9" t="s">
        <v>731</v>
      </c>
      <c r="L76" s="12">
        <f>$I$24*$L$24</f>
        <v>0</v>
      </c>
      <c r="M76" s="12">
        <f>$I$24*$M$24</f>
        <v>133.65139098182016</v>
      </c>
      <c r="N76" s="12">
        <f ca="1">$I$24*$N$24</f>
        <v>0</v>
      </c>
      <c r="O76" s="12">
        <f>$I$24*$O$24</f>
        <v>0</v>
      </c>
      <c r="P76" s="12">
        <f>$I$24*$P$24</f>
        <v>0</v>
      </c>
      <c r="Q76" s="12">
        <f>$I$24*$Q$24</f>
        <v>0</v>
      </c>
      <c r="R76" s="12">
        <f>$I$24*$R$24</f>
        <v>0</v>
      </c>
      <c r="S76" s="12">
        <f>$I$24*$S$24</f>
        <v>0</v>
      </c>
      <c r="T76" s="12">
        <f>$I$24*$T$24</f>
        <v>0</v>
      </c>
      <c r="U76" s="12">
        <f>$I$24*$U$24</f>
        <v>0</v>
      </c>
      <c r="V76" s="12">
        <f>$I$24*$V$24</f>
        <v>0</v>
      </c>
      <c r="W76" s="12">
        <f>$I$24*$W$24</f>
        <v>0</v>
      </c>
      <c r="X76" s="12">
        <f>$I$24*$X$24</f>
        <v>8167.3454103943332</v>
      </c>
      <c r="Y76" s="12">
        <f>$I$24*$Y$24</f>
        <v>0</v>
      </c>
      <c r="Z76" s="12">
        <f>$I$24*$Z$24</f>
        <v>0</v>
      </c>
      <c r="AA76" s="12">
        <f>$I$24*$AA$24</f>
        <v>11783.448615941292</v>
      </c>
      <c r="AB76" s="12">
        <f ca="1">$I$24*$AB$24</f>
        <v>0</v>
      </c>
      <c r="AC76" s="12">
        <f ca="1">$I$24*$AC$24</f>
        <v>0</v>
      </c>
      <c r="AD76" s="12">
        <f>$I$24*$AD$24</f>
        <v>1681.8974936052516</v>
      </c>
      <c r="AE76" s="12">
        <f>$I$24*$AE$24</f>
        <v>0</v>
      </c>
      <c r="AF76" s="12">
        <f ca="1">$I$24*$AF$24</f>
        <v>0</v>
      </c>
      <c r="AG76" s="12">
        <f ca="1">$I$24*$AG$24</f>
        <v>0</v>
      </c>
      <c r="AI76" s="12">
        <f>$I$24*$AI$24</f>
        <v>0</v>
      </c>
      <c r="AJ76" s="12">
        <f>$I$24*$AJ$24</f>
        <v>127.69121429062139</v>
      </c>
      <c r="AK76" s="12">
        <f>$I$24*$AK$24</f>
        <v>0</v>
      </c>
      <c r="AL76" s="12">
        <f>$I$24*$AL$24</f>
        <v>0</v>
      </c>
      <c r="AM76" s="12">
        <f>$I$24*$AM$24</f>
        <v>0</v>
      </c>
      <c r="AN76" s="12">
        <f>$I$24*$AN$24</f>
        <v>0</v>
      </c>
      <c r="AO76" s="12">
        <f>$I$24*$AO$24</f>
        <v>0</v>
      </c>
      <c r="AP76" s="12">
        <f>$I$24*$AP$24</f>
        <v>0</v>
      </c>
      <c r="AQ76" s="12">
        <f>$I$24*$AQ$24</f>
        <v>0</v>
      </c>
      <c r="AR76" s="12">
        <f>$I$24*$AR$24</f>
        <v>0</v>
      </c>
      <c r="AS76" s="12">
        <f>$I$24*$AS$24</f>
        <v>0</v>
      </c>
      <c r="AT76" s="12">
        <f>$I$24*$AT$24</f>
        <v>0</v>
      </c>
      <c r="AU76" s="12">
        <f>$I$24*$AU$24</f>
        <v>6937.6309874995404</v>
      </c>
      <c r="AV76" s="12">
        <f>$I$24*$AV$24</f>
        <v>0</v>
      </c>
      <c r="AW76" s="12">
        <f>$I$24*$AW$24</f>
        <v>0</v>
      </c>
      <c r="AX76" s="12">
        <f>$I$24*$AX$24</f>
        <v>11046.276705564695</v>
      </c>
      <c r="AY76" s="12">
        <f>$I$24*$AY$24</f>
        <v>0</v>
      </c>
      <c r="AZ76" s="12">
        <f>$I$24*$AZ$24</f>
        <v>0</v>
      </c>
      <c r="BA76" s="12">
        <f>$I$24*$BA$24</f>
        <v>1959.6468391687542</v>
      </c>
      <c r="BB76" s="12">
        <f>$I$24*$BB$24</f>
        <v>0</v>
      </c>
      <c r="BC76" s="12">
        <f>$I$24*$BC$24</f>
        <v>0</v>
      </c>
      <c r="BD76" s="12">
        <f>$I$24*$BD$24</f>
        <v>0</v>
      </c>
    </row>
    <row r="77" spans="1:56" ht="11.25" customHeight="1" x14ac:dyDescent="0.25">
      <c r="A77" s="9" t="s">
        <v>22</v>
      </c>
      <c r="B77" s="9" t="s">
        <v>732</v>
      </c>
      <c r="C77" s="9" t="s">
        <v>733</v>
      </c>
      <c r="D77" s="9" t="s">
        <v>734</v>
      </c>
      <c r="E77" s="9" t="s">
        <v>735</v>
      </c>
      <c r="F77" s="9" t="s">
        <v>736</v>
      </c>
      <c r="G77" s="9" t="s">
        <v>737</v>
      </c>
      <c r="L77" s="12">
        <f>$I$25*$L$25</f>
        <v>0</v>
      </c>
      <c r="M77" s="12">
        <f>$I$25*$M$25</f>
        <v>0</v>
      </c>
      <c r="N77" s="12">
        <f ca="1">$I$25*$N$25</f>
        <v>0</v>
      </c>
      <c r="O77" s="12">
        <f>$I$25*$O$25</f>
        <v>0</v>
      </c>
      <c r="P77" s="12">
        <f>$I$25*$P$25</f>
        <v>0</v>
      </c>
      <c r="Q77" s="12">
        <f>$I$25*$Q$25</f>
        <v>0</v>
      </c>
      <c r="R77" s="12">
        <f>$I$25*$R$25</f>
        <v>0</v>
      </c>
      <c r="S77" s="12">
        <f>$I$25*$S$25</f>
        <v>0</v>
      </c>
      <c r="T77" s="12">
        <f>$I$25*$T$25</f>
        <v>0</v>
      </c>
      <c r="U77" s="12">
        <f>$I$25*$U$25</f>
        <v>0</v>
      </c>
      <c r="V77" s="12">
        <f>$I$25*$V$25</f>
        <v>0</v>
      </c>
      <c r="W77" s="12">
        <f>$I$25*$W$25</f>
        <v>0</v>
      </c>
      <c r="X77" s="12">
        <f>$I$25*$X$25</f>
        <v>0</v>
      </c>
      <c r="Y77" s="12">
        <f>$I$25*$Y$25</f>
        <v>0</v>
      </c>
      <c r="Z77" s="12">
        <f>$I$25*$Z$25</f>
        <v>0</v>
      </c>
      <c r="AA77" s="12">
        <f>$I$25*$AA$25</f>
        <v>0</v>
      </c>
      <c r="AB77" s="12">
        <f ca="1">$I$25*$AB$25</f>
        <v>0</v>
      </c>
      <c r="AC77" s="12">
        <f ca="1">$I$25*$AC$25</f>
        <v>0</v>
      </c>
      <c r="AD77" s="12">
        <f>$I$25*$AD$25</f>
        <v>0</v>
      </c>
      <c r="AE77" s="12">
        <f>$I$25*$AE$25</f>
        <v>0</v>
      </c>
      <c r="AF77" s="12">
        <f ca="1">$I$25*$AF$25</f>
        <v>0</v>
      </c>
      <c r="AG77" s="12">
        <f ca="1">$I$25*$AG$25</f>
        <v>0</v>
      </c>
      <c r="AI77" s="12">
        <f>$I$25*$AI$25</f>
        <v>0</v>
      </c>
      <c r="AJ77" s="12">
        <f>$I$25*$AJ$25</f>
        <v>0</v>
      </c>
      <c r="AK77" s="12">
        <f>$I$25*$AK$25</f>
        <v>0</v>
      </c>
      <c r="AL77" s="12">
        <f>$I$25*$AL$25</f>
        <v>0</v>
      </c>
      <c r="AM77" s="12">
        <f>$I$25*$AM$25</f>
        <v>0</v>
      </c>
      <c r="AN77" s="12">
        <f>$I$25*$AN$25</f>
        <v>0</v>
      </c>
      <c r="AO77" s="12">
        <f>$I$25*$AO$25</f>
        <v>0</v>
      </c>
      <c r="AP77" s="12">
        <f>$I$25*$AP$25</f>
        <v>0</v>
      </c>
      <c r="AQ77" s="12">
        <f>$I$25*$AQ$25</f>
        <v>0</v>
      </c>
      <c r="AR77" s="12">
        <f>$I$25*$AR$25</f>
        <v>0</v>
      </c>
      <c r="AS77" s="12">
        <f>$I$25*$AS$25</f>
        <v>0</v>
      </c>
      <c r="AT77" s="12">
        <f>$I$25*$AT$25</f>
        <v>0</v>
      </c>
      <c r="AU77" s="12">
        <f>$I$25*$AU$25</f>
        <v>0</v>
      </c>
      <c r="AV77" s="12">
        <f>$I$25*$AV$25</f>
        <v>0</v>
      </c>
      <c r="AW77" s="12">
        <f>$I$25*$AW$25</f>
        <v>0</v>
      </c>
      <c r="AX77" s="12">
        <f>$I$25*$AX$25</f>
        <v>0</v>
      </c>
      <c r="AY77" s="12">
        <f>$I$25*$AY$25</f>
        <v>0</v>
      </c>
      <c r="AZ77" s="12">
        <f>$I$25*$AZ$25</f>
        <v>0</v>
      </c>
      <c r="BA77" s="12">
        <f>$I$25*$BA$25</f>
        <v>0</v>
      </c>
      <c r="BB77" s="12">
        <f>$I$25*$BB$25</f>
        <v>0</v>
      </c>
      <c r="BC77" s="12">
        <f>$I$25*$BC$25</f>
        <v>0</v>
      </c>
      <c r="BD77" s="12">
        <f>$I$25*$BD$25</f>
        <v>0</v>
      </c>
    </row>
    <row r="78" spans="1:56" ht="11.25" customHeight="1" x14ac:dyDescent="0.25">
      <c r="A78" s="9" t="s">
        <v>22</v>
      </c>
      <c r="B78" s="9" t="s">
        <v>732</v>
      </c>
      <c r="C78" s="9" t="s">
        <v>733</v>
      </c>
      <c r="D78" s="9" t="s">
        <v>738</v>
      </c>
      <c r="E78" s="9" t="s">
        <v>739</v>
      </c>
      <c r="F78" s="9" t="s">
        <v>740</v>
      </c>
      <c r="G78" s="9" t="s">
        <v>741</v>
      </c>
      <c r="L78" s="12">
        <f>$I$26*$L$26</f>
        <v>0</v>
      </c>
      <c r="M78" s="12">
        <f>$I$26*$M$26</f>
        <v>0</v>
      </c>
      <c r="N78" s="12">
        <f ca="1">$I$26*$N$26</f>
        <v>0</v>
      </c>
      <c r="O78" s="12">
        <f>$I$26*$O$26</f>
        <v>0</v>
      </c>
      <c r="P78" s="12">
        <f>$I$26*$P$26</f>
        <v>0</v>
      </c>
      <c r="Q78" s="12">
        <f>$I$26*$Q$26</f>
        <v>0</v>
      </c>
      <c r="R78" s="12">
        <f>$I$26*$R$26</f>
        <v>0</v>
      </c>
      <c r="S78" s="12">
        <f>$I$26*$S$26</f>
        <v>0</v>
      </c>
      <c r="T78" s="12">
        <f>$I$26*$T$26</f>
        <v>0</v>
      </c>
      <c r="U78" s="12">
        <f>$I$26*$U$26</f>
        <v>0</v>
      </c>
      <c r="V78" s="12">
        <f>$I$26*$V$26</f>
        <v>0</v>
      </c>
      <c r="W78" s="12">
        <f>$I$26*$W$26</f>
        <v>0</v>
      </c>
      <c r="X78" s="12">
        <f>$I$26*$X$26</f>
        <v>0</v>
      </c>
      <c r="Y78" s="12">
        <f>$I$26*$Y$26</f>
        <v>0</v>
      </c>
      <c r="Z78" s="12">
        <f>$I$26*$Z$26</f>
        <v>0</v>
      </c>
      <c r="AA78" s="12">
        <f>$I$26*$AA$26</f>
        <v>0</v>
      </c>
      <c r="AB78" s="12">
        <f ca="1">$I$26*$AB$26</f>
        <v>0</v>
      </c>
      <c r="AC78" s="12">
        <f ca="1">$I$26*$AC$26</f>
        <v>0</v>
      </c>
      <c r="AD78" s="12">
        <f>$I$26*$AD$26</f>
        <v>0</v>
      </c>
      <c r="AE78" s="12">
        <f>$I$26*$AE$26</f>
        <v>0</v>
      </c>
      <c r="AF78" s="12">
        <f ca="1">$I$26*$AF$26</f>
        <v>0</v>
      </c>
      <c r="AG78" s="12">
        <f ca="1">$I$26*$AG$26</f>
        <v>0</v>
      </c>
      <c r="AI78" s="12">
        <f>$I$26*$AI$26</f>
        <v>0</v>
      </c>
      <c r="AJ78" s="12">
        <f>$I$26*$AJ$26</f>
        <v>0</v>
      </c>
      <c r="AK78" s="12">
        <f>$I$26*$AK$26</f>
        <v>0</v>
      </c>
      <c r="AL78" s="12">
        <f>$I$26*$AL$26</f>
        <v>0</v>
      </c>
      <c r="AM78" s="12">
        <f>$I$26*$AM$26</f>
        <v>0</v>
      </c>
      <c r="AN78" s="12">
        <f>$I$26*$AN$26</f>
        <v>0</v>
      </c>
      <c r="AO78" s="12">
        <f>$I$26*$AO$26</f>
        <v>0</v>
      </c>
      <c r="AP78" s="12">
        <f>$I$26*$AP$26</f>
        <v>0</v>
      </c>
      <c r="AQ78" s="12">
        <f>$I$26*$AQ$26</f>
        <v>0</v>
      </c>
      <c r="AR78" s="12">
        <f>$I$26*$AR$26</f>
        <v>0</v>
      </c>
      <c r="AS78" s="12">
        <f>$I$26*$AS$26</f>
        <v>0</v>
      </c>
      <c r="AT78" s="12">
        <f>$I$26*$AT$26</f>
        <v>0</v>
      </c>
      <c r="AU78" s="12">
        <f>$I$26*$AU$26</f>
        <v>0</v>
      </c>
      <c r="AV78" s="12">
        <f>$I$26*$AV$26</f>
        <v>0</v>
      </c>
      <c r="AW78" s="12">
        <f>$I$26*$AW$26</f>
        <v>0</v>
      </c>
      <c r="AX78" s="12">
        <f>$I$26*$AX$26</f>
        <v>0</v>
      </c>
      <c r="AY78" s="12">
        <f>$I$26*$AY$26</f>
        <v>0</v>
      </c>
      <c r="AZ78" s="12">
        <f>$I$26*$AZ$26</f>
        <v>0</v>
      </c>
      <c r="BA78" s="12">
        <f>$I$26*$BA$26</f>
        <v>0</v>
      </c>
      <c r="BB78" s="12">
        <f>$I$26*$BB$26</f>
        <v>0</v>
      </c>
      <c r="BC78" s="12">
        <f>$I$26*$BC$26</f>
        <v>0</v>
      </c>
      <c r="BD78" s="12">
        <f>$I$26*$BD$26</f>
        <v>0</v>
      </c>
    </row>
    <row r="79" spans="1:56" ht="11.25" customHeight="1" x14ac:dyDescent="0.25">
      <c r="A79" s="9" t="s">
        <v>22</v>
      </c>
      <c r="B79" s="9" t="s">
        <v>732</v>
      </c>
      <c r="C79" s="9" t="s">
        <v>733</v>
      </c>
      <c r="D79" s="9" t="s">
        <v>742</v>
      </c>
      <c r="E79" s="9" t="s">
        <v>743</v>
      </c>
      <c r="F79" s="9" t="s">
        <v>744</v>
      </c>
      <c r="G79" s="9" t="s">
        <v>745</v>
      </c>
      <c r="L79" s="12">
        <f>$I$27*$L$27</f>
        <v>0</v>
      </c>
      <c r="M79" s="12">
        <f>$I$27*$M$27</f>
        <v>0</v>
      </c>
      <c r="N79" s="12">
        <f ca="1">$I$27*$N$27</f>
        <v>0</v>
      </c>
      <c r="O79" s="12">
        <f>$I$27*$O$27</f>
        <v>0</v>
      </c>
      <c r="P79" s="12">
        <f>$I$27*$P$27</f>
        <v>0</v>
      </c>
      <c r="Q79" s="12">
        <f>$I$27*$Q$27</f>
        <v>0</v>
      </c>
      <c r="R79" s="12">
        <f>$I$27*$R$27</f>
        <v>0</v>
      </c>
      <c r="S79" s="12">
        <f>$I$27*$S$27</f>
        <v>0</v>
      </c>
      <c r="T79" s="12">
        <f>$I$27*$T$27</f>
        <v>0</v>
      </c>
      <c r="U79" s="12">
        <f>$I$27*$U$27</f>
        <v>0</v>
      </c>
      <c r="V79" s="12">
        <f>$I$27*$V$27</f>
        <v>0</v>
      </c>
      <c r="W79" s="12">
        <f>$I$27*$W$27</f>
        <v>0</v>
      </c>
      <c r="X79" s="12">
        <f>$I$27*$X$27</f>
        <v>0</v>
      </c>
      <c r="Y79" s="12">
        <f>$I$27*$Y$27</f>
        <v>0</v>
      </c>
      <c r="Z79" s="12">
        <f>$I$27*$Z$27</f>
        <v>0</v>
      </c>
      <c r="AA79" s="12">
        <f>$I$27*$AA$27</f>
        <v>0</v>
      </c>
      <c r="AB79" s="12">
        <f ca="1">$I$27*$AB$27</f>
        <v>0</v>
      </c>
      <c r="AC79" s="12">
        <f ca="1">$I$27*$AC$27</f>
        <v>0</v>
      </c>
      <c r="AD79" s="12">
        <f>$I$27*$AD$27</f>
        <v>0</v>
      </c>
      <c r="AE79" s="12">
        <f>$I$27*$AE$27</f>
        <v>0</v>
      </c>
      <c r="AF79" s="12">
        <f ca="1">$I$27*$AF$27</f>
        <v>0</v>
      </c>
      <c r="AG79" s="12">
        <f ca="1">$I$27*$AG$27</f>
        <v>0</v>
      </c>
      <c r="AI79" s="12">
        <f>$I$27*$AI$27</f>
        <v>0</v>
      </c>
      <c r="AJ79" s="12">
        <f>$I$27*$AJ$27</f>
        <v>0</v>
      </c>
      <c r="AK79" s="12">
        <f>$I$27*$AK$27</f>
        <v>0</v>
      </c>
      <c r="AL79" s="12">
        <f>$I$27*$AL$27</f>
        <v>0</v>
      </c>
      <c r="AM79" s="12">
        <f>$I$27*$AM$27</f>
        <v>0</v>
      </c>
      <c r="AN79" s="12">
        <f>$I$27*$AN$27</f>
        <v>0</v>
      </c>
      <c r="AO79" s="12">
        <f>$I$27*$AO$27</f>
        <v>0</v>
      </c>
      <c r="AP79" s="12">
        <f>$I$27*$AP$27</f>
        <v>0</v>
      </c>
      <c r="AQ79" s="12">
        <f>$I$27*$AQ$27</f>
        <v>0</v>
      </c>
      <c r="AR79" s="12">
        <f>$I$27*$AR$27</f>
        <v>0</v>
      </c>
      <c r="AS79" s="12">
        <f>$I$27*$AS$27</f>
        <v>0</v>
      </c>
      <c r="AT79" s="12">
        <f>$I$27*$AT$27</f>
        <v>0</v>
      </c>
      <c r="AU79" s="12">
        <f>$I$27*$AU$27</f>
        <v>0</v>
      </c>
      <c r="AV79" s="12">
        <f>$I$27*$AV$27</f>
        <v>0</v>
      </c>
      <c r="AW79" s="12">
        <f>$I$27*$AW$27</f>
        <v>0</v>
      </c>
      <c r="AX79" s="12">
        <f>$I$27*$AX$27</f>
        <v>0</v>
      </c>
      <c r="AY79" s="12">
        <f>$I$27*$AY$27</f>
        <v>0</v>
      </c>
      <c r="AZ79" s="12">
        <f>$I$27*$AZ$27</f>
        <v>0</v>
      </c>
      <c r="BA79" s="12">
        <f>$I$27*$BA$27</f>
        <v>0</v>
      </c>
      <c r="BB79" s="12">
        <f>$I$27*$BB$27</f>
        <v>0</v>
      </c>
      <c r="BC79" s="12">
        <f>$I$27*$BC$27</f>
        <v>0</v>
      </c>
      <c r="BD79" s="12">
        <f>$I$27*$BD$27</f>
        <v>0</v>
      </c>
    </row>
    <row r="80" spans="1:56" ht="11.25" customHeight="1" x14ac:dyDescent="0.25">
      <c r="A80" s="9" t="s">
        <v>22</v>
      </c>
      <c r="B80" s="9" t="s">
        <v>732</v>
      </c>
      <c r="C80" s="9" t="s">
        <v>733</v>
      </c>
      <c r="D80" s="9" t="s">
        <v>746</v>
      </c>
      <c r="E80" s="9" t="s">
        <v>747</v>
      </c>
      <c r="F80" s="9" t="s">
        <v>748</v>
      </c>
      <c r="G80" s="9" t="s">
        <v>749</v>
      </c>
      <c r="L80" s="12">
        <f>$I$28*$L$28</f>
        <v>0</v>
      </c>
      <c r="M80" s="12">
        <f>$I$28*$M$28</f>
        <v>0</v>
      </c>
      <c r="N80" s="12">
        <f ca="1">$I$28*$N$28</f>
        <v>0</v>
      </c>
      <c r="O80" s="12">
        <f>$I$28*$O$28</f>
        <v>0</v>
      </c>
      <c r="P80" s="12">
        <f>$I$28*$P$28</f>
        <v>0</v>
      </c>
      <c r="Q80" s="12">
        <f>$I$28*$Q$28</f>
        <v>0</v>
      </c>
      <c r="R80" s="12">
        <f>$I$28*$R$28</f>
        <v>0</v>
      </c>
      <c r="S80" s="12">
        <f>$I$28*$S$28</f>
        <v>0</v>
      </c>
      <c r="T80" s="12">
        <f>$I$28*$T$28</f>
        <v>0</v>
      </c>
      <c r="U80" s="12">
        <f>$I$28*$U$28</f>
        <v>0</v>
      </c>
      <c r="V80" s="12">
        <f>$I$28*$V$28</f>
        <v>0</v>
      </c>
      <c r="W80" s="12">
        <f>$I$28*$W$28</f>
        <v>0</v>
      </c>
      <c r="X80" s="12">
        <f>$I$28*$X$28</f>
        <v>0</v>
      </c>
      <c r="Y80" s="12">
        <f>$I$28*$Y$28</f>
        <v>0</v>
      </c>
      <c r="Z80" s="12">
        <f>$I$28*$Z$28</f>
        <v>0</v>
      </c>
      <c r="AA80" s="12">
        <f>$I$28*$AA$28</f>
        <v>0</v>
      </c>
      <c r="AB80" s="12">
        <f ca="1">$I$28*$AB$28</f>
        <v>0</v>
      </c>
      <c r="AC80" s="12">
        <f ca="1">$I$28*$AC$28</f>
        <v>0</v>
      </c>
      <c r="AD80" s="12">
        <f>$I$28*$AD$28</f>
        <v>0</v>
      </c>
      <c r="AE80" s="12">
        <f>$I$28*$AE$28</f>
        <v>0</v>
      </c>
      <c r="AF80" s="12">
        <f ca="1">$I$28*$AF$28</f>
        <v>0</v>
      </c>
      <c r="AG80" s="12">
        <f ca="1">$I$28*$AG$28</f>
        <v>0</v>
      </c>
      <c r="AI80" s="12">
        <f>$I$28*$AI$28</f>
        <v>0</v>
      </c>
      <c r="AJ80" s="12">
        <f>$I$28*$AJ$28</f>
        <v>0</v>
      </c>
      <c r="AK80" s="12">
        <f>$I$28*$AK$28</f>
        <v>0</v>
      </c>
      <c r="AL80" s="12">
        <f>$I$28*$AL$28</f>
        <v>0</v>
      </c>
      <c r="AM80" s="12">
        <f>$I$28*$AM$28</f>
        <v>0</v>
      </c>
      <c r="AN80" s="12">
        <f>$I$28*$AN$28</f>
        <v>0</v>
      </c>
      <c r="AO80" s="12">
        <f>$I$28*$AO$28</f>
        <v>0</v>
      </c>
      <c r="AP80" s="12">
        <f>$I$28*$AP$28</f>
        <v>0</v>
      </c>
      <c r="AQ80" s="12">
        <f>$I$28*$AQ$28</f>
        <v>0</v>
      </c>
      <c r="AR80" s="12">
        <f>$I$28*$AR$28</f>
        <v>0</v>
      </c>
      <c r="AS80" s="12">
        <f>$I$28*$AS$28</f>
        <v>0</v>
      </c>
      <c r="AT80" s="12">
        <f>$I$28*$AT$28</f>
        <v>0</v>
      </c>
      <c r="AU80" s="12">
        <f>$I$28*$AU$28</f>
        <v>0</v>
      </c>
      <c r="AV80" s="12">
        <f>$I$28*$AV$28</f>
        <v>0</v>
      </c>
      <c r="AW80" s="12">
        <f>$I$28*$AW$28</f>
        <v>0</v>
      </c>
      <c r="AX80" s="12">
        <f>$I$28*$AX$28</f>
        <v>0</v>
      </c>
      <c r="AY80" s="12">
        <f>$I$28*$AY$28</f>
        <v>0</v>
      </c>
      <c r="AZ80" s="12">
        <f>$I$28*$AZ$28</f>
        <v>0</v>
      </c>
      <c r="BA80" s="12">
        <f>$I$28*$BA$28</f>
        <v>0</v>
      </c>
      <c r="BB80" s="12">
        <f>$I$28*$BB$28</f>
        <v>0</v>
      </c>
      <c r="BC80" s="12">
        <f>$I$28*$BC$28</f>
        <v>0</v>
      </c>
      <c r="BD80" s="12">
        <f>$I$28*$BD$28</f>
        <v>0</v>
      </c>
    </row>
    <row r="81" spans="1:56" ht="11.25" customHeight="1" x14ac:dyDescent="0.25">
      <c r="A81" s="9" t="s">
        <v>22</v>
      </c>
      <c r="B81" s="9" t="s">
        <v>732</v>
      </c>
      <c r="C81" s="9" t="s">
        <v>733</v>
      </c>
      <c r="D81" s="9" t="s">
        <v>750</v>
      </c>
      <c r="E81" s="9" t="s">
        <v>751</v>
      </c>
      <c r="F81" s="9" t="s">
        <v>752</v>
      </c>
      <c r="G81" s="9" t="s">
        <v>753</v>
      </c>
      <c r="L81" s="12">
        <f>$I$29*$L$29</f>
        <v>0</v>
      </c>
      <c r="M81" s="12">
        <f>$I$29*$M$29</f>
        <v>0</v>
      </c>
      <c r="N81" s="12">
        <f ca="1">$I$29*$N$29</f>
        <v>0</v>
      </c>
      <c r="O81" s="12">
        <f>$I$29*$O$29</f>
        <v>0</v>
      </c>
      <c r="P81" s="12">
        <f>$I$29*$P$29</f>
        <v>0</v>
      </c>
      <c r="Q81" s="12">
        <f>$I$29*$Q$29</f>
        <v>0</v>
      </c>
      <c r="R81" s="12">
        <f>$I$29*$R$29</f>
        <v>0</v>
      </c>
      <c r="S81" s="12">
        <f>$I$29*$S$29</f>
        <v>0</v>
      </c>
      <c r="T81" s="12">
        <f>$I$29*$T$29</f>
        <v>0</v>
      </c>
      <c r="U81" s="12">
        <f>$I$29*$U$29</f>
        <v>0</v>
      </c>
      <c r="V81" s="12">
        <f>$I$29*$V$29</f>
        <v>0</v>
      </c>
      <c r="W81" s="12">
        <f>$I$29*$W$29</f>
        <v>0</v>
      </c>
      <c r="X81" s="12">
        <f>$I$29*$X$29</f>
        <v>0</v>
      </c>
      <c r="Y81" s="12">
        <f>$I$29*$Y$29</f>
        <v>0</v>
      </c>
      <c r="Z81" s="12">
        <f>$I$29*$Z$29</f>
        <v>0</v>
      </c>
      <c r="AA81" s="12">
        <f>$I$29*$AA$29</f>
        <v>0</v>
      </c>
      <c r="AB81" s="12">
        <f ca="1">$I$29*$AB$29</f>
        <v>0</v>
      </c>
      <c r="AC81" s="12">
        <f ca="1">$I$29*$AC$29</f>
        <v>0</v>
      </c>
      <c r="AD81" s="12">
        <f>$I$29*$AD$29</f>
        <v>0</v>
      </c>
      <c r="AE81" s="12">
        <f>$I$29*$AE$29</f>
        <v>0</v>
      </c>
      <c r="AF81" s="12">
        <f ca="1">$I$29*$AF$29</f>
        <v>0</v>
      </c>
      <c r="AG81" s="12">
        <f ca="1">$I$29*$AG$29</f>
        <v>0</v>
      </c>
      <c r="AI81" s="12">
        <f>$I$29*$AI$29</f>
        <v>0</v>
      </c>
      <c r="AJ81" s="12">
        <f>$I$29*$AJ$29</f>
        <v>0</v>
      </c>
      <c r="AK81" s="12">
        <f>$I$29*$AK$29</f>
        <v>0</v>
      </c>
      <c r="AL81" s="12">
        <f>$I$29*$AL$29</f>
        <v>0</v>
      </c>
      <c r="AM81" s="12">
        <f>$I$29*$AM$29</f>
        <v>0</v>
      </c>
      <c r="AN81" s="12">
        <f>$I$29*$AN$29</f>
        <v>0</v>
      </c>
      <c r="AO81" s="12">
        <f>$I$29*$AO$29</f>
        <v>0</v>
      </c>
      <c r="AP81" s="12">
        <f>$I$29*$AP$29</f>
        <v>0</v>
      </c>
      <c r="AQ81" s="12">
        <f>$I$29*$AQ$29</f>
        <v>0</v>
      </c>
      <c r="AR81" s="12">
        <f>$I$29*$AR$29</f>
        <v>0</v>
      </c>
      <c r="AS81" s="12">
        <f>$I$29*$AS$29</f>
        <v>0</v>
      </c>
      <c r="AT81" s="12">
        <f>$I$29*$AT$29</f>
        <v>0</v>
      </c>
      <c r="AU81" s="12">
        <f>$I$29*$AU$29</f>
        <v>0</v>
      </c>
      <c r="AV81" s="12">
        <f>$I$29*$AV$29</f>
        <v>0</v>
      </c>
      <c r="AW81" s="12">
        <f>$I$29*$AW$29</f>
        <v>0</v>
      </c>
      <c r="AX81" s="12">
        <f>$I$29*$AX$29</f>
        <v>0</v>
      </c>
      <c r="AY81" s="12">
        <f>$I$29*$AY$29</f>
        <v>0</v>
      </c>
      <c r="AZ81" s="12">
        <f>$I$29*$AZ$29</f>
        <v>0</v>
      </c>
      <c r="BA81" s="12">
        <f>$I$29*$BA$29</f>
        <v>0</v>
      </c>
      <c r="BB81" s="12">
        <f>$I$29*$BB$29</f>
        <v>0</v>
      </c>
      <c r="BC81" s="12">
        <f>$I$29*$BC$29</f>
        <v>0</v>
      </c>
      <c r="BD81" s="12">
        <f>$I$29*$BD$29</f>
        <v>0</v>
      </c>
    </row>
    <row r="82" spans="1:56" ht="11.25" customHeight="1" x14ac:dyDescent="0.25">
      <c r="A82" s="9" t="s">
        <v>40</v>
      </c>
      <c r="B82" s="9" t="s">
        <v>754</v>
      </c>
      <c r="C82" s="9" t="s">
        <v>755</v>
      </c>
      <c r="D82" s="9" t="s">
        <v>756</v>
      </c>
      <c r="E82" s="9" t="s">
        <v>757</v>
      </c>
      <c r="F82" s="9" t="s">
        <v>758</v>
      </c>
      <c r="G82" s="9" t="s">
        <v>759</v>
      </c>
      <c r="L82" s="12">
        <f>$I$30*$L$30</f>
        <v>0</v>
      </c>
      <c r="M82" s="12">
        <f>$I$30*$M$30</f>
        <v>0</v>
      </c>
      <c r="N82" s="12">
        <f ca="1">$I$30*$N$30</f>
        <v>0</v>
      </c>
      <c r="O82" s="12">
        <f>$I$30*$O$30</f>
        <v>0</v>
      </c>
      <c r="P82" s="12">
        <f>$I$30*$P$30</f>
        <v>0</v>
      </c>
      <c r="Q82" s="12">
        <f>$I$30*$Q$30</f>
        <v>0</v>
      </c>
      <c r="R82" s="12">
        <f>$I$30*$R$30</f>
        <v>0</v>
      </c>
      <c r="S82" s="12">
        <f>$I$30*$S$30</f>
        <v>0</v>
      </c>
      <c r="T82" s="12">
        <f>$I$30*$T$30</f>
        <v>0</v>
      </c>
      <c r="U82" s="12">
        <f>$I$30*$U$30</f>
        <v>0</v>
      </c>
      <c r="V82" s="12">
        <f>$I$30*$V$30</f>
        <v>0</v>
      </c>
      <c r="W82" s="12">
        <f>$I$30*$W$30</f>
        <v>0</v>
      </c>
      <c r="X82" s="12">
        <f>$I$30*$X$30</f>
        <v>0</v>
      </c>
      <c r="Y82" s="12">
        <f>$I$30*$Y$30</f>
        <v>0</v>
      </c>
      <c r="Z82" s="12">
        <f>$I$30*$Z$30</f>
        <v>0</v>
      </c>
      <c r="AA82" s="12">
        <f>$I$30*$AA$30</f>
        <v>0</v>
      </c>
      <c r="AB82" s="12">
        <f ca="1">$I$30*$AB$30</f>
        <v>0</v>
      </c>
      <c r="AC82" s="12">
        <f ca="1">$I$30*$AC$30</f>
        <v>0</v>
      </c>
      <c r="AD82" s="12">
        <f>$I$30*$AD$30</f>
        <v>0</v>
      </c>
      <c r="AE82" s="12">
        <f>$I$30*$AE$30</f>
        <v>0</v>
      </c>
      <c r="AF82" s="12">
        <f ca="1">$I$30*$AF$30</f>
        <v>0</v>
      </c>
      <c r="AG82" s="12">
        <f ca="1">$I$30*$AG$30</f>
        <v>0</v>
      </c>
      <c r="AI82" s="12">
        <f>$I$30*$AI$30</f>
        <v>0</v>
      </c>
      <c r="AJ82" s="12">
        <f>$I$30*$AJ$30</f>
        <v>0</v>
      </c>
      <c r="AK82" s="12">
        <f>$I$30*$AK$30</f>
        <v>0</v>
      </c>
      <c r="AL82" s="12">
        <f>$I$30*$AL$30</f>
        <v>0</v>
      </c>
      <c r="AM82" s="12">
        <f>$I$30*$AM$30</f>
        <v>0</v>
      </c>
      <c r="AN82" s="12">
        <f>$I$30*$AN$30</f>
        <v>0</v>
      </c>
      <c r="AO82" s="12">
        <f>$I$30*$AO$30</f>
        <v>0</v>
      </c>
      <c r="AP82" s="12">
        <f>$I$30*$AP$30</f>
        <v>0</v>
      </c>
      <c r="AQ82" s="12">
        <f>$I$30*$AQ$30</f>
        <v>0</v>
      </c>
      <c r="AR82" s="12">
        <f>$I$30*$AR$30</f>
        <v>0</v>
      </c>
      <c r="AS82" s="12">
        <f>$I$30*$AS$30</f>
        <v>0</v>
      </c>
      <c r="AT82" s="12">
        <f>$I$30*$AT$30</f>
        <v>0</v>
      </c>
      <c r="AU82" s="12">
        <f>$I$30*$AU$30</f>
        <v>0</v>
      </c>
      <c r="AV82" s="12">
        <f>$I$30*$AV$30</f>
        <v>0</v>
      </c>
      <c r="AW82" s="12">
        <f>$I$30*$AW$30</f>
        <v>0</v>
      </c>
      <c r="AX82" s="12">
        <f>$I$30*$AX$30</f>
        <v>0</v>
      </c>
      <c r="AY82" s="12">
        <f>$I$30*$AY$30</f>
        <v>0</v>
      </c>
      <c r="AZ82" s="12">
        <f>$I$30*$AZ$30</f>
        <v>0</v>
      </c>
      <c r="BA82" s="12">
        <f>$I$30*$BA$30</f>
        <v>0</v>
      </c>
      <c r="BB82" s="12">
        <f>$I$30*$BB$30</f>
        <v>0</v>
      </c>
      <c r="BC82" s="12">
        <f>$I$30*$BC$30</f>
        <v>0</v>
      </c>
      <c r="BD82" s="12">
        <f>$I$30*$BD$30</f>
        <v>0</v>
      </c>
    </row>
    <row r="83" spans="1:56" ht="11.25" customHeight="1" x14ac:dyDescent="0.25">
      <c r="A83" s="9" t="s">
        <v>40</v>
      </c>
      <c r="B83" s="9" t="s">
        <v>754</v>
      </c>
      <c r="C83" s="9" t="s">
        <v>755</v>
      </c>
      <c r="D83" s="9" t="s">
        <v>756</v>
      </c>
      <c r="E83" s="9" t="s">
        <v>757</v>
      </c>
      <c r="F83" s="9" t="s">
        <v>758</v>
      </c>
      <c r="G83" s="9" t="s">
        <v>760</v>
      </c>
      <c r="L83" s="12">
        <f>$I$31*$L$31</f>
        <v>0</v>
      </c>
      <c r="M83" s="12">
        <f>$I$31*$M$31</f>
        <v>0</v>
      </c>
      <c r="N83" s="12">
        <f ca="1">$I$31*$N$31</f>
        <v>0</v>
      </c>
      <c r="O83" s="12">
        <f>$I$31*$O$31</f>
        <v>0</v>
      </c>
      <c r="P83" s="12">
        <f>$I$31*$P$31</f>
        <v>0</v>
      </c>
      <c r="Q83" s="12">
        <f>$I$31*$Q$31</f>
        <v>0</v>
      </c>
      <c r="R83" s="12">
        <f>$I$31*$R$31</f>
        <v>0</v>
      </c>
      <c r="S83" s="12">
        <f>$I$31*$S$31</f>
        <v>0</v>
      </c>
      <c r="T83" s="12">
        <f>$I$31*$T$31</f>
        <v>0</v>
      </c>
      <c r="U83" s="12">
        <f>$I$31*$U$31</f>
        <v>0</v>
      </c>
      <c r="V83" s="12">
        <f>$I$31*$V$31</f>
        <v>0</v>
      </c>
      <c r="W83" s="12">
        <f>$I$31*$W$31</f>
        <v>0</v>
      </c>
      <c r="X83" s="12">
        <f>$I$31*$X$31</f>
        <v>0</v>
      </c>
      <c r="Y83" s="12">
        <f>$I$31*$Y$31</f>
        <v>0</v>
      </c>
      <c r="Z83" s="12">
        <f>$I$31*$Z$31</f>
        <v>0</v>
      </c>
      <c r="AA83" s="12">
        <f>$I$31*$AA$31</f>
        <v>0</v>
      </c>
      <c r="AB83" s="12">
        <f ca="1">$I$31*$AB$31</f>
        <v>0</v>
      </c>
      <c r="AC83" s="12">
        <f ca="1">$I$31*$AC$31</f>
        <v>0</v>
      </c>
      <c r="AD83" s="12">
        <f>$I$31*$AD$31</f>
        <v>0</v>
      </c>
      <c r="AE83" s="12">
        <f>$I$31*$AE$31</f>
        <v>0</v>
      </c>
      <c r="AF83" s="12">
        <f ca="1">$I$31*$AF$31</f>
        <v>0</v>
      </c>
      <c r="AG83" s="12">
        <f ca="1">$I$31*$AG$31</f>
        <v>0</v>
      </c>
      <c r="AI83" s="12">
        <f>$I$31*$AI$31</f>
        <v>0</v>
      </c>
      <c r="AJ83" s="12">
        <f>$I$31*$AJ$31</f>
        <v>0</v>
      </c>
      <c r="AK83" s="12">
        <f>$I$31*$AK$31</f>
        <v>0</v>
      </c>
      <c r="AL83" s="12">
        <f>$I$31*$AL$31</f>
        <v>0</v>
      </c>
      <c r="AM83" s="12">
        <f>$I$31*$AM$31</f>
        <v>0</v>
      </c>
      <c r="AN83" s="12">
        <f>$I$31*$AN$31</f>
        <v>0</v>
      </c>
      <c r="AO83" s="12">
        <f>$I$31*$AO$31</f>
        <v>0</v>
      </c>
      <c r="AP83" s="12">
        <f>$I$31*$AP$31</f>
        <v>0</v>
      </c>
      <c r="AQ83" s="12">
        <f>$I$31*$AQ$31</f>
        <v>0</v>
      </c>
      <c r="AR83" s="12">
        <f>$I$31*$AR$31</f>
        <v>0</v>
      </c>
      <c r="AS83" s="12">
        <f>$I$31*$AS$31</f>
        <v>0</v>
      </c>
      <c r="AT83" s="12">
        <f>$I$31*$AT$31</f>
        <v>0</v>
      </c>
      <c r="AU83" s="12">
        <f>$I$31*$AU$31</f>
        <v>0</v>
      </c>
      <c r="AV83" s="12">
        <f>$I$31*$AV$31</f>
        <v>0</v>
      </c>
      <c r="AW83" s="12">
        <f>$I$31*$AW$31</f>
        <v>0</v>
      </c>
      <c r="AX83" s="12">
        <f>$I$31*$AX$31</f>
        <v>0</v>
      </c>
      <c r="AY83" s="12">
        <f>$I$31*$AY$31</f>
        <v>0</v>
      </c>
      <c r="AZ83" s="12">
        <f>$I$31*$AZ$31</f>
        <v>0</v>
      </c>
      <c r="BA83" s="12">
        <f>$I$31*$BA$31</f>
        <v>0</v>
      </c>
      <c r="BB83" s="12">
        <f>$I$31*$BB$31</f>
        <v>0</v>
      </c>
      <c r="BC83" s="12">
        <f>$I$31*$BC$31</f>
        <v>0</v>
      </c>
      <c r="BD83" s="12">
        <f>$I$31*$BD$31</f>
        <v>0</v>
      </c>
    </row>
    <row r="84" spans="1:56" ht="11.25" customHeight="1" x14ac:dyDescent="0.25">
      <c r="A84" s="9" t="s">
        <v>40</v>
      </c>
      <c r="B84" s="9" t="s">
        <v>754</v>
      </c>
      <c r="C84" s="9" t="s">
        <v>755</v>
      </c>
      <c r="D84" s="9" t="s">
        <v>756</v>
      </c>
      <c r="E84" s="9" t="s">
        <v>757</v>
      </c>
      <c r="F84" s="9" t="s">
        <v>758</v>
      </c>
      <c r="G84" s="9" t="s">
        <v>761</v>
      </c>
      <c r="L84" s="12">
        <f>$I$32*$L$32</f>
        <v>0</v>
      </c>
      <c r="M84" s="12">
        <f>$I$32*$M$32</f>
        <v>0</v>
      </c>
      <c r="N84" s="12">
        <f ca="1">$I$32*$N$32</f>
        <v>0</v>
      </c>
      <c r="O84" s="12">
        <f>$I$32*$O$32</f>
        <v>0</v>
      </c>
      <c r="P84" s="12">
        <f>$I$32*$P$32</f>
        <v>0</v>
      </c>
      <c r="Q84" s="12">
        <f>$I$32*$Q$32</f>
        <v>0</v>
      </c>
      <c r="R84" s="12">
        <f>$I$32*$R$32</f>
        <v>0</v>
      </c>
      <c r="S84" s="12">
        <f>$I$32*$S$32</f>
        <v>0</v>
      </c>
      <c r="T84" s="12">
        <f>$I$32*$T$32</f>
        <v>0</v>
      </c>
      <c r="U84" s="12">
        <f>$I$32*$U$32</f>
        <v>0</v>
      </c>
      <c r="V84" s="12">
        <f>$I$32*$V$32</f>
        <v>0</v>
      </c>
      <c r="W84" s="12">
        <f>$I$32*$W$32</f>
        <v>0</v>
      </c>
      <c r="X84" s="12">
        <f>$I$32*$X$32</f>
        <v>0</v>
      </c>
      <c r="Y84" s="12">
        <f>$I$32*$Y$32</f>
        <v>0</v>
      </c>
      <c r="Z84" s="12">
        <f>$I$32*$Z$32</f>
        <v>0</v>
      </c>
      <c r="AA84" s="12">
        <f>$I$32*$AA$32</f>
        <v>0</v>
      </c>
      <c r="AB84" s="12">
        <f ca="1">$I$32*$AB$32</f>
        <v>0</v>
      </c>
      <c r="AC84" s="12">
        <f ca="1">$I$32*$AC$32</f>
        <v>0</v>
      </c>
      <c r="AD84" s="12">
        <f>$I$32*$AD$32</f>
        <v>0</v>
      </c>
      <c r="AE84" s="12">
        <f>$I$32*$AE$32</f>
        <v>0</v>
      </c>
      <c r="AF84" s="12">
        <f ca="1">$I$32*$AF$32</f>
        <v>0</v>
      </c>
      <c r="AG84" s="12">
        <f ca="1">$I$32*$AG$32</f>
        <v>0</v>
      </c>
      <c r="AI84" s="12">
        <f>$I$32*$AI$32</f>
        <v>0</v>
      </c>
      <c r="AJ84" s="12">
        <f>$I$32*$AJ$32</f>
        <v>0</v>
      </c>
      <c r="AK84" s="12">
        <f>$I$32*$AK$32</f>
        <v>0</v>
      </c>
      <c r="AL84" s="12">
        <f>$I$32*$AL$32</f>
        <v>0</v>
      </c>
      <c r="AM84" s="12">
        <f>$I$32*$AM$32</f>
        <v>0</v>
      </c>
      <c r="AN84" s="12">
        <f>$I$32*$AN$32</f>
        <v>0</v>
      </c>
      <c r="AO84" s="12">
        <f>$I$32*$AO$32</f>
        <v>0</v>
      </c>
      <c r="AP84" s="12">
        <f>$I$32*$AP$32</f>
        <v>0</v>
      </c>
      <c r="AQ84" s="12">
        <f>$I$32*$AQ$32</f>
        <v>0</v>
      </c>
      <c r="AR84" s="12">
        <f>$I$32*$AR$32</f>
        <v>0</v>
      </c>
      <c r="AS84" s="12">
        <f>$I$32*$AS$32</f>
        <v>0</v>
      </c>
      <c r="AT84" s="12">
        <f>$I$32*$AT$32</f>
        <v>0</v>
      </c>
      <c r="AU84" s="12">
        <f>$I$32*$AU$32</f>
        <v>0</v>
      </c>
      <c r="AV84" s="12">
        <f>$I$32*$AV$32</f>
        <v>0</v>
      </c>
      <c r="AW84" s="12">
        <f>$I$32*$AW$32</f>
        <v>0</v>
      </c>
      <c r="AX84" s="12">
        <f>$I$32*$AX$32</f>
        <v>0</v>
      </c>
      <c r="AY84" s="12">
        <f>$I$32*$AY$32</f>
        <v>0</v>
      </c>
      <c r="AZ84" s="12">
        <f>$I$32*$AZ$32</f>
        <v>0</v>
      </c>
      <c r="BA84" s="12">
        <f>$I$32*$BA$32</f>
        <v>0</v>
      </c>
      <c r="BB84" s="12">
        <f>$I$32*$BB$32</f>
        <v>0</v>
      </c>
      <c r="BC84" s="12">
        <f>$I$32*$BC$32</f>
        <v>0</v>
      </c>
      <c r="BD84" s="12">
        <f>$I$32*$BD$32</f>
        <v>0</v>
      </c>
    </row>
    <row r="85" spans="1:56" ht="11.25" customHeight="1" x14ac:dyDescent="0.25">
      <c r="A85" s="9" t="s">
        <v>40</v>
      </c>
      <c r="B85" s="9" t="s">
        <v>762</v>
      </c>
      <c r="C85" s="9" t="s">
        <v>763</v>
      </c>
      <c r="D85" s="9" t="s">
        <v>764</v>
      </c>
      <c r="E85" s="9" t="s">
        <v>765</v>
      </c>
      <c r="F85" s="9" t="s">
        <v>766</v>
      </c>
      <c r="G85" s="9" t="s">
        <v>767</v>
      </c>
      <c r="L85" s="12">
        <f>$I$33*$L$33</f>
        <v>0</v>
      </c>
      <c r="M85" s="12">
        <f>$I$33*$M$33</f>
        <v>106603.8746297906</v>
      </c>
      <c r="N85" s="12">
        <f ca="1">$I$33*$N$33</f>
        <v>0</v>
      </c>
      <c r="O85" s="12">
        <f>$I$33*$O$33</f>
        <v>0</v>
      </c>
      <c r="P85" s="12">
        <f>$I$33*$P$33</f>
        <v>0</v>
      </c>
      <c r="Q85" s="12">
        <f>$I$33*$Q$33</f>
        <v>3932488.8124438529</v>
      </c>
      <c r="R85" s="12">
        <f>$I$33*$R$33</f>
        <v>622157.71423337969</v>
      </c>
      <c r="S85" s="12">
        <f>$I$33*$S$33</f>
        <v>0</v>
      </c>
      <c r="T85" s="12">
        <f>$I$33*$T$33</f>
        <v>0</v>
      </c>
      <c r="U85" s="12">
        <f>$I$33*$U$33</f>
        <v>0</v>
      </c>
      <c r="V85" s="12">
        <f>$I$33*$V$33</f>
        <v>0</v>
      </c>
      <c r="W85" s="12">
        <f>$I$33*$W$33</f>
        <v>0</v>
      </c>
      <c r="X85" s="12">
        <f>$I$33*$X$33</f>
        <v>6514490.1208421076</v>
      </c>
      <c r="Y85" s="12">
        <f>$I$33*$Y$33</f>
        <v>0</v>
      </c>
      <c r="Z85" s="12">
        <f>$I$33*$Z$33</f>
        <v>0</v>
      </c>
      <c r="AA85" s="12">
        <f>$I$33*$AA$33</f>
        <v>9398789.4157514125</v>
      </c>
      <c r="AB85" s="12">
        <f ca="1">$I$33*$AB$33</f>
        <v>0</v>
      </c>
      <c r="AC85" s="12">
        <f ca="1">$I$33*$AC$33</f>
        <v>0</v>
      </c>
      <c r="AD85" s="12">
        <f>$I$33*$AD$33</f>
        <v>1341525.8025473303</v>
      </c>
      <c r="AE85" s="12">
        <f>$I$33*$AE$33</f>
        <v>0</v>
      </c>
      <c r="AF85" s="12">
        <f ca="1">$I$33*$AF$33</f>
        <v>0</v>
      </c>
      <c r="AG85" s="12">
        <f ca="1">$I$33*$AG$33</f>
        <v>0</v>
      </c>
      <c r="AI85" s="12">
        <f>$I$33*$AI$33</f>
        <v>0</v>
      </c>
      <c r="AJ85" s="12">
        <f>$I$33*$AJ$33</f>
        <v>95348.824293711456</v>
      </c>
      <c r="AK85" s="12">
        <f>$I$33*$AK$33</f>
        <v>0</v>
      </c>
      <c r="AL85" s="12">
        <f>$I$33*$AL$33</f>
        <v>0</v>
      </c>
      <c r="AM85" s="12">
        <f>$I$33*$AM$33</f>
        <v>0</v>
      </c>
      <c r="AN85" s="12">
        <f>$I$33*$AN$33</f>
        <v>2525639.146264459</v>
      </c>
      <c r="AO85" s="12">
        <f>$I$33*$AO$33</f>
        <v>391994.11357656185</v>
      </c>
      <c r="AP85" s="12">
        <f>$I$33*$AP$33</f>
        <v>0</v>
      </c>
      <c r="AQ85" s="12">
        <f>$I$33*$AQ$33</f>
        <v>0</v>
      </c>
      <c r="AR85" s="12">
        <f>$I$33*$AR$33</f>
        <v>0</v>
      </c>
      <c r="AS85" s="12">
        <f>$I$33*$AS$33</f>
        <v>0</v>
      </c>
      <c r="AT85" s="12">
        <f>$I$33*$AT$33</f>
        <v>0</v>
      </c>
      <c r="AU85" s="12">
        <f>$I$33*$AU$33</f>
        <v>5180426.5604065889</v>
      </c>
      <c r="AV85" s="12">
        <f>$I$33*$AV$33</f>
        <v>0</v>
      </c>
      <c r="AW85" s="12">
        <f>$I$33*$AW$33</f>
        <v>0</v>
      </c>
      <c r="AX85" s="12">
        <f>$I$33*$AX$33</f>
        <v>8248410.0613331497</v>
      </c>
      <c r="AY85" s="12">
        <f>$I$33*$AY$33</f>
        <v>0</v>
      </c>
      <c r="AZ85" s="12">
        <f>$I$33*$AZ$33</f>
        <v>0</v>
      </c>
      <c r="BA85" s="12">
        <f>$I$33*$BA$33</f>
        <v>1463295.8358463382</v>
      </c>
      <c r="BB85" s="12">
        <f>$I$33*$BB$33</f>
        <v>0</v>
      </c>
      <c r="BC85" s="12">
        <f>$I$33*$BC$33</f>
        <v>0</v>
      </c>
      <c r="BD85" s="12">
        <f>$I$33*$BD$33</f>
        <v>0</v>
      </c>
    </row>
    <row r="86" spans="1:56" ht="11.25" customHeight="1" x14ac:dyDescent="0.25">
      <c r="A86" s="9" t="s">
        <v>40</v>
      </c>
      <c r="B86" s="9" t="s">
        <v>754</v>
      </c>
      <c r="C86" s="9" t="s">
        <v>755</v>
      </c>
      <c r="D86" s="9" t="s">
        <v>768</v>
      </c>
      <c r="E86" s="9" t="s">
        <v>769</v>
      </c>
      <c r="F86" s="9" t="s">
        <v>770</v>
      </c>
      <c r="G86" s="9" t="s">
        <v>771</v>
      </c>
      <c r="L86" s="12">
        <f>$I$34*$L$34</f>
        <v>0</v>
      </c>
      <c r="M86" s="12">
        <f>$I$34*$M$34</f>
        <v>0</v>
      </c>
      <c r="N86" s="12">
        <f ca="1">$I$34*$N$34</f>
        <v>0</v>
      </c>
      <c r="O86" s="12">
        <f>$I$34*$O$34</f>
        <v>0</v>
      </c>
      <c r="P86" s="12">
        <f>$I$34*$P$34</f>
        <v>0</v>
      </c>
      <c r="Q86" s="12">
        <f>$I$34*$Q$34</f>
        <v>0</v>
      </c>
      <c r="R86" s="12">
        <f>$I$34*$R$34</f>
        <v>0</v>
      </c>
      <c r="S86" s="12">
        <f>$I$34*$S$34</f>
        <v>0</v>
      </c>
      <c r="T86" s="12">
        <f>$I$34*$T$34</f>
        <v>0</v>
      </c>
      <c r="U86" s="12">
        <f>$I$34*$U$34</f>
        <v>0</v>
      </c>
      <c r="V86" s="12">
        <f>$I$34*$V$34</f>
        <v>0</v>
      </c>
      <c r="W86" s="12">
        <f>$I$34*$W$34</f>
        <v>0</v>
      </c>
      <c r="X86" s="12">
        <f>$I$34*$X$34</f>
        <v>0</v>
      </c>
      <c r="Y86" s="12">
        <f>$I$34*$Y$34</f>
        <v>0</v>
      </c>
      <c r="Z86" s="12">
        <f>$I$34*$Z$34</f>
        <v>0</v>
      </c>
      <c r="AA86" s="12">
        <f>$I$34*$AA$34</f>
        <v>0</v>
      </c>
      <c r="AB86" s="12">
        <f ca="1">$I$34*$AB$34</f>
        <v>0</v>
      </c>
      <c r="AC86" s="12">
        <f ca="1">$I$34*$AC$34</f>
        <v>0</v>
      </c>
      <c r="AD86" s="12">
        <f>$I$34*$AD$34</f>
        <v>0</v>
      </c>
      <c r="AE86" s="12">
        <f>$I$34*$AE$34</f>
        <v>0</v>
      </c>
      <c r="AF86" s="12">
        <f ca="1">$I$34*$AF$34</f>
        <v>0</v>
      </c>
      <c r="AG86" s="12">
        <f ca="1">$I$34*$AG$34</f>
        <v>0</v>
      </c>
      <c r="AI86" s="12">
        <f>$I$34*$AI$34</f>
        <v>0</v>
      </c>
      <c r="AJ86" s="12">
        <f>$I$34*$AJ$34</f>
        <v>0</v>
      </c>
      <c r="AK86" s="12">
        <f>$I$34*$AK$34</f>
        <v>0</v>
      </c>
      <c r="AL86" s="12">
        <f>$I$34*$AL$34</f>
        <v>0</v>
      </c>
      <c r="AM86" s="12">
        <f>$I$34*$AM$34</f>
        <v>0</v>
      </c>
      <c r="AN86" s="12">
        <f>$I$34*$AN$34</f>
        <v>0</v>
      </c>
      <c r="AO86" s="12">
        <f>$I$34*$AO$34</f>
        <v>0</v>
      </c>
      <c r="AP86" s="12">
        <f>$I$34*$AP$34</f>
        <v>0</v>
      </c>
      <c r="AQ86" s="12">
        <f>$I$34*$AQ$34</f>
        <v>0</v>
      </c>
      <c r="AR86" s="12">
        <f>$I$34*$AR$34</f>
        <v>0</v>
      </c>
      <c r="AS86" s="12">
        <f>$I$34*$AS$34</f>
        <v>0</v>
      </c>
      <c r="AT86" s="12">
        <f>$I$34*$AT$34</f>
        <v>0</v>
      </c>
      <c r="AU86" s="12">
        <f>$I$34*$AU$34</f>
        <v>0</v>
      </c>
      <c r="AV86" s="12">
        <f>$I$34*$AV$34</f>
        <v>0</v>
      </c>
      <c r="AW86" s="12">
        <f>$I$34*$AW$34</f>
        <v>0</v>
      </c>
      <c r="AX86" s="12">
        <f>$I$34*$AX$34</f>
        <v>0</v>
      </c>
      <c r="AY86" s="12">
        <f>$I$34*$AY$34</f>
        <v>0</v>
      </c>
      <c r="AZ86" s="12">
        <f>$I$34*$AZ$34</f>
        <v>0</v>
      </c>
      <c r="BA86" s="12">
        <f>$I$34*$BA$34</f>
        <v>0</v>
      </c>
      <c r="BB86" s="12">
        <f>$I$34*$BB$34</f>
        <v>0</v>
      </c>
      <c r="BC86" s="12">
        <f>$I$34*$BC$34</f>
        <v>0</v>
      </c>
      <c r="BD86" s="12">
        <f>$I$34*$BD$34</f>
        <v>0</v>
      </c>
    </row>
    <row r="87" spans="1:56" ht="11.25" customHeight="1" x14ac:dyDescent="0.25">
      <c r="A87" s="9" t="s">
        <v>40</v>
      </c>
      <c r="B87" s="9" t="s">
        <v>754</v>
      </c>
      <c r="C87" s="9" t="s">
        <v>755</v>
      </c>
      <c r="D87" s="9" t="s">
        <v>768</v>
      </c>
      <c r="E87" s="9" t="s">
        <v>769</v>
      </c>
      <c r="F87" s="9" t="s">
        <v>770</v>
      </c>
      <c r="G87" s="9" t="s">
        <v>772</v>
      </c>
      <c r="L87" s="12">
        <f>$I$35*$L$35</f>
        <v>0</v>
      </c>
      <c r="M87" s="12">
        <f>$I$35*$M$35</f>
        <v>0</v>
      </c>
      <c r="N87" s="12">
        <f ca="1">$I$35*$N$35</f>
        <v>0</v>
      </c>
      <c r="O87" s="12">
        <f>$I$35*$O$35</f>
        <v>0</v>
      </c>
      <c r="P87" s="12">
        <f>$I$35*$P$35</f>
        <v>0</v>
      </c>
      <c r="Q87" s="12">
        <f>$I$35*$Q$35</f>
        <v>0</v>
      </c>
      <c r="R87" s="12">
        <f>$I$35*$R$35</f>
        <v>0</v>
      </c>
      <c r="S87" s="12">
        <f>$I$35*$S$35</f>
        <v>0</v>
      </c>
      <c r="T87" s="12">
        <f>$I$35*$T$35</f>
        <v>0</v>
      </c>
      <c r="U87" s="12">
        <f>$I$35*$U$35</f>
        <v>0</v>
      </c>
      <c r="V87" s="12">
        <f>$I$35*$V$35</f>
        <v>0</v>
      </c>
      <c r="W87" s="12">
        <f>$I$35*$W$35</f>
        <v>0</v>
      </c>
      <c r="X87" s="12">
        <f>$I$35*$X$35</f>
        <v>0</v>
      </c>
      <c r="Y87" s="12">
        <f>$I$35*$Y$35</f>
        <v>0</v>
      </c>
      <c r="Z87" s="12">
        <f>$I$35*$Z$35</f>
        <v>0</v>
      </c>
      <c r="AA87" s="12">
        <f>$I$35*$AA$35</f>
        <v>0</v>
      </c>
      <c r="AB87" s="12">
        <f ca="1">$I$35*$AB$35</f>
        <v>0</v>
      </c>
      <c r="AC87" s="12">
        <f ca="1">$I$35*$AC$35</f>
        <v>0</v>
      </c>
      <c r="AD87" s="12">
        <f>$I$35*$AD$35</f>
        <v>0</v>
      </c>
      <c r="AE87" s="12">
        <f>$I$35*$AE$35</f>
        <v>0</v>
      </c>
      <c r="AF87" s="12">
        <f ca="1">$I$35*$AF$35</f>
        <v>0</v>
      </c>
      <c r="AG87" s="12">
        <f ca="1">$I$35*$AG$35</f>
        <v>0</v>
      </c>
      <c r="AI87" s="12">
        <f>$I$35*$AI$35</f>
        <v>0</v>
      </c>
      <c r="AJ87" s="12">
        <f>$I$35*$AJ$35</f>
        <v>0</v>
      </c>
      <c r="AK87" s="12">
        <f>$I$35*$AK$35</f>
        <v>0</v>
      </c>
      <c r="AL87" s="12">
        <f>$I$35*$AL$35</f>
        <v>0</v>
      </c>
      <c r="AM87" s="12">
        <f>$I$35*$AM$35</f>
        <v>0</v>
      </c>
      <c r="AN87" s="12">
        <f>$I$35*$AN$35</f>
        <v>0</v>
      </c>
      <c r="AO87" s="12">
        <f>$I$35*$AO$35</f>
        <v>0</v>
      </c>
      <c r="AP87" s="12">
        <f>$I$35*$AP$35</f>
        <v>0</v>
      </c>
      <c r="AQ87" s="12">
        <f>$I$35*$AQ$35</f>
        <v>0</v>
      </c>
      <c r="AR87" s="12">
        <f>$I$35*$AR$35</f>
        <v>0</v>
      </c>
      <c r="AS87" s="12">
        <f>$I$35*$AS$35</f>
        <v>0</v>
      </c>
      <c r="AT87" s="12">
        <f>$I$35*$AT$35</f>
        <v>0</v>
      </c>
      <c r="AU87" s="12">
        <f>$I$35*$AU$35</f>
        <v>0</v>
      </c>
      <c r="AV87" s="12">
        <f>$I$35*$AV$35</f>
        <v>0</v>
      </c>
      <c r="AW87" s="12">
        <f>$I$35*$AW$35</f>
        <v>0</v>
      </c>
      <c r="AX87" s="12">
        <f>$I$35*$AX$35</f>
        <v>0</v>
      </c>
      <c r="AY87" s="12">
        <f>$I$35*$AY$35</f>
        <v>0</v>
      </c>
      <c r="AZ87" s="12">
        <f>$I$35*$AZ$35</f>
        <v>0</v>
      </c>
      <c r="BA87" s="12">
        <f>$I$35*$BA$35</f>
        <v>0</v>
      </c>
      <c r="BB87" s="12">
        <f>$I$35*$BB$35</f>
        <v>0</v>
      </c>
      <c r="BC87" s="12">
        <f>$I$35*$BC$35</f>
        <v>0</v>
      </c>
      <c r="BD87" s="12">
        <f>$I$35*$BD$35</f>
        <v>0</v>
      </c>
    </row>
    <row r="88" spans="1:56" ht="11.25" customHeight="1" x14ac:dyDescent="0.25">
      <c r="A88" s="9" t="s">
        <v>40</v>
      </c>
      <c r="B88" s="9" t="s">
        <v>754</v>
      </c>
      <c r="C88" s="9" t="s">
        <v>755</v>
      </c>
      <c r="D88" s="9" t="s">
        <v>768</v>
      </c>
      <c r="E88" s="9" t="s">
        <v>769</v>
      </c>
      <c r="F88" s="9" t="s">
        <v>770</v>
      </c>
      <c r="G88" s="9" t="s">
        <v>773</v>
      </c>
      <c r="L88" s="12">
        <f>$I$36*$L$36</f>
        <v>0</v>
      </c>
      <c r="M88" s="12">
        <f>$I$36*$M$36</f>
        <v>0</v>
      </c>
      <c r="N88" s="12">
        <f ca="1">$I$36*$N$36</f>
        <v>0</v>
      </c>
      <c r="O88" s="12">
        <f>$I$36*$O$36</f>
        <v>0</v>
      </c>
      <c r="P88" s="12">
        <f>$I$36*$P$36</f>
        <v>0</v>
      </c>
      <c r="Q88" s="12">
        <f>$I$36*$Q$36</f>
        <v>0</v>
      </c>
      <c r="R88" s="12">
        <f>$I$36*$R$36</f>
        <v>0</v>
      </c>
      <c r="S88" s="12">
        <f>$I$36*$S$36</f>
        <v>0</v>
      </c>
      <c r="T88" s="12">
        <f>$I$36*$T$36</f>
        <v>0</v>
      </c>
      <c r="U88" s="12">
        <f>$I$36*$U$36</f>
        <v>0</v>
      </c>
      <c r="V88" s="12">
        <f>$I$36*$V$36</f>
        <v>0</v>
      </c>
      <c r="W88" s="12">
        <f>$I$36*$W$36</f>
        <v>0</v>
      </c>
      <c r="X88" s="12">
        <f>$I$36*$X$36</f>
        <v>0</v>
      </c>
      <c r="Y88" s="12">
        <f>$I$36*$Y$36</f>
        <v>0</v>
      </c>
      <c r="Z88" s="12">
        <f>$I$36*$Z$36</f>
        <v>0</v>
      </c>
      <c r="AA88" s="12">
        <f>$I$36*$AA$36</f>
        <v>0</v>
      </c>
      <c r="AB88" s="12">
        <f ca="1">$I$36*$AB$36</f>
        <v>0</v>
      </c>
      <c r="AC88" s="12">
        <f ca="1">$I$36*$AC$36</f>
        <v>0</v>
      </c>
      <c r="AD88" s="12">
        <f>$I$36*$AD$36</f>
        <v>0</v>
      </c>
      <c r="AE88" s="12">
        <f>$I$36*$AE$36</f>
        <v>0</v>
      </c>
      <c r="AF88" s="12">
        <f ca="1">$I$36*$AF$36</f>
        <v>0</v>
      </c>
      <c r="AG88" s="12">
        <f ca="1">$I$36*$AG$36</f>
        <v>0</v>
      </c>
      <c r="AI88" s="12">
        <f>$I$36*$AI$36</f>
        <v>0</v>
      </c>
      <c r="AJ88" s="12">
        <f>$I$36*$AJ$36</f>
        <v>0</v>
      </c>
      <c r="AK88" s="12">
        <f>$I$36*$AK$36</f>
        <v>0</v>
      </c>
      <c r="AL88" s="12">
        <f>$I$36*$AL$36</f>
        <v>0</v>
      </c>
      <c r="AM88" s="12">
        <f>$I$36*$AM$36</f>
        <v>0</v>
      </c>
      <c r="AN88" s="12">
        <f>$I$36*$AN$36</f>
        <v>0</v>
      </c>
      <c r="AO88" s="12">
        <f>$I$36*$AO$36</f>
        <v>0</v>
      </c>
      <c r="AP88" s="12">
        <f>$I$36*$AP$36</f>
        <v>0</v>
      </c>
      <c r="AQ88" s="12">
        <f>$I$36*$AQ$36</f>
        <v>0</v>
      </c>
      <c r="AR88" s="12">
        <f>$I$36*$AR$36</f>
        <v>0</v>
      </c>
      <c r="AS88" s="12">
        <f>$I$36*$AS$36</f>
        <v>0</v>
      </c>
      <c r="AT88" s="12">
        <f>$I$36*$AT$36</f>
        <v>0</v>
      </c>
      <c r="AU88" s="12">
        <f>$I$36*$AU$36</f>
        <v>0</v>
      </c>
      <c r="AV88" s="12">
        <f>$I$36*$AV$36</f>
        <v>0</v>
      </c>
      <c r="AW88" s="12">
        <f>$I$36*$AW$36</f>
        <v>0</v>
      </c>
      <c r="AX88" s="12">
        <f>$I$36*$AX$36</f>
        <v>0</v>
      </c>
      <c r="AY88" s="12">
        <f>$I$36*$AY$36</f>
        <v>0</v>
      </c>
      <c r="AZ88" s="12">
        <f>$I$36*$AZ$36</f>
        <v>0</v>
      </c>
      <c r="BA88" s="12">
        <f>$I$36*$BA$36</f>
        <v>0</v>
      </c>
      <c r="BB88" s="12">
        <f>$I$36*$BB$36</f>
        <v>0</v>
      </c>
      <c r="BC88" s="12">
        <f>$I$36*$BC$36</f>
        <v>0</v>
      </c>
      <c r="BD88" s="12">
        <f>$I$36*$BD$36</f>
        <v>0</v>
      </c>
    </row>
    <row r="89" spans="1:56" ht="11.25" customHeight="1" x14ac:dyDescent="0.25">
      <c r="A89" s="9" t="s">
        <v>40</v>
      </c>
      <c r="B89" s="9" t="s">
        <v>762</v>
      </c>
      <c r="C89" s="9" t="s">
        <v>763</v>
      </c>
      <c r="D89" s="9" t="s">
        <v>774</v>
      </c>
      <c r="E89" s="9" t="s">
        <v>775</v>
      </c>
      <c r="F89" s="9" t="s">
        <v>776</v>
      </c>
      <c r="G89" s="9" t="s">
        <v>777</v>
      </c>
      <c r="L89" s="12">
        <f>$I$37*$L$37</f>
        <v>0</v>
      </c>
      <c r="M89" s="12">
        <f>$I$37*$M$37</f>
        <v>0</v>
      </c>
      <c r="N89" s="12">
        <f ca="1">$I$37*$N$37</f>
        <v>0</v>
      </c>
      <c r="O89" s="12">
        <f>$I$37*$O$37</f>
        <v>0</v>
      </c>
      <c r="P89" s="12">
        <f>$I$37*$P$37</f>
        <v>0</v>
      </c>
      <c r="Q89" s="12">
        <f>$I$37*$Q$37</f>
        <v>0</v>
      </c>
      <c r="R89" s="12">
        <f>$I$37*$R$37</f>
        <v>0</v>
      </c>
      <c r="S89" s="12">
        <f>$I$37*$S$37</f>
        <v>0</v>
      </c>
      <c r="T89" s="12">
        <f>$I$37*$T$37</f>
        <v>0</v>
      </c>
      <c r="U89" s="12">
        <f>$I$37*$U$37</f>
        <v>0</v>
      </c>
      <c r="V89" s="12">
        <f>$I$37*$V$37</f>
        <v>0</v>
      </c>
      <c r="W89" s="12">
        <f>$I$37*$W$37</f>
        <v>0</v>
      </c>
      <c r="X89" s="12">
        <f>$I$37*$X$37</f>
        <v>0</v>
      </c>
      <c r="Y89" s="12">
        <f>$I$37*$Y$37</f>
        <v>0</v>
      </c>
      <c r="Z89" s="12">
        <f>$I$37*$Z$37</f>
        <v>0</v>
      </c>
      <c r="AA89" s="12">
        <f>$I$37*$AA$37</f>
        <v>0</v>
      </c>
      <c r="AB89" s="12">
        <f ca="1">$I$37*$AB$37</f>
        <v>0</v>
      </c>
      <c r="AC89" s="12">
        <f ca="1">$I$37*$AC$37</f>
        <v>0</v>
      </c>
      <c r="AD89" s="12">
        <f>$I$37*$AD$37</f>
        <v>0</v>
      </c>
      <c r="AE89" s="12">
        <f>$I$37*$AE$37</f>
        <v>0</v>
      </c>
      <c r="AF89" s="12">
        <f ca="1">$I$37*$AF$37</f>
        <v>0</v>
      </c>
      <c r="AG89" s="12">
        <f ca="1">$I$37*$AG$37</f>
        <v>0</v>
      </c>
      <c r="AI89" s="12">
        <f>$I$37*$AI$37</f>
        <v>0</v>
      </c>
      <c r="AJ89" s="12">
        <f>$I$37*$AJ$37</f>
        <v>0</v>
      </c>
      <c r="AK89" s="12">
        <f>$I$37*$AK$37</f>
        <v>0</v>
      </c>
      <c r="AL89" s="12">
        <f>$I$37*$AL$37</f>
        <v>0</v>
      </c>
      <c r="AM89" s="12">
        <f>$I$37*$AM$37</f>
        <v>0</v>
      </c>
      <c r="AN89" s="12">
        <f>$I$37*$AN$37</f>
        <v>0</v>
      </c>
      <c r="AO89" s="12">
        <f>$I$37*$AO$37</f>
        <v>0</v>
      </c>
      <c r="AP89" s="12">
        <f>$I$37*$AP$37</f>
        <v>0</v>
      </c>
      <c r="AQ89" s="12">
        <f>$I$37*$AQ$37</f>
        <v>0</v>
      </c>
      <c r="AR89" s="12">
        <f>$I$37*$AR$37</f>
        <v>0</v>
      </c>
      <c r="AS89" s="12">
        <f>$I$37*$AS$37</f>
        <v>0</v>
      </c>
      <c r="AT89" s="12">
        <f>$I$37*$AT$37</f>
        <v>0</v>
      </c>
      <c r="AU89" s="12">
        <f>$I$37*$AU$37</f>
        <v>0</v>
      </c>
      <c r="AV89" s="12">
        <f>$I$37*$AV$37</f>
        <v>0</v>
      </c>
      <c r="AW89" s="12">
        <f>$I$37*$AW$37</f>
        <v>0</v>
      </c>
      <c r="AX89" s="12">
        <f>$I$37*$AX$37</f>
        <v>0</v>
      </c>
      <c r="AY89" s="12">
        <f>$I$37*$AY$37</f>
        <v>0</v>
      </c>
      <c r="AZ89" s="12">
        <f>$I$37*$AZ$37</f>
        <v>0</v>
      </c>
      <c r="BA89" s="12">
        <f>$I$37*$BA$37</f>
        <v>0</v>
      </c>
      <c r="BB89" s="12">
        <f>$I$37*$BB$37</f>
        <v>0</v>
      </c>
      <c r="BC89" s="12">
        <f>$I$37*$BC$37</f>
        <v>0</v>
      </c>
      <c r="BD89" s="12">
        <f>$I$37*$BD$37</f>
        <v>0</v>
      </c>
    </row>
    <row r="90" spans="1:56" ht="11.25" customHeight="1" x14ac:dyDescent="0.25">
      <c r="A90" s="9" t="s">
        <v>40</v>
      </c>
      <c r="B90" s="9" t="s">
        <v>754</v>
      </c>
      <c r="C90" s="9" t="s">
        <v>755</v>
      </c>
      <c r="D90" s="9" t="s">
        <v>778</v>
      </c>
      <c r="E90" s="9" t="s">
        <v>779</v>
      </c>
      <c r="F90" s="9" t="s">
        <v>780</v>
      </c>
      <c r="G90" s="9" t="s">
        <v>781</v>
      </c>
      <c r="L90" s="12">
        <f>$I$38*$L$38</f>
        <v>0</v>
      </c>
      <c r="M90" s="12">
        <f>$I$38*$M$38</f>
        <v>0</v>
      </c>
      <c r="N90" s="12">
        <f ca="1">$I$38*$N$38</f>
        <v>0</v>
      </c>
      <c r="O90" s="12">
        <f>$I$38*$O$38</f>
        <v>0</v>
      </c>
      <c r="P90" s="12">
        <f>$I$38*$P$38</f>
        <v>0</v>
      </c>
      <c r="Q90" s="12">
        <f>$I$38*$Q$38</f>
        <v>0</v>
      </c>
      <c r="R90" s="12">
        <f>$I$38*$R$38</f>
        <v>0</v>
      </c>
      <c r="S90" s="12">
        <f>$I$38*$S$38</f>
        <v>0</v>
      </c>
      <c r="T90" s="12">
        <f>$I$38*$T$38</f>
        <v>0</v>
      </c>
      <c r="U90" s="12">
        <f>$I$38*$U$38</f>
        <v>0</v>
      </c>
      <c r="V90" s="12">
        <f>$I$38*$V$38</f>
        <v>0</v>
      </c>
      <c r="W90" s="12">
        <f>$I$38*$W$38</f>
        <v>0</v>
      </c>
      <c r="X90" s="12">
        <f>$I$38*$X$38</f>
        <v>0</v>
      </c>
      <c r="Y90" s="12">
        <f>$I$38*$Y$38</f>
        <v>0</v>
      </c>
      <c r="Z90" s="12">
        <f>$I$38*$Z$38</f>
        <v>0</v>
      </c>
      <c r="AA90" s="12">
        <f>$I$38*$AA$38</f>
        <v>0</v>
      </c>
      <c r="AB90" s="12">
        <f ca="1">$I$38*$AB$38</f>
        <v>0</v>
      </c>
      <c r="AC90" s="12">
        <f ca="1">$I$38*$AC$38</f>
        <v>0</v>
      </c>
      <c r="AD90" s="12">
        <f>$I$38*$AD$38</f>
        <v>0</v>
      </c>
      <c r="AE90" s="12">
        <f>$I$38*$AE$38</f>
        <v>0</v>
      </c>
      <c r="AF90" s="12">
        <f ca="1">$I$38*$AF$38</f>
        <v>0</v>
      </c>
      <c r="AG90" s="12">
        <f ca="1">$I$38*$AG$38</f>
        <v>0</v>
      </c>
      <c r="AI90" s="12">
        <f>$I$38*$AI$38</f>
        <v>0</v>
      </c>
      <c r="AJ90" s="12">
        <f>$I$38*$AJ$38</f>
        <v>0</v>
      </c>
      <c r="AK90" s="12">
        <f>$I$38*$AK$38</f>
        <v>0</v>
      </c>
      <c r="AL90" s="12">
        <f>$I$38*$AL$38</f>
        <v>0</v>
      </c>
      <c r="AM90" s="12">
        <f>$I$38*$AM$38</f>
        <v>0</v>
      </c>
      <c r="AN90" s="12">
        <f>$I$38*$AN$38</f>
        <v>0</v>
      </c>
      <c r="AO90" s="12">
        <f>$I$38*$AO$38</f>
        <v>0</v>
      </c>
      <c r="AP90" s="12">
        <f>$I$38*$AP$38</f>
        <v>0</v>
      </c>
      <c r="AQ90" s="12">
        <f>$I$38*$AQ$38</f>
        <v>0</v>
      </c>
      <c r="AR90" s="12">
        <f>$I$38*$AR$38</f>
        <v>0</v>
      </c>
      <c r="AS90" s="12">
        <f>$I$38*$AS$38</f>
        <v>0</v>
      </c>
      <c r="AT90" s="12">
        <f>$I$38*$AT$38</f>
        <v>0</v>
      </c>
      <c r="AU90" s="12">
        <f>$I$38*$AU$38</f>
        <v>0</v>
      </c>
      <c r="AV90" s="12">
        <f>$I$38*$AV$38</f>
        <v>0</v>
      </c>
      <c r="AW90" s="12">
        <f>$I$38*$AW$38</f>
        <v>0</v>
      </c>
      <c r="AX90" s="12">
        <f>$I$38*$AX$38</f>
        <v>0</v>
      </c>
      <c r="AY90" s="12">
        <f>$I$38*$AY$38</f>
        <v>0</v>
      </c>
      <c r="AZ90" s="12">
        <f>$I$38*$AZ$38</f>
        <v>0</v>
      </c>
      <c r="BA90" s="12">
        <f>$I$38*$BA$38</f>
        <v>0</v>
      </c>
      <c r="BB90" s="12">
        <f>$I$38*$BB$38</f>
        <v>0</v>
      </c>
      <c r="BC90" s="12">
        <f>$I$38*$BC$38</f>
        <v>0</v>
      </c>
      <c r="BD90" s="12">
        <f>$I$38*$BD$38</f>
        <v>0</v>
      </c>
    </row>
    <row r="91" spans="1:56" ht="11.25" customHeight="1" x14ac:dyDescent="0.25">
      <c r="A91" s="9" t="s">
        <v>40</v>
      </c>
      <c r="B91" s="9" t="s">
        <v>754</v>
      </c>
      <c r="C91" s="9" t="s">
        <v>755</v>
      </c>
      <c r="D91" s="9" t="s">
        <v>778</v>
      </c>
      <c r="E91" s="9" t="s">
        <v>779</v>
      </c>
      <c r="F91" s="9" t="s">
        <v>780</v>
      </c>
      <c r="G91" s="9" t="s">
        <v>782</v>
      </c>
      <c r="L91" s="12">
        <f>$I$39*$L$39</f>
        <v>0</v>
      </c>
      <c r="M91" s="12">
        <f>$I$39*$M$39</f>
        <v>0</v>
      </c>
      <c r="N91" s="12">
        <f ca="1">$I$39*$N$39</f>
        <v>0</v>
      </c>
      <c r="O91" s="12">
        <f>$I$39*$O$39</f>
        <v>0</v>
      </c>
      <c r="P91" s="12">
        <f>$I$39*$P$39</f>
        <v>0</v>
      </c>
      <c r="Q91" s="12">
        <f>$I$39*$Q$39</f>
        <v>0</v>
      </c>
      <c r="R91" s="12">
        <f>$I$39*$R$39</f>
        <v>0</v>
      </c>
      <c r="S91" s="12">
        <f>$I$39*$S$39</f>
        <v>0</v>
      </c>
      <c r="T91" s="12">
        <f>$I$39*$T$39</f>
        <v>0</v>
      </c>
      <c r="U91" s="12">
        <f>$I$39*$U$39</f>
        <v>0</v>
      </c>
      <c r="V91" s="12">
        <f>$I$39*$V$39</f>
        <v>0</v>
      </c>
      <c r="W91" s="12">
        <f>$I$39*$W$39</f>
        <v>0</v>
      </c>
      <c r="X91" s="12">
        <f>$I$39*$X$39</f>
        <v>0</v>
      </c>
      <c r="Y91" s="12">
        <f>$I$39*$Y$39</f>
        <v>0</v>
      </c>
      <c r="Z91" s="12">
        <f>$I$39*$Z$39</f>
        <v>0</v>
      </c>
      <c r="AA91" s="12">
        <f>$I$39*$AA$39</f>
        <v>0</v>
      </c>
      <c r="AB91" s="12">
        <f ca="1">$I$39*$AB$39</f>
        <v>0</v>
      </c>
      <c r="AC91" s="12">
        <f ca="1">$I$39*$AC$39</f>
        <v>0</v>
      </c>
      <c r="AD91" s="12">
        <f>$I$39*$AD$39</f>
        <v>0</v>
      </c>
      <c r="AE91" s="12">
        <f>$I$39*$AE$39</f>
        <v>0</v>
      </c>
      <c r="AF91" s="12">
        <f ca="1">$I$39*$AF$39</f>
        <v>0</v>
      </c>
      <c r="AG91" s="12">
        <f ca="1">$I$39*$AG$39</f>
        <v>0</v>
      </c>
      <c r="AI91" s="12">
        <f>$I$39*$AI$39</f>
        <v>0</v>
      </c>
      <c r="AJ91" s="12">
        <f>$I$39*$AJ$39</f>
        <v>0</v>
      </c>
      <c r="AK91" s="12">
        <f>$I$39*$AK$39</f>
        <v>0</v>
      </c>
      <c r="AL91" s="12">
        <f>$I$39*$AL$39</f>
        <v>0</v>
      </c>
      <c r="AM91" s="12">
        <f>$I$39*$AM$39</f>
        <v>0</v>
      </c>
      <c r="AN91" s="12">
        <f>$I$39*$AN$39</f>
        <v>0</v>
      </c>
      <c r="AO91" s="12">
        <f>$I$39*$AO$39</f>
        <v>0</v>
      </c>
      <c r="AP91" s="12">
        <f>$I$39*$AP$39</f>
        <v>0</v>
      </c>
      <c r="AQ91" s="12">
        <f>$I$39*$AQ$39</f>
        <v>0</v>
      </c>
      <c r="AR91" s="12">
        <f>$I$39*$AR$39</f>
        <v>0</v>
      </c>
      <c r="AS91" s="12">
        <f>$I$39*$AS$39</f>
        <v>0</v>
      </c>
      <c r="AT91" s="12">
        <f>$I$39*$AT$39</f>
        <v>0</v>
      </c>
      <c r="AU91" s="12">
        <f>$I$39*$AU$39</f>
        <v>0</v>
      </c>
      <c r="AV91" s="12">
        <f>$I$39*$AV$39</f>
        <v>0</v>
      </c>
      <c r="AW91" s="12">
        <f>$I$39*$AW$39</f>
        <v>0</v>
      </c>
      <c r="AX91" s="12">
        <f>$I$39*$AX$39</f>
        <v>0</v>
      </c>
      <c r="AY91" s="12">
        <f>$I$39*$AY$39</f>
        <v>0</v>
      </c>
      <c r="AZ91" s="12">
        <f>$I$39*$AZ$39</f>
        <v>0</v>
      </c>
      <c r="BA91" s="12">
        <f>$I$39*$BA$39</f>
        <v>0</v>
      </c>
      <c r="BB91" s="12">
        <f>$I$39*$BB$39</f>
        <v>0</v>
      </c>
      <c r="BC91" s="12">
        <f>$I$39*$BC$39</f>
        <v>0</v>
      </c>
      <c r="BD91" s="12">
        <f>$I$39*$BD$39</f>
        <v>0</v>
      </c>
    </row>
    <row r="92" spans="1:56" ht="11.25" customHeight="1" x14ac:dyDescent="0.25">
      <c r="A92" s="9" t="s">
        <v>40</v>
      </c>
      <c r="B92" s="9" t="s">
        <v>754</v>
      </c>
      <c r="C92" s="9" t="s">
        <v>755</v>
      </c>
      <c r="D92" s="9" t="s">
        <v>778</v>
      </c>
      <c r="E92" s="9" t="s">
        <v>779</v>
      </c>
      <c r="F92" s="9" t="s">
        <v>780</v>
      </c>
      <c r="G92" s="9" t="s">
        <v>783</v>
      </c>
      <c r="L92" s="12">
        <f>$I$40*$L$40</f>
        <v>0</v>
      </c>
      <c r="M92" s="12">
        <f>$I$40*$M$40</f>
        <v>0</v>
      </c>
      <c r="N92" s="12">
        <f ca="1">$I$40*$N$40</f>
        <v>0</v>
      </c>
      <c r="O92" s="12">
        <f>$I$40*$O$40</f>
        <v>0</v>
      </c>
      <c r="P92" s="12">
        <f>$I$40*$P$40</f>
        <v>0</v>
      </c>
      <c r="Q92" s="12">
        <f>$I$40*$Q$40</f>
        <v>0</v>
      </c>
      <c r="R92" s="12">
        <f>$I$40*$R$40</f>
        <v>0</v>
      </c>
      <c r="S92" s="12">
        <f>$I$40*$S$40</f>
        <v>0</v>
      </c>
      <c r="T92" s="12">
        <f>$I$40*$T$40</f>
        <v>0</v>
      </c>
      <c r="U92" s="12">
        <f>$I$40*$U$40</f>
        <v>0</v>
      </c>
      <c r="V92" s="12">
        <f>$I$40*$V$40</f>
        <v>0</v>
      </c>
      <c r="W92" s="12">
        <f>$I$40*$W$40</f>
        <v>0</v>
      </c>
      <c r="X92" s="12">
        <f>$I$40*$X$40</f>
        <v>0</v>
      </c>
      <c r="Y92" s="12">
        <f>$I$40*$Y$40</f>
        <v>0</v>
      </c>
      <c r="Z92" s="12">
        <f>$I$40*$Z$40</f>
        <v>0</v>
      </c>
      <c r="AA92" s="12">
        <f>$I$40*$AA$40</f>
        <v>0</v>
      </c>
      <c r="AB92" s="12">
        <f ca="1">$I$40*$AB$40</f>
        <v>0</v>
      </c>
      <c r="AC92" s="12">
        <f ca="1">$I$40*$AC$40</f>
        <v>0</v>
      </c>
      <c r="AD92" s="12">
        <f>$I$40*$AD$40</f>
        <v>0</v>
      </c>
      <c r="AE92" s="12">
        <f>$I$40*$AE$40</f>
        <v>0</v>
      </c>
      <c r="AF92" s="12">
        <f ca="1">$I$40*$AF$40</f>
        <v>0</v>
      </c>
      <c r="AG92" s="12">
        <f ca="1">$I$40*$AG$40</f>
        <v>0</v>
      </c>
      <c r="AI92" s="12">
        <f>$I$40*$AI$40</f>
        <v>0</v>
      </c>
      <c r="AJ92" s="12">
        <f>$I$40*$AJ$40</f>
        <v>0</v>
      </c>
      <c r="AK92" s="12">
        <f>$I$40*$AK$40</f>
        <v>0</v>
      </c>
      <c r="AL92" s="12">
        <f>$I$40*$AL$40</f>
        <v>0</v>
      </c>
      <c r="AM92" s="12">
        <f>$I$40*$AM$40</f>
        <v>0</v>
      </c>
      <c r="AN92" s="12">
        <f>$I$40*$AN$40</f>
        <v>0</v>
      </c>
      <c r="AO92" s="12">
        <f>$I$40*$AO$40</f>
        <v>0</v>
      </c>
      <c r="AP92" s="12">
        <f>$I$40*$AP$40</f>
        <v>0</v>
      </c>
      <c r="AQ92" s="12">
        <f>$I$40*$AQ$40</f>
        <v>0</v>
      </c>
      <c r="AR92" s="12">
        <f>$I$40*$AR$40</f>
        <v>0</v>
      </c>
      <c r="AS92" s="12">
        <f>$I$40*$AS$40</f>
        <v>0</v>
      </c>
      <c r="AT92" s="12">
        <f>$I$40*$AT$40</f>
        <v>0</v>
      </c>
      <c r="AU92" s="12">
        <f>$I$40*$AU$40</f>
        <v>0</v>
      </c>
      <c r="AV92" s="12">
        <f>$I$40*$AV$40</f>
        <v>0</v>
      </c>
      <c r="AW92" s="12">
        <f>$I$40*$AW$40</f>
        <v>0</v>
      </c>
      <c r="AX92" s="12">
        <f>$I$40*$AX$40</f>
        <v>0</v>
      </c>
      <c r="AY92" s="12">
        <f>$I$40*$AY$40</f>
        <v>0</v>
      </c>
      <c r="AZ92" s="12">
        <f>$I$40*$AZ$40</f>
        <v>0</v>
      </c>
      <c r="BA92" s="12">
        <f>$I$40*$BA$40</f>
        <v>0</v>
      </c>
      <c r="BB92" s="12">
        <f>$I$40*$BB$40</f>
        <v>0</v>
      </c>
      <c r="BC92" s="12">
        <f>$I$40*$BC$40</f>
        <v>0</v>
      </c>
      <c r="BD92" s="12">
        <f>$I$40*$BD$40</f>
        <v>0</v>
      </c>
    </row>
    <row r="93" spans="1:56" ht="11.25" customHeight="1" x14ac:dyDescent="0.25">
      <c r="A93" s="9" t="s">
        <v>40</v>
      </c>
      <c r="B93" s="9" t="s">
        <v>762</v>
      </c>
      <c r="C93" s="9" t="s">
        <v>763</v>
      </c>
      <c r="D93" s="9" t="s">
        <v>784</v>
      </c>
      <c r="E93" s="9" t="s">
        <v>785</v>
      </c>
      <c r="F93" s="9" t="s">
        <v>786</v>
      </c>
      <c r="G93" s="9" t="s">
        <v>787</v>
      </c>
      <c r="L93" s="12">
        <f>$I$41*$L$41</f>
        <v>0</v>
      </c>
      <c r="M93" s="12">
        <f>$I$41*$M$41</f>
        <v>0</v>
      </c>
      <c r="N93" s="12">
        <f ca="1">$I$41*$N$41</f>
        <v>0</v>
      </c>
      <c r="O93" s="12">
        <f>$I$41*$O$41</f>
        <v>0</v>
      </c>
      <c r="P93" s="12">
        <f>$I$41*$P$41</f>
        <v>0</v>
      </c>
      <c r="Q93" s="12">
        <f>$I$41*$Q$41</f>
        <v>0</v>
      </c>
      <c r="R93" s="12">
        <f>$I$41*$R$41</f>
        <v>0</v>
      </c>
      <c r="S93" s="12">
        <f>$I$41*$S$41</f>
        <v>0</v>
      </c>
      <c r="T93" s="12">
        <f>$I$41*$T$41</f>
        <v>0</v>
      </c>
      <c r="U93" s="12">
        <f>$I$41*$U$41</f>
        <v>0</v>
      </c>
      <c r="V93" s="12">
        <f>$I$41*$V$41</f>
        <v>0</v>
      </c>
      <c r="W93" s="12">
        <f>$I$41*$W$41</f>
        <v>0</v>
      </c>
      <c r="X93" s="12">
        <f>$I$41*$X$41</f>
        <v>0</v>
      </c>
      <c r="Y93" s="12">
        <f>$I$41*$Y$41</f>
        <v>0</v>
      </c>
      <c r="Z93" s="12">
        <f>$I$41*$Z$41</f>
        <v>0</v>
      </c>
      <c r="AA93" s="12">
        <f>$I$41*$AA$41</f>
        <v>0</v>
      </c>
      <c r="AB93" s="12">
        <f ca="1">$I$41*$AB$41</f>
        <v>0</v>
      </c>
      <c r="AC93" s="12">
        <f ca="1">$I$41*$AC$41</f>
        <v>0</v>
      </c>
      <c r="AD93" s="12">
        <f>$I$41*$AD$41</f>
        <v>0</v>
      </c>
      <c r="AE93" s="12">
        <f>$I$41*$AE$41</f>
        <v>0</v>
      </c>
      <c r="AF93" s="12">
        <f ca="1">$I$41*$AF$41</f>
        <v>0</v>
      </c>
      <c r="AG93" s="12">
        <f ca="1">$I$41*$AG$41</f>
        <v>0</v>
      </c>
      <c r="AI93" s="12">
        <f>$I$41*$AI$41</f>
        <v>0</v>
      </c>
      <c r="AJ93" s="12">
        <f>$I$41*$AJ$41</f>
        <v>0</v>
      </c>
      <c r="AK93" s="12">
        <f>$I$41*$AK$41</f>
        <v>0</v>
      </c>
      <c r="AL93" s="12">
        <f>$I$41*$AL$41</f>
        <v>0</v>
      </c>
      <c r="AM93" s="12">
        <f>$I$41*$AM$41</f>
        <v>0</v>
      </c>
      <c r="AN93" s="12">
        <f>$I$41*$AN$41</f>
        <v>0</v>
      </c>
      <c r="AO93" s="12">
        <f>$I$41*$AO$41</f>
        <v>0</v>
      </c>
      <c r="AP93" s="12">
        <f>$I$41*$AP$41</f>
        <v>0</v>
      </c>
      <c r="AQ93" s="12">
        <f>$I$41*$AQ$41</f>
        <v>0</v>
      </c>
      <c r="AR93" s="12">
        <f>$I$41*$AR$41</f>
        <v>0</v>
      </c>
      <c r="AS93" s="12">
        <f>$I$41*$AS$41</f>
        <v>0</v>
      </c>
      <c r="AT93" s="12">
        <f>$I$41*$AT$41</f>
        <v>0</v>
      </c>
      <c r="AU93" s="12">
        <f>$I$41*$AU$41</f>
        <v>0</v>
      </c>
      <c r="AV93" s="12">
        <f>$I$41*$AV$41</f>
        <v>0</v>
      </c>
      <c r="AW93" s="12">
        <f>$I$41*$AW$41</f>
        <v>0</v>
      </c>
      <c r="AX93" s="12">
        <f>$I$41*$AX$41</f>
        <v>0</v>
      </c>
      <c r="AY93" s="12">
        <f>$I$41*$AY$41</f>
        <v>0</v>
      </c>
      <c r="AZ93" s="12">
        <f>$I$41*$AZ$41</f>
        <v>0</v>
      </c>
      <c r="BA93" s="12">
        <f>$I$41*$BA$41</f>
        <v>0</v>
      </c>
      <c r="BB93" s="12">
        <f>$I$41*$BB$41</f>
        <v>0</v>
      </c>
      <c r="BC93" s="12">
        <f>$I$41*$BC$41</f>
        <v>0</v>
      </c>
      <c r="BD93" s="12">
        <f>$I$41*$BD$41</f>
        <v>0</v>
      </c>
    </row>
    <row r="94" spans="1:56" ht="11.25" customHeight="1" x14ac:dyDescent="0.25">
      <c r="A94" s="9" t="s">
        <v>40</v>
      </c>
      <c r="B94" s="9" t="s">
        <v>788</v>
      </c>
      <c r="C94" s="9" t="s">
        <v>789</v>
      </c>
      <c r="D94" s="9" t="s">
        <v>790</v>
      </c>
      <c r="E94" s="9" t="s">
        <v>791</v>
      </c>
      <c r="F94" s="9" t="s">
        <v>792</v>
      </c>
      <c r="G94" s="9" t="s">
        <v>793</v>
      </c>
      <c r="L94" s="12">
        <f>$I$42*$L$42</f>
        <v>0</v>
      </c>
      <c r="M94" s="12">
        <f>$I$42*$M$42</f>
        <v>0</v>
      </c>
      <c r="N94" s="12">
        <f ca="1">$I$42*$N$42</f>
        <v>0</v>
      </c>
      <c r="O94" s="12">
        <f>$I$42*$O$42</f>
        <v>0</v>
      </c>
      <c r="P94" s="12">
        <f>$I$42*$P$42</f>
        <v>0</v>
      </c>
      <c r="Q94" s="12">
        <f>$I$42*$Q$42</f>
        <v>0</v>
      </c>
      <c r="R94" s="12">
        <f>$I$42*$R$42</f>
        <v>0</v>
      </c>
      <c r="S94" s="12">
        <f>$I$42*$S$42</f>
        <v>0</v>
      </c>
      <c r="T94" s="12">
        <f>$I$42*$T$42</f>
        <v>0</v>
      </c>
      <c r="U94" s="12">
        <f>$I$42*$U$42</f>
        <v>0</v>
      </c>
      <c r="V94" s="12">
        <f>$I$42*$V$42</f>
        <v>0</v>
      </c>
      <c r="W94" s="12">
        <f>$I$42*$W$42</f>
        <v>0</v>
      </c>
      <c r="X94" s="12">
        <f>$I$42*$X$42</f>
        <v>0</v>
      </c>
      <c r="Y94" s="12">
        <f>$I$42*$Y$42</f>
        <v>0</v>
      </c>
      <c r="Z94" s="12">
        <f>$I$42*$Z$42</f>
        <v>0</v>
      </c>
      <c r="AA94" s="12">
        <f>$I$42*$AA$42</f>
        <v>0</v>
      </c>
      <c r="AB94" s="12">
        <f ca="1">$I$42*$AB$42</f>
        <v>0</v>
      </c>
      <c r="AC94" s="12">
        <f ca="1">$I$42*$AC$42</f>
        <v>0</v>
      </c>
      <c r="AD94" s="12">
        <f>$I$42*$AD$42</f>
        <v>0</v>
      </c>
      <c r="AE94" s="12">
        <f>$I$42*$AE$42</f>
        <v>0</v>
      </c>
      <c r="AF94" s="12">
        <f ca="1">$I$42*$AF$42</f>
        <v>0</v>
      </c>
      <c r="AG94" s="12">
        <f ca="1">$I$42*$AG$42</f>
        <v>0</v>
      </c>
      <c r="AI94" s="12">
        <f>$I$42*$AI$42</f>
        <v>0</v>
      </c>
      <c r="AJ94" s="12">
        <f>$I$42*$AJ$42</f>
        <v>0</v>
      </c>
      <c r="AK94" s="12">
        <f>$I$42*$AK$42</f>
        <v>0</v>
      </c>
      <c r="AL94" s="12">
        <f>$I$42*$AL$42</f>
        <v>0</v>
      </c>
      <c r="AM94" s="12">
        <f>$I$42*$AM$42</f>
        <v>0</v>
      </c>
      <c r="AN94" s="12">
        <f>$I$42*$AN$42</f>
        <v>0</v>
      </c>
      <c r="AO94" s="12">
        <f>$I$42*$AO$42</f>
        <v>0</v>
      </c>
      <c r="AP94" s="12">
        <f>$I$42*$AP$42</f>
        <v>0</v>
      </c>
      <c r="AQ94" s="12">
        <f>$I$42*$AQ$42</f>
        <v>0</v>
      </c>
      <c r="AR94" s="12">
        <f>$I$42*$AR$42</f>
        <v>0</v>
      </c>
      <c r="AS94" s="12">
        <f>$I$42*$AS$42</f>
        <v>0</v>
      </c>
      <c r="AT94" s="12">
        <f>$I$42*$AT$42</f>
        <v>0</v>
      </c>
      <c r="AU94" s="12">
        <f>$I$42*$AU$42</f>
        <v>0</v>
      </c>
      <c r="AV94" s="12">
        <f>$I$42*$AV$42</f>
        <v>0</v>
      </c>
      <c r="AW94" s="12">
        <f>$I$42*$AW$42</f>
        <v>0</v>
      </c>
      <c r="AX94" s="12">
        <f>$I$42*$AX$42</f>
        <v>0</v>
      </c>
      <c r="AY94" s="12">
        <f>$I$42*$AY$42</f>
        <v>0</v>
      </c>
      <c r="AZ94" s="12">
        <f>$I$42*$AZ$42</f>
        <v>0</v>
      </c>
      <c r="BA94" s="12">
        <f>$I$42*$BA$42</f>
        <v>0</v>
      </c>
      <c r="BB94" s="12">
        <f>$I$42*$BB$42</f>
        <v>0</v>
      </c>
      <c r="BC94" s="12">
        <f>$I$42*$BC$42</f>
        <v>0</v>
      </c>
      <c r="BD94" s="12">
        <f>$I$42*$BD$42</f>
        <v>0</v>
      </c>
    </row>
    <row r="95" spans="1:56" ht="11.25" customHeight="1" x14ac:dyDescent="0.25">
      <c r="A95" s="9" t="s">
        <v>40</v>
      </c>
      <c r="B95" s="9" t="s">
        <v>788</v>
      </c>
      <c r="C95" s="9" t="s">
        <v>789</v>
      </c>
      <c r="D95" s="9" t="s">
        <v>794</v>
      </c>
      <c r="E95" s="9" t="s">
        <v>795</v>
      </c>
      <c r="F95" s="9" t="s">
        <v>796</v>
      </c>
      <c r="G95" s="9" t="s">
        <v>797</v>
      </c>
      <c r="L95" s="12">
        <f>$I$43*$L$43</f>
        <v>0</v>
      </c>
      <c r="M95" s="12">
        <f>$I$43*$M$43</f>
        <v>0</v>
      </c>
      <c r="N95" s="12">
        <f ca="1">$I$43*$N$43</f>
        <v>0</v>
      </c>
      <c r="O95" s="12">
        <f>$I$43*$O$43</f>
        <v>0</v>
      </c>
      <c r="P95" s="12">
        <f>$I$43*$P$43</f>
        <v>0</v>
      </c>
      <c r="Q95" s="12">
        <f>$I$43*$Q$43</f>
        <v>0</v>
      </c>
      <c r="R95" s="12">
        <f>$I$43*$R$43</f>
        <v>0</v>
      </c>
      <c r="S95" s="12">
        <f>$I$43*$S$43</f>
        <v>0</v>
      </c>
      <c r="T95" s="12">
        <f>$I$43*$T$43</f>
        <v>0</v>
      </c>
      <c r="U95" s="12">
        <f>$I$43*$U$43</f>
        <v>0</v>
      </c>
      <c r="V95" s="12">
        <f>$I$43*$V$43</f>
        <v>0</v>
      </c>
      <c r="W95" s="12">
        <f>$I$43*$W$43</f>
        <v>0</v>
      </c>
      <c r="X95" s="12">
        <f>$I$43*$X$43</f>
        <v>0</v>
      </c>
      <c r="Y95" s="12">
        <f>$I$43*$Y$43</f>
        <v>0</v>
      </c>
      <c r="Z95" s="12">
        <f>$I$43*$Z$43</f>
        <v>0</v>
      </c>
      <c r="AA95" s="12">
        <f>$I$43*$AA$43</f>
        <v>0</v>
      </c>
      <c r="AB95" s="12">
        <f ca="1">$I$43*$AB$43</f>
        <v>0</v>
      </c>
      <c r="AC95" s="12">
        <f ca="1">$I$43*$AC$43</f>
        <v>0</v>
      </c>
      <c r="AD95" s="12">
        <f>$I$43*$AD$43</f>
        <v>0</v>
      </c>
      <c r="AE95" s="12">
        <f>$I$43*$AE$43</f>
        <v>0</v>
      </c>
      <c r="AF95" s="12">
        <f ca="1">$I$43*$AF$43</f>
        <v>0</v>
      </c>
      <c r="AG95" s="12">
        <f ca="1">$I$43*$AG$43</f>
        <v>0</v>
      </c>
      <c r="AI95" s="12">
        <f>$I$43*$AI$43</f>
        <v>0</v>
      </c>
      <c r="AJ95" s="12">
        <f>$I$43*$AJ$43</f>
        <v>0</v>
      </c>
      <c r="AK95" s="12">
        <f>$I$43*$AK$43</f>
        <v>0</v>
      </c>
      <c r="AL95" s="12">
        <f>$I$43*$AL$43</f>
        <v>0</v>
      </c>
      <c r="AM95" s="12">
        <f>$I$43*$AM$43</f>
        <v>0</v>
      </c>
      <c r="AN95" s="12">
        <f>$I$43*$AN$43</f>
        <v>0</v>
      </c>
      <c r="AO95" s="12">
        <f>$I$43*$AO$43</f>
        <v>0</v>
      </c>
      <c r="AP95" s="12">
        <f>$I$43*$AP$43</f>
        <v>0</v>
      </c>
      <c r="AQ95" s="12">
        <f>$I$43*$AQ$43</f>
        <v>0</v>
      </c>
      <c r="AR95" s="12">
        <f>$I$43*$AR$43</f>
        <v>0</v>
      </c>
      <c r="AS95" s="12">
        <f>$I$43*$AS$43</f>
        <v>0</v>
      </c>
      <c r="AT95" s="12">
        <f>$I$43*$AT$43</f>
        <v>0</v>
      </c>
      <c r="AU95" s="12">
        <f>$I$43*$AU$43</f>
        <v>0</v>
      </c>
      <c r="AV95" s="12">
        <f>$I$43*$AV$43</f>
        <v>0</v>
      </c>
      <c r="AW95" s="12">
        <f>$I$43*$AW$43</f>
        <v>0</v>
      </c>
      <c r="AX95" s="12">
        <f>$I$43*$AX$43</f>
        <v>0</v>
      </c>
      <c r="AY95" s="12">
        <f>$I$43*$AY$43</f>
        <v>0</v>
      </c>
      <c r="AZ95" s="12">
        <f>$I$43*$AZ$43</f>
        <v>0</v>
      </c>
      <c r="BA95" s="12">
        <f>$I$43*$BA$43</f>
        <v>0</v>
      </c>
      <c r="BB95" s="12">
        <f>$I$43*$BB$43</f>
        <v>0</v>
      </c>
      <c r="BC95" s="12">
        <f>$I$43*$BC$43</f>
        <v>0</v>
      </c>
      <c r="BD95" s="12">
        <f>$I$43*$BD$43</f>
        <v>0</v>
      </c>
    </row>
    <row r="96" spans="1:56" ht="11.25" customHeight="1" x14ac:dyDescent="0.25">
      <c r="A96" s="9" t="s">
        <v>40</v>
      </c>
      <c r="B96" s="9" t="s">
        <v>788</v>
      </c>
      <c r="C96" s="9" t="s">
        <v>789</v>
      </c>
      <c r="D96" s="9" t="s">
        <v>798</v>
      </c>
      <c r="E96" s="9" t="s">
        <v>799</v>
      </c>
      <c r="F96" s="9" t="s">
        <v>800</v>
      </c>
      <c r="G96" s="9" t="s">
        <v>801</v>
      </c>
      <c r="L96" s="12">
        <f>$I$44*$L$44</f>
        <v>0</v>
      </c>
      <c r="M96" s="12">
        <f>$I$44*$M$44</f>
        <v>0</v>
      </c>
      <c r="N96" s="12">
        <f ca="1">$I$44*$N$44</f>
        <v>0</v>
      </c>
      <c r="O96" s="12">
        <f>$I$44*$O$44</f>
        <v>0</v>
      </c>
      <c r="P96" s="12">
        <f>$I$44*$P$44</f>
        <v>0</v>
      </c>
      <c r="Q96" s="12">
        <f>$I$44*$Q$44</f>
        <v>0</v>
      </c>
      <c r="R96" s="12">
        <f>$I$44*$R$44</f>
        <v>0</v>
      </c>
      <c r="S96" s="12">
        <f>$I$44*$S$44</f>
        <v>0</v>
      </c>
      <c r="T96" s="12">
        <f>$I$44*$T$44</f>
        <v>0</v>
      </c>
      <c r="U96" s="12">
        <f>$I$44*$U$44</f>
        <v>0</v>
      </c>
      <c r="V96" s="12">
        <f>$I$44*$V$44</f>
        <v>0</v>
      </c>
      <c r="W96" s="12">
        <f>$I$44*$W$44</f>
        <v>0</v>
      </c>
      <c r="X96" s="12">
        <f>$I$44*$X$44</f>
        <v>0</v>
      </c>
      <c r="Y96" s="12">
        <f>$I$44*$Y$44</f>
        <v>0</v>
      </c>
      <c r="Z96" s="12">
        <f>$I$44*$Z$44</f>
        <v>0</v>
      </c>
      <c r="AA96" s="12">
        <f>$I$44*$AA$44</f>
        <v>0</v>
      </c>
      <c r="AB96" s="12">
        <f ca="1">$I$44*$AB$44</f>
        <v>0</v>
      </c>
      <c r="AC96" s="12">
        <f ca="1">$I$44*$AC$44</f>
        <v>0</v>
      </c>
      <c r="AD96" s="12">
        <f>$I$44*$AD$44</f>
        <v>0</v>
      </c>
      <c r="AE96" s="12">
        <f>$I$44*$AE$44</f>
        <v>0</v>
      </c>
      <c r="AF96" s="12">
        <f ca="1">$I$44*$AF$44</f>
        <v>0</v>
      </c>
      <c r="AG96" s="12">
        <f ca="1">$I$44*$AG$44</f>
        <v>0</v>
      </c>
      <c r="AI96" s="12">
        <f>$I$44*$AI$44</f>
        <v>0</v>
      </c>
      <c r="AJ96" s="12">
        <f>$I$44*$AJ$44</f>
        <v>0</v>
      </c>
      <c r="AK96" s="12">
        <f>$I$44*$AK$44</f>
        <v>0</v>
      </c>
      <c r="AL96" s="12">
        <f>$I$44*$AL$44</f>
        <v>0</v>
      </c>
      <c r="AM96" s="12">
        <f>$I$44*$AM$44</f>
        <v>0</v>
      </c>
      <c r="AN96" s="12">
        <f>$I$44*$AN$44</f>
        <v>0</v>
      </c>
      <c r="AO96" s="12">
        <f>$I$44*$AO$44</f>
        <v>0</v>
      </c>
      <c r="AP96" s="12">
        <f>$I$44*$AP$44</f>
        <v>0</v>
      </c>
      <c r="AQ96" s="12">
        <f>$I$44*$AQ$44</f>
        <v>0</v>
      </c>
      <c r="AR96" s="12">
        <f>$I$44*$AR$44</f>
        <v>0</v>
      </c>
      <c r="AS96" s="12">
        <f>$I$44*$AS$44</f>
        <v>0</v>
      </c>
      <c r="AT96" s="12">
        <f>$I$44*$AT$44</f>
        <v>0</v>
      </c>
      <c r="AU96" s="12">
        <f>$I$44*$AU$44</f>
        <v>0</v>
      </c>
      <c r="AV96" s="12">
        <f>$I$44*$AV$44</f>
        <v>0</v>
      </c>
      <c r="AW96" s="12">
        <f>$I$44*$AW$44</f>
        <v>0</v>
      </c>
      <c r="AX96" s="12">
        <f>$I$44*$AX$44</f>
        <v>0</v>
      </c>
      <c r="AY96" s="12">
        <f>$I$44*$AY$44</f>
        <v>0</v>
      </c>
      <c r="AZ96" s="12">
        <f>$I$44*$AZ$44</f>
        <v>0</v>
      </c>
      <c r="BA96" s="12">
        <f>$I$44*$BA$44</f>
        <v>0</v>
      </c>
      <c r="BB96" s="12">
        <f>$I$44*$BB$44</f>
        <v>0</v>
      </c>
      <c r="BC96" s="12">
        <f>$I$44*$BC$44</f>
        <v>0</v>
      </c>
      <c r="BD96" s="12">
        <f>$I$44*$BD$44</f>
        <v>0</v>
      </c>
    </row>
    <row r="97" spans="1:56" ht="11.25" customHeight="1" x14ac:dyDescent="0.25">
      <c r="A97" s="9" t="s">
        <v>33</v>
      </c>
      <c r="B97" s="9" t="s">
        <v>802</v>
      </c>
      <c r="C97" s="9" t="s">
        <v>803</v>
      </c>
      <c r="D97" s="9" t="s">
        <v>804</v>
      </c>
      <c r="E97" s="9" t="s">
        <v>805</v>
      </c>
      <c r="F97" s="9" t="s">
        <v>806</v>
      </c>
      <c r="G97" s="9" t="s">
        <v>807</v>
      </c>
      <c r="L97" s="12">
        <f>$I$45*$L$45</f>
        <v>0</v>
      </c>
      <c r="M97" s="12">
        <f>$I$45*$M$45</f>
        <v>0</v>
      </c>
      <c r="N97" s="12">
        <f ca="1">$I$45*$N$45</f>
        <v>0</v>
      </c>
      <c r="O97" s="12">
        <f>$I$45*$O$45</f>
        <v>0</v>
      </c>
      <c r="P97" s="12">
        <f>$I$45*$P$45</f>
        <v>0</v>
      </c>
      <c r="Q97" s="12">
        <f>$I$45*$Q$45</f>
        <v>0</v>
      </c>
      <c r="R97" s="12">
        <f>$I$45*$R$45</f>
        <v>0</v>
      </c>
      <c r="S97" s="12">
        <f>$I$45*$S$45</f>
        <v>0</v>
      </c>
      <c r="T97" s="12">
        <f>$I$45*$T$45</f>
        <v>0</v>
      </c>
      <c r="U97" s="12">
        <f>$I$45*$U$45</f>
        <v>0</v>
      </c>
      <c r="V97" s="12">
        <f>$I$45*$V$45</f>
        <v>0</v>
      </c>
      <c r="W97" s="12">
        <f>$I$45*$W$45</f>
        <v>0</v>
      </c>
      <c r="X97" s="12">
        <f>$I$45*$X$45</f>
        <v>0</v>
      </c>
      <c r="Y97" s="12">
        <f>$I$45*$Y$45</f>
        <v>0</v>
      </c>
      <c r="Z97" s="12">
        <f>$I$45*$Z$45</f>
        <v>0</v>
      </c>
      <c r="AA97" s="12">
        <f>$I$45*$AA$45</f>
        <v>0</v>
      </c>
      <c r="AB97" s="12">
        <f ca="1">$I$45*$AB$45</f>
        <v>0</v>
      </c>
      <c r="AC97" s="12">
        <f ca="1">$I$45*$AC$45</f>
        <v>0</v>
      </c>
      <c r="AD97" s="12">
        <f>$I$45*$AD$45</f>
        <v>0</v>
      </c>
      <c r="AE97" s="12">
        <f>$I$45*$AE$45</f>
        <v>0</v>
      </c>
      <c r="AF97" s="12">
        <f ca="1">$I$45*$AF$45</f>
        <v>0</v>
      </c>
      <c r="AG97" s="12">
        <f ca="1">$I$45*$AG$45</f>
        <v>0</v>
      </c>
      <c r="AI97" s="12">
        <f>$I$45*$AI$45</f>
        <v>0</v>
      </c>
      <c r="AJ97" s="12">
        <f>$I$45*$AJ$45</f>
        <v>0</v>
      </c>
      <c r="AK97" s="12">
        <f>$I$45*$AK$45</f>
        <v>0</v>
      </c>
      <c r="AL97" s="12">
        <f>$I$45*$AL$45</f>
        <v>0</v>
      </c>
      <c r="AM97" s="12">
        <f>$I$45*$AM$45</f>
        <v>0</v>
      </c>
      <c r="AN97" s="12">
        <f>$I$45*$AN$45</f>
        <v>0</v>
      </c>
      <c r="AO97" s="12">
        <f>$I$45*$AO$45</f>
        <v>0</v>
      </c>
      <c r="AP97" s="12">
        <f>$I$45*$AP$45</f>
        <v>0</v>
      </c>
      <c r="AQ97" s="12">
        <f>$I$45*$AQ$45</f>
        <v>0</v>
      </c>
      <c r="AR97" s="12">
        <f>$I$45*$AR$45</f>
        <v>0</v>
      </c>
      <c r="AS97" s="12">
        <f>$I$45*$AS$45</f>
        <v>0</v>
      </c>
      <c r="AT97" s="12">
        <f>$I$45*$AT$45</f>
        <v>0</v>
      </c>
      <c r="AU97" s="12">
        <f>$I$45*$AU$45</f>
        <v>0</v>
      </c>
      <c r="AV97" s="12">
        <f>$I$45*$AV$45</f>
        <v>0</v>
      </c>
      <c r="AW97" s="12">
        <f>$I$45*$AW$45</f>
        <v>0</v>
      </c>
      <c r="AX97" s="12">
        <f>$I$45*$AX$45</f>
        <v>0</v>
      </c>
      <c r="AY97" s="12">
        <f>$I$45*$AY$45</f>
        <v>0</v>
      </c>
      <c r="AZ97" s="12">
        <f>$I$45*$AZ$45</f>
        <v>0</v>
      </c>
      <c r="BA97" s="12">
        <f>$I$45*$BA$45</f>
        <v>0</v>
      </c>
      <c r="BB97" s="12">
        <f>$I$45*$BB$45</f>
        <v>0</v>
      </c>
      <c r="BC97" s="12">
        <f>$I$45*$BC$45</f>
        <v>0</v>
      </c>
      <c r="BD97" s="12">
        <f>$I$45*$BD$45</f>
        <v>0</v>
      </c>
    </row>
    <row r="98" spans="1:56" ht="11.25" customHeight="1" x14ac:dyDescent="0.25">
      <c r="A98" s="9" t="s">
        <v>33</v>
      </c>
      <c r="B98" s="9" t="s">
        <v>802</v>
      </c>
      <c r="C98" s="9" t="s">
        <v>803</v>
      </c>
      <c r="D98" s="9" t="s">
        <v>804</v>
      </c>
      <c r="E98" s="9" t="s">
        <v>805</v>
      </c>
      <c r="F98" s="9" t="s">
        <v>806</v>
      </c>
      <c r="G98" s="9" t="s">
        <v>808</v>
      </c>
      <c r="L98" s="12">
        <f>$I$46*$L$46</f>
        <v>0</v>
      </c>
      <c r="M98" s="12">
        <f>$I$46*$M$46</f>
        <v>0</v>
      </c>
      <c r="N98" s="12">
        <f ca="1">$I$46*$N$46</f>
        <v>0</v>
      </c>
      <c r="O98" s="12">
        <f>$I$46*$O$46</f>
        <v>0</v>
      </c>
      <c r="P98" s="12">
        <f>$I$46*$P$46</f>
        <v>0</v>
      </c>
      <c r="Q98" s="12">
        <f>$I$46*$Q$46</f>
        <v>0</v>
      </c>
      <c r="R98" s="12">
        <f>$I$46*$R$46</f>
        <v>0</v>
      </c>
      <c r="S98" s="12">
        <f>$I$46*$S$46</f>
        <v>0</v>
      </c>
      <c r="T98" s="12">
        <f>$I$46*$T$46</f>
        <v>0</v>
      </c>
      <c r="U98" s="12">
        <f>$I$46*$U$46</f>
        <v>0</v>
      </c>
      <c r="V98" s="12">
        <f>$I$46*$V$46</f>
        <v>0</v>
      </c>
      <c r="W98" s="12">
        <f>$I$46*$W$46</f>
        <v>0</v>
      </c>
      <c r="X98" s="12">
        <f>$I$46*$X$46</f>
        <v>0</v>
      </c>
      <c r="Y98" s="12">
        <f>$I$46*$Y$46</f>
        <v>0</v>
      </c>
      <c r="Z98" s="12">
        <f>$I$46*$Z$46</f>
        <v>0</v>
      </c>
      <c r="AA98" s="12">
        <f>$I$46*$AA$46</f>
        <v>0</v>
      </c>
      <c r="AB98" s="12">
        <f ca="1">$I$46*$AB$46</f>
        <v>0</v>
      </c>
      <c r="AC98" s="12">
        <f ca="1">$I$46*$AC$46</f>
        <v>0</v>
      </c>
      <c r="AD98" s="12">
        <f>$I$46*$AD$46</f>
        <v>0</v>
      </c>
      <c r="AE98" s="12">
        <f>$I$46*$AE$46</f>
        <v>0</v>
      </c>
      <c r="AF98" s="12">
        <f ca="1">$I$46*$AF$46</f>
        <v>0</v>
      </c>
      <c r="AG98" s="12">
        <f ca="1">$I$46*$AG$46</f>
        <v>0</v>
      </c>
      <c r="AI98" s="12">
        <f>$I$46*$AI$46</f>
        <v>0</v>
      </c>
      <c r="AJ98" s="12">
        <f>$I$46*$AJ$46</f>
        <v>0</v>
      </c>
      <c r="AK98" s="12">
        <f>$I$46*$AK$46</f>
        <v>0</v>
      </c>
      <c r="AL98" s="12">
        <f>$I$46*$AL$46</f>
        <v>0</v>
      </c>
      <c r="AM98" s="12">
        <f>$I$46*$AM$46</f>
        <v>0</v>
      </c>
      <c r="AN98" s="12">
        <f>$I$46*$AN$46</f>
        <v>0</v>
      </c>
      <c r="AO98" s="12">
        <f>$I$46*$AO$46</f>
        <v>0</v>
      </c>
      <c r="AP98" s="12">
        <f>$I$46*$AP$46</f>
        <v>0</v>
      </c>
      <c r="AQ98" s="12">
        <f>$I$46*$AQ$46</f>
        <v>0</v>
      </c>
      <c r="AR98" s="12">
        <f>$I$46*$AR$46</f>
        <v>0</v>
      </c>
      <c r="AS98" s="12">
        <f>$I$46*$AS$46</f>
        <v>0</v>
      </c>
      <c r="AT98" s="12">
        <f>$I$46*$AT$46</f>
        <v>0</v>
      </c>
      <c r="AU98" s="12">
        <f>$I$46*$AU$46</f>
        <v>0</v>
      </c>
      <c r="AV98" s="12">
        <f>$I$46*$AV$46</f>
        <v>0</v>
      </c>
      <c r="AW98" s="12">
        <f>$I$46*$AW$46</f>
        <v>0</v>
      </c>
      <c r="AX98" s="12">
        <f>$I$46*$AX$46</f>
        <v>0</v>
      </c>
      <c r="AY98" s="12">
        <f>$I$46*$AY$46</f>
        <v>0</v>
      </c>
      <c r="AZ98" s="12">
        <f>$I$46*$AZ$46</f>
        <v>0</v>
      </c>
      <c r="BA98" s="12">
        <f>$I$46*$BA$46</f>
        <v>0</v>
      </c>
      <c r="BB98" s="12">
        <f>$I$46*$BB$46</f>
        <v>0</v>
      </c>
      <c r="BC98" s="12">
        <f>$I$46*$BC$46</f>
        <v>0</v>
      </c>
      <c r="BD98" s="12">
        <f>$I$46*$BD$46</f>
        <v>0</v>
      </c>
    </row>
    <row r="99" spans="1:56" ht="11.25" customHeight="1" x14ac:dyDescent="0.25">
      <c r="A99" s="9" t="s">
        <v>33</v>
      </c>
      <c r="B99" s="9" t="s">
        <v>802</v>
      </c>
      <c r="C99" s="9" t="s">
        <v>803</v>
      </c>
      <c r="D99" s="9" t="s">
        <v>804</v>
      </c>
      <c r="E99" s="9" t="s">
        <v>805</v>
      </c>
      <c r="F99" s="9" t="s">
        <v>806</v>
      </c>
      <c r="G99" s="9" t="s">
        <v>809</v>
      </c>
      <c r="L99" s="12">
        <f>$I$47*$L$47</f>
        <v>0</v>
      </c>
      <c r="M99" s="12">
        <f>$I$47*$M$47</f>
        <v>0</v>
      </c>
      <c r="N99" s="12">
        <f ca="1">$I$47*$N$47</f>
        <v>0</v>
      </c>
      <c r="O99" s="12">
        <f>$I$47*$O$47</f>
        <v>0</v>
      </c>
      <c r="P99" s="12">
        <f>$I$47*$P$47</f>
        <v>0</v>
      </c>
      <c r="Q99" s="12">
        <f>$I$47*$Q$47</f>
        <v>0</v>
      </c>
      <c r="R99" s="12">
        <f>$I$47*$R$47</f>
        <v>0</v>
      </c>
      <c r="S99" s="12">
        <f>$I$47*$S$47</f>
        <v>0</v>
      </c>
      <c r="T99" s="12">
        <f>$I$47*$T$47</f>
        <v>0</v>
      </c>
      <c r="U99" s="12">
        <f>$I$47*$U$47</f>
        <v>0</v>
      </c>
      <c r="V99" s="12">
        <f>$I$47*$V$47</f>
        <v>0</v>
      </c>
      <c r="W99" s="12">
        <f>$I$47*$W$47</f>
        <v>0</v>
      </c>
      <c r="X99" s="12">
        <f>$I$47*$X$47</f>
        <v>0</v>
      </c>
      <c r="Y99" s="12">
        <f>$I$47*$Y$47</f>
        <v>0</v>
      </c>
      <c r="Z99" s="12">
        <f>$I$47*$Z$47</f>
        <v>0</v>
      </c>
      <c r="AA99" s="12">
        <f>$I$47*$AA$47</f>
        <v>0</v>
      </c>
      <c r="AB99" s="12">
        <f ca="1">$I$47*$AB$47</f>
        <v>0</v>
      </c>
      <c r="AC99" s="12">
        <f ca="1">$I$47*$AC$47</f>
        <v>0</v>
      </c>
      <c r="AD99" s="12">
        <f>$I$47*$AD$47</f>
        <v>0</v>
      </c>
      <c r="AE99" s="12">
        <f>$I$47*$AE$47</f>
        <v>0</v>
      </c>
      <c r="AF99" s="12">
        <f ca="1">$I$47*$AF$47</f>
        <v>0</v>
      </c>
      <c r="AG99" s="12">
        <f ca="1">$I$47*$AG$47</f>
        <v>0</v>
      </c>
      <c r="AI99" s="12">
        <f>$I$47*$AI$47</f>
        <v>0</v>
      </c>
      <c r="AJ99" s="12">
        <f>$I$47*$AJ$47</f>
        <v>0</v>
      </c>
      <c r="AK99" s="12">
        <f>$I$47*$AK$47</f>
        <v>0</v>
      </c>
      <c r="AL99" s="12">
        <f>$I$47*$AL$47</f>
        <v>0</v>
      </c>
      <c r="AM99" s="12">
        <f>$I$47*$AM$47</f>
        <v>0</v>
      </c>
      <c r="AN99" s="12">
        <f>$I$47*$AN$47</f>
        <v>0</v>
      </c>
      <c r="AO99" s="12">
        <f>$I$47*$AO$47</f>
        <v>0</v>
      </c>
      <c r="AP99" s="12">
        <f>$I$47*$AP$47</f>
        <v>0</v>
      </c>
      <c r="AQ99" s="12">
        <f>$I$47*$AQ$47</f>
        <v>0</v>
      </c>
      <c r="AR99" s="12">
        <f>$I$47*$AR$47</f>
        <v>0</v>
      </c>
      <c r="AS99" s="12">
        <f>$I$47*$AS$47</f>
        <v>0</v>
      </c>
      <c r="AT99" s="12">
        <f>$I$47*$AT$47</f>
        <v>0</v>
      </c>
      <c r="AU99" s="12">
        <f>$I$47*$AU$47</f>
        <v>0</v>
      </c>
      <c r="AV99" s="12">
        <f>$I$47*$AV$47</f>
        <v>0</v>
      </c>
      <c r="AW99" s="12">
        <f>$I$47*$AW$47</f>
        <v>0</v>
      </c>
      <c r="AX99" s="12">
        <f>$I$47*$AX$47</f>
        <v>0</v>
      </c>
      <c r="AY99" s="12">
        <f>$I$47*$AY$47</f>
        <v>0</v>
      </c>
      <c r="AZ99" s="12">
        <f>$I$47*$AZ$47</f>
        <v>0</v>
      </c>
      <c r="BA99" s="12">
        <f>$I$47*$BA$47</f>
        <v>0</v>
      </c>
      <c r="BB99" s="12">
        <f>$I$47*$BB$47</f>
        <v>0</v>
      </c>
      <c r="BC99" s="12">
        <f>$I$47*$BC$47</f>
        <v>0</v>
      </c>
      <c r="BD99" s="12">
        <f>$I$47*$BD$47</f>
        <v>0</v>
      </c>
    </row>
    <row r="100" spans="1:56" ht="11.25" customHeight="1" x14ac:dyDescent="0.25">
      <c r="A100" s="9" t="s">
        <v>33</v>
      </c>
      <c r="B100" s="9" t="s">
        <v>810</v>
      </c>
      <c r="C100" s="9" t="s">
        <v>811</v>
      </c>
      <c r="D100" s="9" t="s">
        <v>812</v>
      </c>
      <c r="E100" s="9" t="s">
        <v>813</v>
      </c>
      <c r="F100" s="9" t="s">
        <v>814</v>
      </c>
      <c r="G100" s="9" t="s">
        <v>815</v>
      </c>
      <c r="L100" s="12">
        <f>$I$48*$L$48</f>
        <v>0</v>
      </c>
      <c r="M100" s="12">
        <f>$I$48*$M$48</f>
        <v>22667.464329054084</v>
      </c>
      <c r="N100" s="12">
        <f ca="1">$I$48*$N$48</f>
        <v>0</v>
      </c>
      <c r="O100" s="12">
        <f>$I$48*$O$48</f>
        <v>0</v>
      </c>
      <c r="P100" s="12">
        <f>$I$48*$P$48</f>
        <v>0</v>
      </c>
      <c r="Q100" s="12">
        <f>$I$48*$Q$48</f>
        <v>836175.51604043774</v>
      </c>
      <c r="R100" s="12">
        <f>$I$48*$R$48</f>
        <v>132291.04329843869</v>
      </c>
      <c r="S100" s="12">
        <f>$I$48*$S$48</f>
        <v>0</v>
      </c>
      <c r="T100" s="12">
        <f>$I$48*$T$48</f>
        <v>0</v>
      </c>
      <c r="U100" s="12">
        <f>$I$48*$U$48</f>
        <v>0</v>
      </c>
      <c r="V100" s="12">
        <f>$I$48*$V$48</f>
        <v>0</v>
      </c>
      <c r="W100" s="12">
        <f>$I$48*$W$48</f>
        <v>0</v>
      </c>
      <c r="X100" s="12">
        <f>$I$48*$X$48</f>
        <v>1385193.2957312786</v>
      </c>
      <c r="Y100" s="12">
        <f>$I$48*$Y$48</f>
        <v>0</v>
      </c>
      <c r="Z100" s="12">
        <f>$I$48*$Z$48</f>
        <v>0</v>
      </c>
      <c r="AA100" s="12">
        <f>$I$48*$AA$48</f>
        <v>1998489.4972879346</v>
      </c>
      <c r="AB100" s="12">
        <f ca="1">$I$48*$AB$48</f>
        <v>0</v>
      </c>
      <c r="AC100" s="12">
        <f ca="1">$I$48*$AC$48</f>
        <v>0</v>
      </c>
      <c r="AD100" s="12">
        <f>$I$48*$AD$48</f>
        <v>285252.186014348</v>
      </c>
      <c r="AE100" s="12">
        <f>$I$48*$AE$48</f>
        <v>0</v>
      </c>
      <c r="AF100" s="12">
        <f ca="1">$I$48*$AF$48</f>
        <v>0</v>
      </c>
      <c r="AG100" s="12">
        <f ca="1">$I$48*$AG$48</f>
        <v>0</v>
      </c>
      <c r="AI100" s="12">
        <f>$I$48*$AI$48</f>
        <v>0</v>
      </c>
      <c r="AJ100" s="12">
        <f>$I$48*$AJ$48</f>
        <v>21656.609959712092</v>
      </c>
      <c r="AK100" s="12">
        <f>$I$48*$AK$48</f>
        <v>0</v>
      </c>
      <c r="AL100" s="12">
        <f>$I$48*$AL$48</f>
        <v>0</v>
      </c>
      <c r="AM100" s="12">
        <f>$I$48*$AM$48</f>
        <v>0</v>
      </c>
      <c r="AN100" s="12">
        <f>$I$48*$AN$48</f>
        <v>573649.25361997436</v>
      </c>
      <c r="AO100" s="12">
        <f>$I$48*$AO$48</f>
        <v>89033.752509422236</v>
      </c>
      <c r="AP100" s="12">
        <f>$I$48*$AP$48</f>
        <v>0</v>
      </c>
      <c r="AQ100" s="12">
        <f>$I$48*$AQ$48</f>
        <v>0</v>
      </c>
      <c r="AR100" s="12">
        <f>$I$48*$AR$48</f>
        <v>0</v>
      </c>
      <c r="AS100" s="12">
        <f>$I$48*$AS$48</f>
        <v>0</v>
      </c>
      <c r="AT100" s="12">
        <f>$I$48*$AT$48</f>
        <v>0</v>
      </c>
      <c r="AU100" s="12">
        <f>$I$48*$AU$48</f>
        <v>1176631.9959863124</v>
      </c>
      <c r="AV100" s="12">
        <f>$I$48*$AV$48</f>
        <v>0</v>
      </c>
      <c r="AW100" s="12">
        <f>$I$48*$AW$48</f>
        <v>0</v>
      </c>
      <c r="AX100" s="12">
        <f>$I$48*$AX$48</f>
        <v>1873464.1020407192</v>
      </c>
      <c r="AY100" s="12">
        <f>$I$48*$AY$48</f>
        <v>0</v>
      </c>
      <c r="AZ100" s="12">
        <f>$I$48*$AZ$48</f>
        <v>0</v>
      </c>
      <c r="BA100" s="12">
        <f>$I$48*$BA$48</f>
        <v>332358.86658630852</v>
      </c>
      <c r="BB100" s="12">
        <f>$I$48*$BB$48</f>
        <v>0</v>
      </c>
      <c r="BC100" s="12">
        <f>$I$48*$BC$48</f>
        <v>0</v>
      </c>
      <c r="BD100" s="12">
        <f>$I$48*$BD$48</f>
        <v>0</v>
      </c>
    </row>
    <row r="101" spans="1:56" ht="11.25" customHeight="1" x14ac:dyDescent="0.25">
      <c r="A101" s="9" t="s">
        <v>33</v>
      </c>
      <c r="B101" s="9" t="s">
        <v>816</v>
      </c>
      <c r="C101" s="9" t="s">
        <v>817</v>
      </c>
      <c r="D101" s="9" t="s">
        <v>818</v>
      </c>
      <c r="E101" s="9" t="s">
        <v>819</v>
      </c>
      <c r="F101" s="9" t="s">
        <v>820</v>
      </c>
      <c r="G101" s="9" t="s">
        <v>821</v>
      </c>
      <c r="L101" s="12">
        <f>$I$49*$L$49</f>
        <v>0</v>
      </c>
      <c r="M101" s="12">
        <f>$I$49*$M$49</f>
        <v>0</v>
      </c>
      <c r="N101" s="12">
        <f ca="1">$I$49*$N$49</f>
        <v>0</v>
      </c>
      <c r="O101" s="12">
        <f>$I$49*$O$49</f>
        <v>0</v>
      </c>
      <c r="P101" s="12">
        <f>$I$49*$P$49</f>
        <v>0</v>
      </c>
      <c r="Q101" s="12">
        <f>$I$49*$Q$49</f>
        <v>0</v>
      </c>
      <c r="R101" s="12">
        <f>$I$49*$R$49</f>
        <v>0</v>
      </c>
      <c r="S101" s="12">
        <f>$I$49*$S$49</f>
        <v>0</v>
      </c>
      <c r="T101" s="12">
        <f>$I$49*$T$49</f>
        <v>0</v>
      </c>
      <c r="U101" s="12">
        <f>$I$49*$U$49</f>
        <v>0</v>
      </c>
      <c r="V101" s="12">
        <f>$I$49*$V$49</f>
        <v>0</v>
      </c>
      <c r="W101" s="12">
        <f>$I$49*$W$49</f>
        <v>0</v>
      </c>
      <c r="X101" s="12">
        <f>$I$49*$X$49</f>
        <v>0</v>
      </c>
      <c r="Y101" s="12">
        <f>$I$49*$Y$49</f>
        <v>0</v>
      </c>
      <c r="Z101" s="12">
        <f>$I$49*$Z$49</f>
        <v>0</v>
      </c>
      <c r="AA101" s="12">
        <f>$I$49*$AA$49</f>
        <v>0</v>
      </c>
      <c r="AB101" s="12">
        <f ca="1">$I$49*$AB$49</f>
        <v>0</v>
      </c>
      <c r="AC101" s="12">
        <f ca="1">$I$49*$AC$49</f>
        <v>0</v>
      </c>
      <c r="AD101" s="12">
        <f>$I$49*$AD$49</f>
        <v>0</v>
      </c>
      <c r="AE101" s="12">
        <f>$I$49*$AE$49</f>
        <v>0</v>
      </c>
      <c r="AF101" s="12">
        <f ca="1">$I$49*$AF$49</f>
        <v>0</v>
      </c>
      <c r="AG101" s="12">
        <f ca="1">$I$49*$AG$49</f>
        <v>0</v>
      </c>
      <c r="AI101" s="12">
        <f>$I$49*$AI$49</f>
        <v>0</v>
      </c>
      <c r="AJ101" s="12">
        <f>$I$49*$AJ$49</f>
        <v>0</v>
      </c>
      <c r="AK101" s="12">
        <f>$I$49*$AK$49</f>
        <v>0</v>
      </c>
      <c r="AL101" s="12">
        <f>$I$49*$AL$49</f>
        <v>0</v>
      </c>
      <c r="AM101" s="12">
        <f>$I$49*$AM$49</f>
        <v>0</v>
      </c>
      <c r="AN101" s="12">
        <f>$I$49*$AN$49</f>
        <v>0</v>
      </c>
      <c r="AO101" s="12">
        <f>$I$49*$AO$49</f>
        <v>0</v>
      </c>
      <c r="AP101" s="12">
        <f>$I$49*$AP$49</f>
        <v>0</v>
      </c>
      <c r="AQ101" s="12">
        <f>$I$49*$AQ$49</f>
        <v>0</v>
      </c>
      <c r="AR101" s="12">
        <f>$I$49*$AR$49</f>
        <v>0</v>
      </c>
      <c r="AS101" s="12">
        <f>$I$49*$AS$49</f>
        <v>0</v>
      </c>
      <c r="AT101" s="12">
        <f>$I$49*$AT$49</f>
        <v>0</v>
      </c>
      <c r="AU101" s="12">
        <f>$I$49*$AU$49</f>
        <v>0</v>
      </c>
      <c r="AV101" s="12">
        <f>$I$49*$AV$49</f>
        <v>0</v>
      </c>
      <c r="AW101" s="12">
        <f>$I$49*$AW$49</f>
        <v>0</v>
      </c>
      <c r="AX101" s="12">
        <f>$I$49*$AX$49</f>
        <v>0</v>
      </c>
      <c r="AY101" s="12">
        <f>$I$49*$AY$49</f>
        <v>0</v>
      </c>
      <c r="AZ101" s="12">
        <f>$I$49*$AZ$49</f>
        <v>0</v>
      </c>
      <c r="BA101" s="12">
        <f>$I$49*$BA$49</f>
        <v>0</v>
      </c>
      <c r="BB101" s="12">
        <f>$I$49*$BB$49</f>
        <v>0</v>
      </c>
      <c r="BC101" s="12">
        <f>$I$49*$BC$49</f>
        <v>0</v>
      </c>
      <c r="BD101" s="12">
        <f>$I$49*$BD$49</f>
        <v>0</v>
      </c>
    </row>
    <row r="102" spans="1:56" ht="11.25" customHeight="1" x14ac:dyDescent="0.25">
      <c r="A102" s="9" t="s">
        <v>43</v>
      </c>
      <c r="B102" s="9" t="s">
        <v>822</v>
      </c>
      <c r="C102" s="9" t="s">
        <v>823</v>
      </c>
      <c r="D102" s="9" t="s">
        <v>824</v>
      </c>
      <c r="E102" s="9" t="s">
        <v>825</v>
      </c>
      <c r="F102" s="9" t="s">
        <v>826</v>
      </c>
      <c r="G102" s="9" t="s">
        <v>827</v>
      </c>
      <c r="L102" s="12">
        <f>$I$50*$L$50</f>
        <v>0</v>
      </c>
      <c r="M102" s="12">
        <f>$I$50*$M$50</f>
        <v>6317.5433977924185</v>
      </c>
      <c r="N102" s="12">
        <f ca="1">$I$50*$N$50</f>
        <v>0</v>
      </c>
      <c r="O102" s="12">
        <f>$I$50*$O$50</f>
        <v>0</v>
      </c>
      <c r="P102" s="12">
        <f>$I$50*$P$50</f>
        <v>0</v>
      </c>
      <c r="Q102" s="12">
        <f>$I$50*$Q$50</f>
        <v>233046.58315866327</v>
      </c>
      <c r="R102" s="12">
        <f>$I$50*$R$50</f>
        <v>36870.220464222446</v>
      </c>
      <c r="S102" s="12">
        <f>$I$50*$S$50</f>
        <v>0</v>
      </c>
      <c r="T102" s="12">
        <f>$I$50*$T$50</f>
        <v>0</v>
      </c>
      <c r="U102" s="12">
        <f>$I$50*$U$50</f>
        <v>0</v>
      </c>
      <c r="V102" s="12">
        <f>$I$50*$V$50</f>
        <v>0</v>
      </c>
      <c r="W102" s="12">
        <f>$I$50*$W$50</f>
        <v>0</v>
      </c>
      <c r="X102" s="12">
        <f>$I$50*$X$50</f>
        <v>386060.77120398585</v>
      </c>
      <c r="Y102" s="12">
        <f>$I$50*$Y$50</f>
        <v>0</v>
      </c>
      <c r="Z102" s="12">
        <f>$I$50*$Z$50</f>
        <v>0</v>
      </c>
      <c r="AA102" s="12">
        <f>$I$50*$AA$50</f>
        <v>556989.69879776333</v>
      </c>
      <c r="AB102" s="12">
        <f ca="1">$I$50*$AB$50</f>
        <v>0</v>
      </c>
      <c r="AC102" s="12">
        <f ca="1">$I$50*$AC$50</f>
        <v>0</v>
      </c>
      <c r="AD102" s="12">
        <f>$I$50*$AD$50</f>
        <v>79501.308055482892</v>
      </c>
      <c r="AE102" s="12">
        <f>$I$50*$AE$50</f>
        <v>0</v>
      </c>
      <c r="AF102" s="12">
        <f ca="1">$I$50*$AF$50</f>
        <v>0</v>
      </c>
      <c r="AG102" s="12">
        <f ca="1">$I$50*$AG$50</f>
        <v>0</v>
      </c>
      <c r="AI102" s="12">
        <f>$I$50*$AI$50</f>
        <v>0</v>
      </c>
      <c r="AJ102" s="12">
        <f>$I$50*$AJ$50</f>
        <v>6035.8128850865642</v>
      </c>
      <c r="AK102" s="12">
        <f>$I$50*$AK$50</f>
        <v>0</v>
      </c>
      <c r="AL102" s="12">
        <f>$I$50*$AL$50</f>
        <v>0</v>
      </c>
      <c r="AM102" s="12">
        <f>$I$50*$AM$50</f>
        <v>0</v>
      </c>
      <c r="AN102" s="12">
        <f>$I$50*$AN$50</f>
        <v>159879.11141036943</v>
      </c>
      <c r="AO102" s="12">
        <f>$I$50*$AO$50</f>
        <v>24814.182441466597</v>
      </c>
      <c r="AP102" s="12">
        <f>$I$50*$AP$50</f>
        <v>0</v>
      </c>
      <c r="AQ102" s="12">
        <f>$I$50*$AQ$50</f>
        <v>0</v>
      </c>
      <c r="AR102" s="12">
        <f>$I$50*$AR$50</f>
        <v>0</v>
      </c>
      <c r="AS102" s="12">
        <f>$I$50*$AS$50</f>
        <v>0</v>
      </c>
      <c r="AT102" s="12">
        <f>$I$50*$AT$50</f>
        <v>0</v>
      </c>
      <c r="AU102" s="12">
        <f>$I$50*$AU$50</f>
        <v>327933.62283344782</v>
      </c>
      <c r="AV102" s="12">
        <f>$I$50*$AV$50</f>
        <v>0</v>
      </c>
      <c r="AW102" s="12">
        <f>$I$50*$AW$50</f>
        <v>0</v>
      </c>
      <c r="AX102" s="12">
        <f>$I$50*$AX$50</f>
        <v>522144.45325840992</v>
      </c>
      <c r="AY102" s="12">
        <f>$I$50*$AY$50</f>
        <v>0</v>
      </c>
      <c r="AZ102" s="12">
        <f>$I$50*$AZ$50</f>
        <v>0</v>
      </c>
      <c r="BA102" s="12">
        <f>$I$50*$BA$50</f>
        <v>92630.191574133103</v>
      </c>
      <c r="BB102" s="12">
        <f>$I$50*$BB$50</f>
        <v>0</v>
      </c>
      <c r="BC102" s="12">
        <f>$I$50*$BC$50</f>
        <v>0</v>
      </c>
      <c r="BD102" s="12">
        <f>$I$50*$BD$50</f>
        <v>0</v>
      </c>
    </row>
    <row r="103" spans="1:56" ht="11.25" customHeight="1" x14ac:dyDescent="0.25">
      <c r="A103" s="9" t="s">
        <v>43</v>
      </c>
      <c r="B103" s="9" t="s">
        <v>822</v>
      </c>
      <c r="C103" s="9" t="s">
        <v>823</v>
      </c>
      <c r="D103" s="9" t="s">
        <v>828</v>
      </c>
      <c r="E103" s="9" t="s">
        <v>829</v>
      </c>
      <c r="F103" s="9" t="s">
        <v>830</v>
      </c>
      <c r="G103" s="9" t="s">
        <v>831</v>
      </c>
      <c r="L103" s="12">
        <f>$I$51*$L$51</f>
        <v>0</v>
      </c>
      <c r="M103" s="12">
        <f>$I$51*$M$51</f>
        <v>0</v>
      </c>
      <c r="N103" s="12">
        <f ca="1">$I$51*$N$51</f>
        <v>0</v>
      </c>
      <c r="O103" s="12">
        <f>$I$51*$O$51</f>
        <v>0</v>
      </c>
      <c r="P103" s="12">
        <f>$I$51*$P$51</f>
        <v>0</v>
      </c>
      <c r="Q103" s="12">
        <f>$I$51*$Q$51</f>
        <v>0</v>
      </c>
      <c r="R103" s="12">
        <f>$I$51*$R$51</f>
        <v>0</v>
      </c>
      <c r="S103" s="12">
        <f>$I$51*$S$51</f>
        <v>0</v>
      </c>
      <c r="T103" s="12">
        <f>$I$51*$T$51</f>
        <v>0</v>
      </c>
      <c r="U103" s="12">
        <f>$I$51*$U$51</f>
        <v>0</v>
      </c>
      <c r="V103" s="12">
        <f>$I$51*$V$51</f>
        <v>0</v>
      </c>
      <c r="W103" s="12">
        <f>$I$51*$W$51</f>
        <v>0</v>
      </c>
      <c r="X103" s="12">
        <f>$I$51*$X$51</f>
        <v>0</v>
      </c>
      <c r="Y103" s="12">
        <f>$I$51*$Y$51</f>
        <v>0</v>
      </c>
      <c r="Z103" s="12">
        <f>$I$51*$Z$51</f>
        <v>0</v>
      </c>
      <c r="AA103" s="12">
        <f>$I$51*$AA$51</f>
        <v>0</v>
      </c>
      <c r="AB103" s="12">
        <f ca="1">$I$51*$AB$51</f>
        <v>0</v>
      </c>
      <c r="AC103" s="12">
        <f ca="1">$I$51*$AC$51</f>
        <v>0</v>
      </c>
      <c r="AD103" s="12">
        <f>$I$51*$AD$51</f>
        <v>0</v>
      </c>
      <c r="AE103" s="12">
        <f>$I$51*$AE$51</f>
        <v>0</v>
      </c>
      <c r="AF103" s="12">
        <f ca="1">$I$51*$AF$51</f>
        <v>0</v>
      </c>
      <c r="AG103" s="12">
        <f ca="1">$I$51*$AG$51</f>
        <v>0</v>
      </c>
      <c r="AI103" s="12">
        <f>$I$51*$AI$51</f>
        <v>0</v>
      </c>
      <c r="AJ103" s="12">
        <f>$I$51*$AJ$51</f>
        <v>0</v>
      </c>
      <c r="AK103" s="12">
        <f>$I$51*$AK$51</f>
        <v>0</v>
      </c>
      <c r="AL103" s="12">
        <f>$I$51*$AL$51</f>
        <v>0</v>
      </c>
      <c r="AM103" s="12">
        <f>$I$51*$AM$51</f>
        <v>0</v>
      </c>
      <c r="AN103" s="12">
        <f>$I$51*$AN$51</f>
        <v>0</v>
      </c>
      <c r="AO103" s="12">
        <f>$I$51*$AO$51</f>
        <v>0</v>
      </c>
      <c r="AP103" s="12">
        <f>$I$51*$AP$51</f>
        <v>0</v>
      </c>
      <c r="AQ103" s="12">
        <f>$I$51*$AQ$51</f>
        <v>0</v>
      </c>
      <c r="AR103" s="12">
        <f>$I$51*$AR$51</f>
        <v>0</v>
      </c>
      <c r="AS103" s="12">
        <f>$I$51*$AS$51</f>
        <v>0</v>
      </c>
      <c r="AT103" s="12">
        <f>$I$51*$AT$51</f>
        <v>0</v>
      </c>
      <c r="AU103" s="12">
        <f>$I$51*$AU$51</f>
        <v>0</v>
      </c>
      <c r="AV103" s="12">
        <f>$I$51*$AV$51</f>
        <v>0</v>
      </c>
      <c r="AW103" s="12">
        <f>$I$51*$AW$51</f>
        <v>0</v>
      </c>
      <c r="AX103" s="12">
        <f>$I$51*$AX$51</f>
        <v>0</v>
      </c>
      <c r="AY103" s="12">
        <f>$I$51*$AY$51</f>
        <v>0</v>
      </c>
      <c r="AZ103" s="12">
        <f>$I$51*$AZ$51</f>
        <v>0</v>
      </c>
      <c r="BA103" s="12">
        <f>$I$51*$BA$51</f>
        <v>0</v>
      </c>
      <c r="BB103" s="12">
        <f>$I$51*$BB$51</f>
        <v>0</v>
      </c>
      <c r="BC103" s="12">
        <f>$I$51*$BC$51</f>
        <v>0</v>
      </c>
      <c r="BD103" s="12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6194-C727-4F0B-A989-A690941284CA}">
  <sheetPr codeName="Planilha23"/>
  <dimension ref="A1:AH83"/>
  <sheetViews>
    <sheetView showGridLines="0" topLeftCell="L29" workbookViewId="0">
      <selection activeCell="V42" sqref="V42"/>
    </sheetView>
  </sheetViews>
  <sheetFormatPr defaultColWidth="9.140625"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12" t="s">
        <v>61</v>
      </c>
      <c r="B1" s="112" t="s">
        <v>62</v>
      </c>
      <c r="C1" s="112" t="s">
        <v>63</v>
      </c>
      <c r="D1" s="112" t="s">
        <v>64</v>
      </c>
      <c r="E1" s="112" t="s">
        <v>65</v>
      </c>
      <c r="F1" s="112" t="s">
        <v>15</v>
      </c>
      <c r="G1" s="112" t="s">
        <v>67</v>
      </c>
      <c r="H1" s="112" t="s">
        <v>68</v>
      </c>
      <c r="I1" s="112" t="s">
        <v>460</v>
      </c>
      <c r="J1" s="100"/>
      <c r="L1" s="110" t="s">
        <v>832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X1" s="110" t="s">
        <v>833</v>
      </c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4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00"/>
      <c r="L2" s="110" t="s">
        <v>388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X2" s="110" t="s">
        <v>388</v>
      </c>
      <c r="Y2" s="110"/>
      <c r="Z2" s="110"/>
      <c r="AA2" s="110"/>
      <c r="AB2" s="110"/>
      <c r="AC2" s="110"/>
      <c r="AD2" s="110"/>
      <c r="AE2" s="110"/>
      <c r="AF2" s="110"/>
      <c r="AG2" s="110"/>
      <c r="AH2" s="110"/>
    </row>
    <row r="3" spans="1:34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00"/>
      <c r="L3" s="110" t="s">
        <v>361</v>
      </c>
      <c r="M3" s="110"/>
      <c r="N3" s="110"/>
      <c r="O3" s="110"/>
      <c r="P3" s="110"/>
      <c r="Q3" s="24" t="s">
        <v>392</v>
      </c>
      <c r="R3" s="110" t="s">
        <v>370</v>
      </c>
      <c r="S3" s="110"/>
      <c r="T3" s="110"/>
      <c r="U3" s="24" t="s">
        <v>380</v>
      </c>
      <c r="V3" s="24" t="s">
        <v>383</v>
      </c>
      <c r="X3" s="110" t="s">
        <v>361</v>
      </c>
      <c r="Y3" s="110"/>
      <c r="Z3" s="110"/>
      <c r="AA3" s="110"/>
      <c r="AB3" s="110"/>
      <c r="AC3" s="24" t="s">
        <v>392</v>
      </c>
      <c r="AD3" s="110" t="s">
        <v>370</v>
      </c>
      <c r="AE3" s="110"/>
      <c r="AF3" s="110"/>
      <c r="AG3" s="24" t="s">
        <v>380</v>
      </c>
      <c r="AH3" s="24" t="s">
        <v>383</v>
      </c>
    </row>
    <row r="4" spans="1:34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100"/>
      <c r="L4" s="24" t="s">
        <v>363</v>
      </c>
      <c r="M4" s="24" t="s">
        <v>389</v>
      </c>
      <c r="N4" s="24" t="s">
        <v>390</v>
      </c>
      <c r="O4" s="24" t="s">
        <v>449</v>
      </c>
      <c r="P4" s="24" t="s">
        <v>391</v>
      </c>
      <c r="Q4" s="24" t="s">
        <v>393</v>
      </c>
      <c r="R4" s="24" t="s">
        <v>394</v>
      </c>
      <c r="S4" s="24" t="s">
        <v>395</v>
      </c>
      <c r="T4" s="24" t="s">
        <v>396</v>
      </c>
      <c r="U4" s="24" t="s">
        <v>381</v>
      </c>
      <c r="V4" s="24" t="s">
        <v>397</v>
      </c>
      <c r="X4" s="24" t="s">
        <v>363</v>
      </c>
      <c r="Y4" s="24" t="s">
        <v>389</v>
      </c>
      <c r="Z4" s="24" t="s">
        <v>390</v>
      </c>
      <c r="AA4" s="24" t="s">
        <v>449</v>
      </c>
      <c r="AB4" s="24" t="s">
        <v>391</v>
      </c>
      <c r="AC4" s="24" t="s">
        <v>393</v>
      </c>
      <c r="AD4" s="24" t="s">
        <v>394</v>
      </c>
      <c r="AE4" s="24" t="s">
        <v>395</v>
      </c>
      <c r="AF4" s="24" t="s">
        <v>396</v>
      </c>
      <c r="AG4" s="24" t="s">
        <v>381</v>
      </c>
      <c r="AH4" s="24" t="s">
        <v>397</v>
      </c>
    </row>
    <row r="5" spans="1:34" ht="11.25" customHeight="1" x14ac:dyDescent="0.25">
      <c r="A5" s="113" t="s">
        <v>35</v>
      </c>
      <c r="B5" s="113" t="s">
        <v>70</v>
      </c>
      <c r="C5" s="113" t="s">
        <v>25</v>
      </c>
      <c r="D5" s="113" t="s">
        <v>25</v>
      </c>
      <c r="E5" s="113" t="s">
        <v>25</v>
      </c>
      <c r="F5" s="113" t="s">
        <v>25</v>
      </c>
      <c r="G5" s="22" t="s">
        <v>72</v>
      </c>
      <c r="H5" s="22" t="s">
        <v>71</v>
      </c>
      <c r="I5" s="22">
        <f>'MERCADO TE'!$U$2</f>
        <v>917.02499999999986</v>
      </c>
      <c r="J5" s="15"/>
      <c r="L5" s="20">
        <f>('TE BE'!$L$5+'TE BF'!$L$5+'TE CVA'!$L$5)*1</f>
        <v>0</v>
      </c>
      <c r="M5" s="20">
        <f>('TE BE'!$M$5+'TE BF'!$M$5+'TE CVA'!$M$5)*1</f>
        <v>0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0</v>
      </c>
      <c r="Q5" s="20">
        <f>('TE BE'!$R$5+'TE BF'!$R$5+'TE CVA'!$R$5)*1</f>
        <v>251.92449556687748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252.22276744159899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25">
      <c r="A6" s="113"/>
      <c r="B6" s="113"/>
      <c r="C6" s="113"/>
      <c r="D6" s="113"/>
      <c r="E6" s="113"/>
      <c r="F6" s="113"/>
      <c r="G6" s="22" t="s">
        <v>73</v>
      </c>
      <c r="H6" s="22" t="s">
        <v>71</v>
      </c>
      <c r="I6" s="22">
        <f>'MERCADO TE'!$U$3</f>
        <v>14461.756000000001</v>
      </c>
      <c r="J6" s="15"/>
      <c r="L6" s="20">
        <f>('TE BE'!$L$6+'TE BF'!$L$6+'TE CVA'!$L$6)*1</f>
        <v>0</v>
      </c>
      <c r="M6" s="20">
        <f>('TE BE'!$M$6+'TE BF'!$M$6+'TE CVA'!$M$6)*1</f>
        <v>0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0</v>
      </c>
      <c r="Q6" s="20">
        <f>('TE BE'!$R$6+'TE BF'!$R$6+'TE CVA'!$R$6)*1</f>
        <v>251.92449556687748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252.22276744159899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25">
      <c r="A7" s="113" t="s">
        <v>22</v>
      </c>
      <c r="B7" s="113" t="s">
        <v>70</v>
      </c>
      <c r="C7" s="113" t="s">
        <v>24</v>
      </c>
      <c r="D7" s="113" t="s">
        <v>24</v>
      </c>
      <c r="E7" s="113" t="s">
        <v>25</v>
      </c>
      <c r="F7" s="113" t="s">
        <v>25</v>
      </c>
      <c r="G7" s="22" t="s">
        <v>72</v>
      </c>
      <c r="H7" s="22" t="s">
        <v>71</v>
      </c>
      <c r="I7" s="22">
        <f>'MERCADO TE'!$U$4</f>
        <v>0</v>
      </c>
      <c r="J7" s="15"/>
      <c r="L7" s="20">
        <f>('TE BE'!$L$7+'TE BF'!$L$7+'TE CVA'!$L$7)*1</f>
        <v>0</v>
      </c>
      <c r="M7" s="20">
        <f>('TE BE'!$M$7+'TE BF'!$M$7+'TE CVA'!$M$7)*1</f>
        <v>0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0</v>
      </c>
      <c r="Q7" s="20">
        <f>('TE BE'!$R$7+'TE BF'!$R$7+'TE CVA'!$R$7)*1</f>
        <v>251.92449556687748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252.22276744159899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25">
      <c r="A8" s="113"/>
      <c r="B8" s="113"/>
      <c r="C8" s="113"/>
      <c r="D8" s="113"/>
      <c r="E8" s="113"/>
      <c r="F8" s="113"/>
      <c r="G8" s="22" t="s">
        <v>83</v>
      </c>
      <c r="H8" s="22" t="s">
        <v>71</v>
      </c>
      <c r="I8" s="22">
        <f>'MERCADO TE'!$U$5</f>
        <v>0</v>
      </c>
      <c r="J8" s="15"/>
      <c r="L8" s="20">
        <f>('TE BE'!$L$8+'TE BF'!$L$8+'TE CVA'!$L$8)*1</f>
        <v>0</v>
      </c>
      <c r="M8" s="20">
        <f>('TE BE'!$M$8+'TE BF'!$M$8+'TE CVA'!$M$8)*1</f>
        <v>0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0</v>
      </c>
      <c r="Q8" s="20">
        <f>('TE BE'!$R$8+'TE BF'!$R$8+'TE CVA'!$R$8)*1</f>
        <v>251.92449556687748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252.22276744159899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25">
      <c r="A9" s="113"/>
      <c r="B9" s="113"/>
      <c r="C9" s="113"/>
      <c r="D9" s="113"/>
      <c r="E9" s="113"/>
      <c r="F9" s="113"/>
      <c r="G9" s="22" t="s">
        <v>73</v>
      </c>
      <c r="H9" s="22" t="s">
        <v>71</v>
      </c>
      <c r="I9" s="22">
        <f>'MERCADO TE'!$U$6</f>
        <v>0</v>
      </c>
      <c r="J9" s="15"/>
      <c r="L9" s="20">
        <f>('TE BE'!$L$9+'TE BF'!$L$9+'TE CVA'!$L$9)*1</f>
        <v>0</v>
      </c>
      <c r="M9" s="20">
        <f>('TE BE'!$M$9+'TE BF'!$M$9+'TE CVA'!$M$9)*1</f>
        <v>0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0</v>
      </c>
      <c r="Q9" s="20">
        <f>('TE BE'!$R$9+'TE BF'!$R$9+'TE CVA'!$R$9)*1</f>
        <v>251.92449556687748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252.22276744159899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25">
      <c r="A10" s="113"/>
      <c r="B10" s="113" t="s">
        <v>84</v>
      </c>
      <c r="C10" s="113" t="s">
        <v>24</v>
      </c>
      <c r="D10" s="23" t="s">
        <v>24</v>
      </c>
      <c r="E10" s="23" t="s">
        <v>25</v>
      </c>
      <c r="F10" s="23" t="s">
        <v>25</v>
      </c>
      <c r="G10" s="22" t="s">
        <v>77</v>
      </c>
      <c r="H10" s="22" t="s">
        <v>71</v>
      </c>
      <c r="I10" s="22">
        <f>'MERCADO TE'!$U$7</f>
        <v>13817.398000000001</v>
      </c>
      <c r="J10" s="15"/>
      <c r="L10" s="20">
        <f>('TE BE'!$L$10+'TE BF'!$L$10+'TE CVA'!$L$10)*1</f>
        <v>0</v>
      </c>
      <c r="M10" s="20">
        <f>('TE BE'!$M$10+'TE BF'!$M$10+'TE CVA'!$M$10)*1</f>
        <v>0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0</v>
      </c>
      <c r="Q10" s="20">
        <f>('TE BE'!$R$10+'TE BF'!$R$10+'TE CVA'!$R$10)*1</f>
        <v>251.92449556687748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252.22276744159899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25">
      <c r="A11" s="113"/>
      <c r="B11" s="113"/>
      <c r="C11" s="113"/>
      <c r="D11" s="23" t="s">
        <v>29</v>
      </c>
      <c r="E11" s="23" t="s">
        <v>25</v>
      </c>
      <c r="F11" s="23" t="s">
        <v>25</v>
      </c>
      <c r="G11" s="22" t="s">
        <v>77</v>
      </c>
      <c r="H11" s="22" t="s">
        <v>71</v>
      </c>
      <c r="I11" s="22">
        <f>'MERCADO TE'!$U$8</f>
        <v>152.22200000000001</v>
      </c>
      <c r="J11" s="15"/>
      <c r="L11" s="20">
        <f>('TE BE'!$L$11+'TE BF'!$L$11+'TE CVA'!$L$11)*(1 - 0.65)</f>
        <v>0</v>
      </c>
      <c r="M11" s="20">
        <f>('TE BE'!$M$11+'TE BF'!$M$11+'TE CVA'!$M$11)*(1 - 0.65)</f>
        <v>0</v>
      </c>
      <c r="N11" s="20">
        <f>('TE BE'!$N$11+'TE BF'!$N$11+'TE CVA'!$N$11)*(1 - 0.65)</f>
        <v>0</v>
      </c>
      <c r="O11" s="20">
        <f>('TE BE'!$O$11+'TE BF'!$O$11+'TE CVA'!$O$11)*(1 - 0.65)</f>
        <v>0</v>
      </c>
      <c r="P11" s="20">
        <f>('TE BE'!$P$11+'TE BF'!$P$11+'TE CVA'!$P$11)*(1 - 0.65)</f>
        <v>0</v>
      </c>
      <c r="Q11" s="20">
        <f>('TE BE'!$R$11+'TE BF'!$R$11+'TE CVA'!$R$11)*(1 - 0.65)</f>
        <v>88.173573448407112</v>
      </c>
      <c r="R11" s="20">
        <f>('TE BE'!$T$11+'TE BF'!$T$11+'TE CVA'!$T$11)*(1 - 0.65)</f>
        <v>0</v>
      </c>
      <c r="S11" s="20">
        <f>('TE BE'!$U$11+'TE BF'!$U$11+'TE CVA'!$U$11)*(1 - 0.65)</f>
        <v>0</v>
      </c>
      <c r="T11" s="20">
        <f>('TE BE'!$V$11+'TE BF'!$V$11+'TE CVA'!$V$11)*(1 - 0.65)</f>
        <v>0</v>
      </c>
      <c r="U11" s="20">
        <f>('TE BE'!$X$11+'TE BF'!$X$11+'TE CVA'!$X$11)*(1 - 0.65)</f>
        <v>0</v>
      </c>
      <c r="V11" s="20">
        <f>('TE BE'!$Z$11+'TE BF'!$Z$11+'TE CVA'!$Z$11)*(1 - 0.65)</f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88.277968604559703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25">
      <c r="A12" s="113"/>
      <c r="B12" s="113"/>
      <c r="C12" s="113"/>
      <c r="D12" s="23" t="s">
        <v>30</v>
      </c>
      <c r="E12" s="23" t="s">
        <v>25</v>
      </c>
      <c r="F12" s="23" t="s">
        <v>25</v>
      </c>
      <c r="G12" s="22" t="s">
        <v>77</v>
      </c>
      <c r="H12" s="22" t="s">
        <v>71</v>
      </c>
      <c r="I12" s="22">
        <f>'MERCADO TE'!$U$9</f>
        <v>271.62199999999996</v>
      </c>
      <c r="J12" s="15"/>
      <c r="L12" s="20">
        <f>('TE BE'!$L$12+'TE BF'!$L$12+'TE CVA'!$L$12)*(1 - 0.4)</f>
        <v>0</v>
      </c>
      <c r="M12" s="20">
        <f>('TE BE'!$M$12+'TE BF'!$M$12+'TE CVA'!$M$12)*(1 - 0.4)</f>
        <v>0</v>
      </c>
      <c r="N12" s="20">
        <f>('TE BE'!$N$12+'TE BF'!$N$12+'TE CVA'!$N$12)*(1 - 0.4)</f>
        <v>0</v>
      </c>
      <c r="O12" s="20">
        <f>('TE BE'!$O$12+'TE BF'!$O$12+'TE CVA'!$O$12)*(1 - 0.4)</f>
        <v>0</v>
      </c>
      <c r="P12" s="20">
        <f>('TE BE'!$P$12+'TE BF'!$P$12+'TE CVA'!$P$12)*(1 - 0.4)</f>
        <v>0</v>
      </c>
      <c r="Q12" s="20">
        <f>('TE BE'!$R$12+'TE BF'!$R$12+'TE CVA'!$R$12)*(1 - 0.4)</f>
        <v>151.15469734012649</v>
      </c>
      <c r="R12" s="20">
        <f>('TE BE'!$T$12+'TE BF'!$T$12+'TE CVA'!$T$12)*(1 - 0.4)</f>
        <v>0</v>
      </c>
      <c r="S12" s="20">
        <f>('TE BE'!$U$12+'TE BF'!$U$12+'TE CVA'!$U$12)*(1 - 0.4)</f>
        <v>0</v>
      </c>
      <c r="T12" s="20">
        <f>('TE BE'!$V$12+'TE BF'!$V$12+'TE CVA'!$V$12)*(1 - 0.4)</f>
        <v>0</v>
      </c>
      <c r="U12" s="20">
        <f>('TE BE'!$X$12+'TE BF'!$X$12+'TE CVA'!$X$12)*(1 - 0.4)</f>
        <v>0</v>
      </c>
      <c r="V12" s="20">
        <f>('TE BE'!$Z$12+'TE BF'!$Z$12+'TE CVA'!$Z$12)*(1 - 0.4)</f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151.33366046495999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25">
      <c r="A13" s="113"/>
      <c r="B13" s="113"/>
      <c r="C13" s="113"/>
      <c r="D13" s="23" t="s">
        <v>31</v>
      </c>
      <c r="E13" s="23" t="s">
        <v>25</v>
      </c>
      <c r="F13" s="23" t="s">
        <v>25</v>
      </c>
      <c r="G13" s="22" t="s">
        <v>77</v>
      </c>
      <c r="H13" s="22" t="s">
        <v>71</v>
      </c>
      <c r="I13" s="22">
        <f>'MERCADO TE'!$U$10</f>
        <v>195.72200000000001</v>
      </c>
      <c r="J13" s="15"/>
      <c r="L13" s="20">
        <f>('TE BE'!$L$13+'TE BF'!$L$13+'TE CVA'!$L$13)*(1 - 0.1)</f>
        <v>0</v>
      </c>
      <c r="M13" s="20">
        <f>('TE BE'!$M$13+'TE BF'!$M$13+'TE CVA'!$M$13)*(1 - 0.1)</f>
        <v>0</v>
      </c>
      <c r="N13" s="20">
        <f>('TE BE'!$N$13+'TE BF'!$N$13+'TE CVA'!$N$13)*(1 - 0.1)</f>
        <v>0</v>
      </c>
      <c r="O13" s="20">
        <f>('TE BE'!$O$13+'TE BF'!$O$13+'TE CVA'!$O$13)*(1 - 0.1)</f>
        <v>0</v>
      </c>
      <c r="P13" s="20">
        <f>('TE BE'!$P$13+'TE BF'!$P$13+'TE CVA'!$P$13)*(1 - 0.1)</f>
        <v>0</v>
      </c>
      <c r="Q13" s="20">
        <f>('TE BE'!$R$13+'TE BF'!$R$13+'TE CVA'!$R$13)*(1 - 0.1)</f>
        <v>226.73204601018975</v>
      </c>
      <c r="R13" s="20">
        <f>('TE BE'!$T$13+'TE BF'!$T$13+'TE CVA'!$T$13)*(1 - 0.1)</f>
        <v>0</v>
      </c>
      <c r="S13" s="20">
        <f>('TE BE'!$U$13+'TE BF'!$U$13+'TE CVA'!$U$13)*(1 - 0.1)</f>
        <v>0</v>
      </c>
      <c r="T13" s="20">
        <f>('TE BE'!$V$13+'TE BF'!$V$13+'TE CVA'!$V$13)*(1 - 0.1)</f>
        <v>0</v>
      </c>
      <c r="U13" s="20">
        <f>('TE BE'!$X$13+'TE BF'!$X$13+'TE CVA'!$X$13)*(1 - 0.1)</f>
        <v>0</v>
      </c>
      <c r="V13" s="20">
        <f>('TE BE'!$Z$13+'TE BF'!$Z$13+'TE CVA'!$Z$13)*(1 - 0.1)</f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227.00049069743901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25">
      <c r="A14" s="113"/>
      <c r="B14" s="113"/>
      <c r="C14" s="113"/>
      <c r="D14" s="23" t="s">
        <v>32</v>
      </c>
      <c r="E14" s="23" t="s">
        <v>25</v>
      </c>
      <c r="F14" s="23" t="s">
        <v>25</v>
      </c>
      <c r="G14" s="22" t="s">
        <v>77</v>
      </c>
      <c r="H14" s="22" t="s">
        <v>71</v>
      </c>
      <c r="I14" s="22">
        <f>'MERCADO TE'!$U$11</f>
        <v>56.320999999999998</v>
      </c>
      <c r="J14" s="15"/>
      <c r="L14" s="20">
        <f>('TE BE'!$L$14+'TE BF'!$L$14+'TE CVA'!$L$14)*1</f>
        <v>0</v>
      </c>
      <c r="M14" s="20">
        <f>('TE BE'!$M$14+'TE BF'!$M$14+'TE CVA'!$M$14)*1</f>
        <v>0</v>
      </c>
      <c r="N14" s="20">
        <f>('TE BE'!$N$14+'TE BF'!$N$14+'TE CVA'!$N$14)*1</f>
        <v>0</v>
      </c>
      <c r="O14" s="20">
        <f>('TE BE'!$O$14+'TE BF'!$O$14+'TE CVA'!$O$14)*1</f>
        <v>0</v>
      </c>
      <c r="P14" s="20">
        <f>('TE BE'!$P$14+'TE BF'!$P$14+'TE CVA'!$P$14)*1</f>
        <v>0</v>
      </c>
      <c r="Q14" s="20">
        <f>('TE BE'!$R$14+'TE BF'!$R$14+'TE CVA'!$R$14)*1</f>
        <v>251.92449556687748</v>
      </c>
      <c r="R14" s="20">
        <f>('TE BE'!$T$14+'TE BF'!$T$14+'TE CVA'!$T$14)*1</f>
        <v>0</v>
      </c>
      <c r="S14" s="20">
        <f>('TE BE'!$U$14+'TE BF'!$U$14+'TE CVA'!$U$14)*1</f>
        <v>0</v>
      </c>
      <c r="T14" s="20">
        <f>('TE BE'!$V$14+'TE BF'!$V$14+'TE CVA'!$V$14)*1</f>
        <v>0</v>
      </c>
      <c r="U14" s="20">
        <f>('TE BE'!$X$14+'TE BF'!$X$14+'TE CVA'!$X$14)*1</f>
        <v>0</v>
      </c>
      <c r="V14" s="20">
        <f>('TE BE'!$Z$14+'TE BF'!$Z$14+'TE CVA'!$Z$14)*1</f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252.22276744159899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25">
      <c r="A15" s="113"/>
      <c r="B15" s="113" t="s">
        <v>86</v>
      </c>
      <c r="C15" s="113" t="s">
        <v>24</v>
      </c>
      <c r="D15" s="23" t="s">
        <v>24</v>
      </c>
      <c r="E15" s="23" t="s">
        <v>25</v>
      </c>
      <c r="F15" s="23" t="s">
        <v>25</v>
      </c>
      <c r="G15" s="22" t="s">
        <v>77</v>
      </c>
      <c r="H15" s="22" t="s">
        <v>71</v>
      </c>
      <c r="I15" s="22">
        <f>'MERCADO TE'!$U$12</f>
        <v>0</v>
      </c>
      <c r="J15" s="15"/>
      <c r="L15" s="20">
        <f>('TE BE'!$L$15+'TE BF'!$L$15+'TE CVA'!$L$15)*1</f>
        <v>0</v>
      </c>
      <c r="M15" s="20">
        <f>('TE BE'!$M$15+'TE BF'!$M$15+'TE CVA'!$M$15)*1</f>
        <v>0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0</v>
      </c>
      <c r="Q15" s="20">
        <f>('TE BE'!$R$15+'TE BF'!$R$15+'TE CVA'!$R$15)*1</f>
        <v>251.92449556687748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252.22276744159899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25">
      <c r="A16" s="113"/>
      <c r="B16" s="113"/>
      <c r="C16" s="113"/>
      <c r="D16" s="23" t="s">
        <v>29</v>
      </c>
      <c r="E16" s="23" t="s">
        <v>25</v>
      </c>
      <c r="F16" s="23" t="s">
        <v>25</v>
      </c>
      <c r="G16" s="22" t="s">
        <v>77</v>
      </c>
      <c r="H16" s="22" t="s">
        <v>71</v>
      </c>
      <c r="I16" s="22">
        <f>'MERCADO TE'!$U$13</f>
        <v>0</v>
      </c>
      <c r="J16" s="15"/>
      <c r="L16" s="20">
        <f>('TE BE'!$L$16+'TE BF'!$L$16+'TE CVA'!$L$16)*(1 - 0.65)</f>
        <v>0</v>
      </c>
      <c r="M16" s="20">
        <f>('TE BE'!$M$16+'TE BF'!$M$16+'TE CVA'!$M$16)*(1 - 0.65)</f>
        <v>0</v>
      </c>
      <c r="N16" s="20">
        <f>('TE BE'!$N$16+'TE BF'!$N$16+'TE CVA'!$N$16)*(1 - 0.65)</f>
        <v>0</v>
      </c>
      <c r="O16" s="20">
        <f>('TE BE'!$O$16+'TE BF'!$O$16+'TE CVA'!$O$16)*(1 - 0.65)</f>
        <v>0</v>
      </c>
      <c r="P16" s="20">
        <f>('TE BE'!$P$16+'TE BF'!$P$16+'TE CVA'!$P$16)*(1 - 0.65)</f>
        <v>0</v>
      </c>
      <c r="Q16" s="20">
        <f>('TE BE'!$R$16+'TE BF'!$R$16+'TE CVA'!$R$16)*(1 - 0.65)</f>
        <v>88.173573448407112</v>
      </c>
      <c r="R16" s="20">
        <f>('TE BE'!$T$16+'TE BF'!$T$16+'TE CVA'!$T$16)*(1 - 0.65)</f>
        <v>0</v>
      </c>
      <c r="S16" s="20">
        <f>('TE BE'!$U$16+'TE BF'!$U$16+'TE CVA'!$U$16)*(1 - 0.65)</f>
        <v>0</v>
      </c>
      <c r="T16" s="20">
        <f>('TE BE'!$V$16+'TE BF'!$V$16+'TE CVA'!$V$16)*(1 - 0.65)</f>
        <v>0</v>
      </c>
      <c r="U16" s="20">
        <f>('TE BE'!$X$16+'TE BF'!$X$16+'TE CVA'!$X$16)*(1 - 0.65)</f>
        <v>0</v>
      </c>
      <c r="V16" s="20">
        <f>('TE BE'!$Z$16+'TE BF'!$Z$16+'TE CVA'!$Z$16)*(1 - 0.65)</f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88.277968604559703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25">
      <c r="A17" s="113"/>
      <c r="B17" s="113"/>
      <c r="C17" s="113"/>
      <c r="D17" s="23" t="s">
        <v>30</v>
      </c>
      <c r="E17" s="23" t="s">
        <v>25</v>
      </c>
      <c r="F17" s="23" t="s">
        <v>25</v>
      </c>
      <c r="G17" s="22" t="s">
        <v>77</v>
      </c>
      <c r="H17" s="22" t="s">
        <v>71</v>
      </c>
      <c r="I17" s="22">
        <f>'MERCADO TE'!$U$14</f>
        <v>0</v>
      </c>
      <c r="J17" s="15"/>
      <c r="L17" s="20">
        <f>('TE BE'!$L$17+'TE BF'!$L$17+'TE CVA'!$L$17)*(1 - 0.4)</f>
        <v>0</v>
      </c>
      <c r="M17" s="20">
        <f>('TE BE'!$M$17+'TE BF'!$M$17+'TE CVA'!$M$17)*(1 - 0.4)</f>
        <v>0</v>
      </c>
      <c r="N17" s="20">
        <f>('TE BE'!$N$17+'TE BF'!$N$17+'TE CVA'!$N$17)*(1 - 0.4)</f>
        <v>0</v>
      </c>
      <c r="O17" s="20">
        <f>('TE BE'!$O$17+'TE BF'!$O$17+'TE CVA'!$O$17)*(1 - 0.4)</f>
        <v>0</v>
      </c>
      <c r="P17" s="20">
        <f>('TE BE'!$P$17+'TE BF'!$P$17+'TE CVA'!$P$17)*(1 - 0.4)</f>
        <v>0</v>
      </c>
      <c r="Q17" s="20">
        <f>('TE BE'!$R$17+'TE BF'!$R$17+'TE CVA'!$R$17)*(1 - 0.4)</f>
        <v>151.15469734012649</v>
      </c>
      <c r="R17" s="20">
        <f>('TE BE'!$T$17+'TE BF'!$T$17+'TE CVA'!$T$17)*(1 - 0.4)</f>
        <v>0</v>
      </c>
      <c r="S17" s="20">
        <f>('TE BE'!$U$17+'TE BF'!$U$17+'TE CVA'!$U$17)*(1 - 0.4)</f>
        <v>0</v>
      </c>
      <c r="T17" s="20">
        <f>('TE BE'!$V$17+'TE BF'!$V$17+'TE CVA'!$V$17)*(1 - 0.4)</f>
        <v>0</v>
      </c>
      <c r="U17" s="20">
        <f>('TE BE'!$X$17+'TE BF'!$X$17+'TE CVA'!$X$17)*(1 - 0.4)</f>
        <v>0</v>
      </c>
      <c r="V17" s="20">
        <f>('TE BE'!$Z$17+'TE BF'!$Z$17+'TE CVA'!$Z$17)*(1 - 0.4)</f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151.33366046495999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25">
      <c r="A18" s="113"/>
      <c r="B18" s="113"/>
      <c r="C18" s="113"/>
      <c r="D18" s="23" t="s">
        <v>31</v>
      </c>
      <c r="E18" s="23" t="s">
        <v>25</v>
      </c>
      <c r="F18" s="23" t="s">
        <v>25</v>
      </c>
      <c r="G18" s="22" t="s">
        <v>77</v>
      </c>
      <c r="H18" s="22" t="s">
        <v>71</v>
      </c>
      <c r="I18" s="22">
        <f>'MERCADO TE'!$U$15</f>
        <v>0</v>
      </c>
      <c r="J18" s="15"/>
      <c r="L18" s="20">
        <f>('TE BE'!$L$18+'TE BF'!$L$18+'TE CVA'!$L$18)*(1 - 0.1)</f>
        <v>0</v>
      </c>
      <c r="M18" s="20">
        <f>('TE BE'!$M$18+'TE BF'!$M$18+'TE CVA'!$M$18)*(1 - 0.1)</f>
        <v>0</v>
      </c>
      <c r="N18" s="20">
        <f>('TE BE'!$N$18+'TE BF'!$N$18+'TE CVA'!$N$18)*(1 - 0.1)</f>
        <v>0</v>
      </c>
      <c r="O18" s="20">
        <f>('TE BE'!$O$18+'TE BF'!$O$18+'TE CVA'!$O$18)*(1 - 0.1)</f>
        <v>0</v>
      </c>
      <c r="P18" s="20">
        <f>('TE BE'!$P$18+'TE BF'!$P$18+'TE CVA'!$P$18)*(1 - 0.1)</f>
        <v>0</v>
      </c>
      <c r="Q18" s="20">
        <f>('TE BE'!$R$18+'TE BF'!$R$18+'TE CVA'!$R$18)*(1 - 0.1)</f>
        <v>226.73204601018975</v>
      </c>
      <c r="R18" s="20">
        <f>('TE BE'!$T$18+'TE BF'!$T$18+'TE CVA'!$T$18)*(1 - 0.1)</f>
        <v>0</v>
      </c>
      <c r="S18" s="20">
        <f>('TE BE'!$U$18+'TE BF'!$U$18+'TE CVA'!$U$18)*(1 - 0.1)</f>
        <v>0</v>
      </c>
      <c r="T18" s="20">
        <f>('TE BE'!$V$18+'TE BF'!$V$18+'TE CVA'!$V$18)*(1 - 0.1)</f>
        <v>0</v>
      </c>
      <c r="U18" s="20">
        <f>('TE BE'!$X$18+'TE BF'!$X$18+'TE CVA'!$X$18)*(1 - 0.1)</f>
        <v>0</v>
      </c>
      <c r="V18" s="20">
        <f>('TE BE'!$Z$18+'TE BF'!$Z$18+'TE CVA'!$Z$18)*(1 - 0.1)</f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227.00049069743901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25">
      <c r="A19" s="113"/>
      <c r="B19" s="113"/>
      <c r="C19" s="113"/>
      <c r="D19" s="23" t="s">
        <v>32</v>
      </c>
      <c r="E19" s="23" t="s">
        <v>25</v>
      </c>
      <c r="F19" s="23" t="s">
        <v>25</v>
      </c>
      <c r="G19" s="22" t="s">
        <v>77</v>
      </c>
      <c r="H19" s="22" t="s">
        <v>71</v>
      </c>
      <c r="I19" s="22">
        <f>'MERCADO TE'!$U$16</f>
        <v>0</v>
      </c>
      <c r="J19" s="15"/>
      <c r="L19" s="20">
        <f>('TE BE'!$L$19+'TE BF'!$L$19+'TE CVA'!$L$19)*1</f>
        <v>0</v>
      </c>
      <c r="M19" s="20">
        <f>('TE BE'!$M$19+'TE BF'!$M$19+'TE CVA'!$M$19)*1</f>
        <v>0</v>
      </c>
      <c r="N19" s="20">
        <f>('TE BE'!$N$19+'TE BF'!$N$19+'TE CVA'!$N$19)*1</f>
        <v>0</v>
      </c>
      <c r="O19" s="20">
        <f>('TE BE'!$O$19+'TE BF'!$O$19+'TE CVA'!$O$19)*1</f>
        <v>0</v>
      </c>
      <c r="P19" s="20">
        <f>('TE BE'!$P$19+'TE BF'!$P$19+'TE CVA'!$P$19)*1</f>
        <v>0</v>
      </c>
      <c r="Q19" s="20">
        <f>('TE BE'!$R$19+'TE BF'!$R$19+'TE CVA'!$R$19)*1</f>
        <v>251.92449556687748</v>
      </c>
      <c r="R19" s="20">
        <f>('TE BE'!$T$19+'TE BF'!$T$19+'TE CVA'!$T$19)*1</f>
        <v>0</v>
      </c>
      <c r="S19" s="20">
        <f>('TE BE'!$U$19+'TE BF'!$U$19+'TE CVA'!$U$19)*1</f>
        <v>0</v>
      </c>
      <c r="T19" s="20">
        <f>('TE BE'!$V$19+'TE BF'!$V$19+'TE CVA'!$V$19)*1</f>
        <v>0</v>
      </c>
      <c r="U19" s="20">
        <f>('TE BE'!$X$19+'TE BF'!$X$19+'TE CVA'!$X$19)*1</f>
        <v>0</v>
      </c>
      <c r="V19" s="20">
        <f>('TE BE'!$Z$19+'TE BF'!$Z$19+'TE CVA'!$Z$19)*1</f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252.22276744159899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25">
      <c r="A20" s="113" t="s">
        <v>40</v>
      </c>
      <c r="B20" s="113" t="s">
        <v>70</v>
      </c>
      <c r="C20" s="113" t="s">
        <v>41</v>
      </c>
      <c r="D20" s="113" t="s">
        <v>25</v>
      </c>
      <c r="E20" s="113" t="s">
        <v>25</v>
      </c>
      <c r="F20" s="113" t="s">
        <v>25</v>
      </c>
      <c r="G20" s="22" t="s">
        <v>72</v>
      </c>
      <c r="H20" s="22" t="s">
        <v>71</v>
      </c>
      <c r="I20" s="22">
        <f>'MERCADO TE'!$U$17</f>
        <v>0</v>
      </c>
      <c r="J20" s="15"/>
      <c r="L20" s="20">
        <f>('TE BE'!$L$20+'TE BF'!$L$20+'TE CVA'!$L$20)*(1 - CUSTOS!$M$38)</f>
        <v>0</v>
      </c>
      <c r="M20" s="20">
        <f>('TE BE'!$M$20+'TE BF'!$M$20+'TE CVA'!$M$20)*(1 - CUSTOS!$M$38)</f>
        <v>0</v>
      </c>
      <c r="N20" s="20">
        <f>('TE BE'!$N$20+'TE BF'!$N$20+'TE CVA'!$N$20)*(1 - CUSTOS!$M$38)</f>
        <v>0</v>
      </c>
      <c r="O20" s="20">
        <f>('TE BE'!$O$20+'TE BF'!$O$20+'TE CVA'!$O$20)*(1 - CUSTOS!$M$38)</f>
        <v>0</v>
      </c>
      <c r="P20" s="20">
        <f>('TE BE'!$P$20+'TE BF'!$P$20+'TE CVA'!$P$20)*(1 - CUSTOS!$M$38)</f>
        <v>0</v>
      </c>
      <c r="Q20" s="20">
        <f>('TE BE'!$R$20+'TE BF'!$R$20+'TE CVA'!$R$20)*(1 - CUSTOS!$M$38)</f>
        <v>236.80902583286482</v>
      </c>
      <c r="R20" s="20">
        <f>('TE BE'!$T$20+'TE BF'!$T$20+'TE CVA'!$T$20)*(1 - CUSTOS!$M$38)</f>
        <v>0</v>
      </c>
      <c r="S20" s="20">
        <f>('TE BE'!$U$20+'TE BF'!$U$20+'TE CVA'!$U$20)*(1 - CUSTOS!$M$38)</f>
        <v>0</v>
      </c>
      <c r="T20" s="20">
        <f>('TE BE'!$V$20+'TE BF'!$V$20+'TE CVA'!$V$20)*(1 - CUSTOS!$M$38)</f>
        <v>0</v>
      </c>
      <c r="U20" s="20">
        <f>('TE BE'!$X$20+'TE BF'!$X$20+'TE CVA'!$X$20)*(1 - CUSTOS!$M$38)</f>
        <v>0</v>
      </c>
      <c r="V20" s="20">
        <f>('TE BE'!$Z$20+'TE BF'!$Z$20+'TE CVA'!$Z$20)*(1 - CUSTOS!$M$38)</f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221.956035348607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25">
      <c r="A21" s="113"/>
      <c r="B21" s="113"/>
      <c r="C21" s="113"/>
      <c r="D21" s="113"/>
      <c r="E21" s="113"/>
      <c r="F21" s="113"/>
      <c r="G21" s="22" t="s">
        <v>83</v>
      </c>
      <c r="H21" s="22" t="s">
        <v>71</v>
      </c>
      <c r="I21" s="22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0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0</v>
      </c>
      <c r="Q21" s="20">
        <f>('TE BE'!$R$21+'TE BF'!$R$21+'TE CVA'!$R$21)*(1 - CUSTOS!$M$38)</f>
        <v>236.80902583286482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221.956035348607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25">
      <c r="A22" s="113"/>
      <c r="B22" s="113"/>
      <c r="C22" s="113"/>
      <c r="D22" s="113"/>
      <c r="E22" s="113"/>
      <c r="F22" s="113"/>
      <c r="G22" s="22" t="s">
        <v>73</v>
      </c>
      <c r="H22" s="22" t="s">
        <v>71</v>
      </c>
      <c r="I22" s="22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0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0</v>
      </c>
      <c r="Q22" s="20">
        <f>('TE BE'!$R$22+'TE BF'!$R$22+'TE CVA'!$R$22)*(1 - CUSTOS!$M$38)</f>
        <v>236.80902583286482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221.956035348607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25">
      <c r="A23" s="113"/>
      <c r="B23" s="23" t="s">
        <v>84</v>
      </c>
      <c r="C23" s="23" t="s">
        <v>41</v>
      </c>
      <c r="D23" s="23" t="s">
        <v>25</v>
      </c>
      <c r="E23" s="23" t="s">
        <v>25</v>
      </c>
      <c r="F23" s="23" t="s">
        <v>25</v>
      </c>
      <c r="G23" s="22" t="s">
        <v>77</v>
      </c>
      <c r="H23" s="22" t="s">
        <v>71</v>
      </c>
      <c r="I23" s="22">
        <f>'MERCADO TE'!$U$20</f>
        <v>47790.548000000003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0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0</v>
      </c>
      <c r="Q23" s="20">
        <f>('TE BE'!$R$23+'TE BF'!$R$23+'TE CVA'!$R$23)*(1 - CUSTOS!$M$38)</f>
        <v>236.80902583286482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221.956035348607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25">
      <c r="A24" s="113"/>
      <c r="B24" s="113" t="s">
        <v>70</v>
      </c>
      <c r="C24" s="113" t="s">
        <v>41</v>
      </c>
      <c r="D24" s="113" t="s">
        <v>88</v>
      </c>
      <c r="E24" s="113" t="s">
        <v>25</v>
      </c>
      <c r="F24" s="113" t="s">
        <v>25</v>
      </c>
      <c r="G24" s="22" t="s">
        <v>72</v>
      </c>
      <c r="H24" s="22" t="s">
        <v>71</v>
      </c>
      <c r="I24" s="22">
        <f>'MERCADO TE'!$U$21</f>
        <v>0</v>
      </c>
      <c r="J24" s="15"/>
      <c r="L24" s="20">
        <f>('TE BE'!$L$24+'TE BF'!$L$24+'TE CVA'!$L$24)*(1 - CUSTOS!$M$39)</f>
        <v>0</v>
      </c>
      <c r="M24" s="20">
        <f>('TE BE'!$M$24+'TE BF'!$M$24+'TE CVA'!$M$24)*(1 - CUSTOS!$M$39)</f>
        <v>0</v>
      </c>
      <c r="N24" s="20">
        <f>('TE BE'!$N$24+'TE BF'!$N$24+'TE CVA'!$N$24)*(1 - CUSTOS!$M$39)</f>
        <v>0</v>
      </c>
      <c r="O24" s="20">
        <f>('TE BE'!$O$24+'TE BF'!$O$24+'TE CVA'!$O$24)*(1 - CUSTOS!$M$39)</f>
        <v>0</v>
      </c>
      <c r="P24" s="20">
        <f>('TE BE'!$P$24+'TE BF'!$P$24+'TE CVA'!$P$24)*(1 - CUSTOS!$M$39)</f>
        <v>0</v>
      </c>
      <c r="Q24" s="20">
        <f>('TE BE'!$R$24+'TE BF'!$R$24+'TE CVA'!$R$24)*(1 - CUSTOS!$M$39)</f>
        <v>236.80902583286482</v>
      </c>
      <c r="R24" s="20">
        <f>('TE BE'!$T$24+'TE BF'!$T$24+'TE CVA'!$T$24)*(1 - CUSTOS!$M$39)</f>
        <v>0</v>
      </c>
      <c r="S24" s="20">
        <f>('TE BE'!$U$24+'TE BF'!$U$24+'TE CVA'!$U$24)*(1 - CUSTOS!$M$39)</f>
        <v>0</v>
      </c>
      <c r="T24" s="20">
        <f>('TE BE'!$V$24+'TE BF'!$V$24+'TE CVA'!$V$24)*(1 - CUSTOS!$M$39)</f>
        <v>0</v>
      </c>
      <c r="U24" s="20">
        <f>('TE BE'!$X$24+'TE BF'!$X$24+'TE CVA'!$X$24)*(1 - CUSTOS!$M$39)</f>
        <v>0</v>
      </c>
      <c r="V24" s="20">
        <f>('TE BE'!$Z$24+'TE BF'!$Z$24+'TE CVA'!$Z$24)*(1 - CUSTOS!$M$39)</f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221.956035348607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25">
      <c r="A25" s="113"/>
      <c r="B25" s="113"/>
      <c r="C25" s="113"/>
      <c r="D25" s="113"/>
      <c r="E25" s="113"/>
      <c r="F25" s="113"/>
      <c r="G25" s="22" t="s">
        <v>83</v>
      </c>
      <c r="H25" s="22" t="s">
        <v>71</v>
      </c>
      <c r="I25" s="22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0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0</v>
      </c>
      <c r="Q25" s="20">
        <f>('TE BE'!$R$25+'TE BF'!$R$25+'TE CVA'!$R$25)*(1 - CUSTOS!$M$39)</f>
        <v>236.80902583286482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221.956035348607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25">
      <c r="A26" s="113"/>
      <c r="B26" s="113"/>
      <c r="C26" s="113"/>
      <c r="D26" s="113"/>
      <c r="E26" s="113"/>
      <c r="F26" s="113"/>
      <c r="G26" s="22" t="s">
        <v>73</v>
      </c>
      <c r="H26" s="22" t="s">
        <v>71</v>
      </c>
      <c r="I26" s="22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0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0</v>
      </c>
      <c r="Q26" s="20">
        <f>('TE BE'!$R$26+'TE BF'!$R$26+'TE CVA'!$R$26)*(1 - CUSTOS!$M$39)</f>
        <v>236.80902583286482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221.956035348607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25">
      <c r="A27" s="113"/>
      <c r="B27" s="23" t="s">
        <v>84</v>
      </c>
      <c r="C27" s="23" t="s">
        <v>41</v>
      </c>
      <c r="D27" s="23" t="s">
        <v>88</v>
      </c>
      <c r="E27" s="23" t="s">
        <v>25</v>
      </c>
      <c r="F27" s="23" t="s">
        <v>25</v>
      </c>
      <c r="G27" s="22" t="s">
        <v>77</v>
      </c>
      <c r="H27" s="22" t="s">
        <v>71</v>
      </c>
      <c r="I27" s="22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0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0</v>
      </c>
      <c r="Q27" s="20">
        <f>('TE BE'!$R$27+'TE BF'!$R$27+'TE CVA'!$R$27)*(1 - CUSTOS!$M$39)</f>
        <v>236.80902583286482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221.956035348607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25">
      <c r="A28" s="113"/>
      <c r="B28" s="113" t="s">
        <v>70</v>
      </c>
      <c r="C28" s="113" t="s">
        <v>41</v>
      </c>
      <c r="D28" s="113" t="s">
        <v>89</v>
      </c>
      <c r="E28" s="113" t="s">
        <v>25</v>
      </c>
      <c r="F28" s="113" t="s">
        <v>25</v>
      </c>
      <c r="G28" s="22" t="s">
        <v>72</v>
      </c>
      <c r="H28" s="22" t="s">
        <v>71</v>
      </c>
      <c r="I28" s="22">
        <f>'MERCADO TE'!$U$25</f>
        <v>0</v>
      </c>
      <c r="J28" s="15"/>
      <c r="L28" s="20">
        <f>('TE BE'!$L$28+'TE BF'!$L$28+'TE CVA'!$L$28)*(1 - CUSTOS!$M$40)</f>
        <v>0</v>
      </c>
      <c r="M28" s="20">
        <f>('TE BE'!$M$28+'TE BF'!$M$28+'TE CVA'!$M$28)*(1 - CUSTOS!$M$40)</f>
        <v>0</v>
      </c>
      <c r="N28" s="20">
        <f>('TE BE'!$N$28+'TE BF'!$N$28+'TE CVA'!$N$28)*(1 - CUSTOS!$M$40)</f>
        <v>0</v>
      </c>
      <c r="O28" s="20">
        <f>('TE BE'!$O$28+'TE BF'!$O$28+'TE CVA'!$O$28)*(1 - CUSTOS!$M$40)</f>
        <v>0</v>
      </c>
      <c r="P28" s="20">
        <f>('TE BE'!$P$28+'TE BF'!$P$28+'TE CVA'!$P$28)*(1 - CUSTOS!$M$40)</f>
        <v>0</v>
      </c>
      <c r="Q28" s="20">
        <f>('TE BE'!$R$28+'TE BF'!$R$28+'TE CVA'!$R$28)*(1 - CUSTOS!$M$40)</f>
        <v>231.77053592152728</v>
      </c>
      <c r="R28" s="20">
        <f>('TE BE'!$T$28+'TE BF'!$T$28+'TE CVA'!$T$28)*(1 - CUSTOS!$M$40)</f>
        <v>0</v>
      </c>
      <c r="S28" s="20">
        <f>('TE BE'!$U$28+'TE BF'!$U$28+'TE CVA'!$U$28)*(1 - CUSTOS!$M$40)</f>
        <v>0</v>
      </c>
      <c r="T28" s="20">
        <f>('TE BE'!$V$28+'TE BF'!$V$28+'TE CVA'!$V$28)*(1 - CUSTOS!$M$40)</f>
        <v>0</v>
      </c>
      <c r="U28" s="20">
        <f>('TE BE'!$X$28+'TE BF'!$X$28+'TE CVA'!$X$28)*(1 - CUSTOS!$M$40)</f>
        <v>0</v>
      </c>
      <c r="V28" s="20">
        <f>('TE BE'!$Z$28+'TE BF'!$Z$28+'TE CVA'!$Z$28)*(1 - CUSTOS!$M$40)</f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211.867124650943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25">
      <c r="A29" s="113"/>
      <c r="B29" s="113"/>
      <c r="C29" s="113"/>
      <c r="D29" s="113"/>
      <c r="E29" s="113"/>
      <c r="F29" s="113"/>
      <c r="G29" s="22" t="s">
        <v>83</v>
      </c>
      <c r="H29" s="22" t="s">
        <v>71</v>
      </c>
      <c r="I29" s="22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0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0</v>
      </c>
      <c r="Q29" s="20">
        <f>('TE BE'!$R$29+'TE BF'!$R$29+'TE CVA'!$R$29)*(1 - CUSTOS!$M$40)</f>
        <v>231.77053592152728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211.867124650943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25">
      <c r="A30" s="113"/>
      <c r="B30" s="113"/>
      <c r="C30" s="113"/>
      <c r="D30" s="113"/>
      <c r="E30" s="113"/>
      <c r="F30" s="113"/>
      <c r="G30" s="22" t="s">
        <v>73</v>
      </c>
      <c r="H30" s="22" t="s">
        <v>71</v>
      </c>
      <c r="I30" s="22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0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0</v>
      </c>
      <c r="Q30" s="20">
        <f>('TE BE'!$R$30+'TE BF'!$R$30+'TE CVA'!$R$30)*(1 - CUSTOS!$M$40)</f>
        <v>231.77053592152728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211.867124650943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25">
      <c r="A31" s="113"/>
      <c r="B31" s="23" t="s">
        <v>84</v>
      </c>
      <c r="C31" s="23" t="s">
        <v>41</v>
      </c>
      <c r="D31" s="23" t="s">
        <v>89</v>
      </c>
      <c r="E31" s="23" t="s">
        <v>25</v>
      </c>
      <c r="F31" s="23" t="s">
        <v>25</v>
      </c>
      <c r="G31" s="22" t="s">
        <v>77</v>
      </c>
      <c r="H31" s="22" t="s">
        <v>71</v>
      </c>
      <c r="I31" s="22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0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0</v>
      </c>
      <c r="Q31" s="20">
        <f>('TE BE'!$R$31+'TE BF'!$R$31+'TE CVA'!$R$31)*(1 - CUSTOS!$M$40)</f>
        <v>231.77053592152728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211.867124650943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25">
      <c r="A32" s="113"/>
      <c r="B32" s="113" t="s">
        <v>86</v>
      </c>
      <c r="C32" s="113" t="s">
        <v>41</v>
      </c>
      <c r="D32" s="23" t="s">
        <v>25</v>
      </c>
      <c r="E32" s="23" t="s">
        <v>25</v>
      </c>
      <c r="F32" s="23" t="s">
        <v>25</v>
      </c>
      <c r="G32" s="22" t="s">
        <v>77</v>
      </c>
      <c r="H32" s="22" t="s">
        <v>71</v>
      </c>
      <c r="I32" s="22">
        <f>'MERCADO TE'!$U$29</f>
        <v>0</v>
      </c>
      <c r="J32" s="15"/>
      <c r="L32" s="20">
        <f>('TE BE'!$L$32+'TE BF'!$L$32+'TE CVA'!$L$32)*(1 - CUSTOS!$M$38)</f>
        <v>0</v>
      </c>
      <c r="M32" s="20">
        <f>('TE BE'!$M$32+'TE BF'!$M$32+'TE CVA'!$M$32)*(1 - CUSTOS!$M$38)</f>
        <v>0</v>
      </c>
      <c r="N32" s="20">
        <f>('TE BE'!$N$32+'TE BF'!$N$32+'TE CVA'!$N$32)*(1 - CUSTOS!$M$38)</f>
        <v>0</v>
      </c>
      <c r="O32" s="20">
        <f>('TE BE'!$O$32+'TE BF'!$O$32+'TE CVA'!$O$32)*(1 - CUSTOS!$M$38)</f>
        <v>0</v>
      </c>
      <c r="P32" s="20">
        <f>('TE BE'!$P$32+'TE BF'!$P$32+'TE CVA'!$P$32)*(1 - CUSTOS!$M$38)</f>
        <v>0</v>
      </c>
      <c r="Q32" s="20">
        <f>('TE BE'!$R$32+'TE BF'!$R$32+'TE CVA'!$R$32)*(1 - CUSTOS!$M$38)</f>
        <v>236.80902583286482</v>
      </c>
      <c r="R32" s="20">
        <f>('TE BE'!$T$32+'TE BF'!$T$32+'TE CVA'!$T$32)*(1 - CUSTOS!$M$38)</f>
        <v>0</v>
      </c>
      <c r="S32" s="20">
        <f>('TE BE'!$U$32+'TE BF'!$U$32+'TE CVA'!$U$32)*(1 - CUSTOS!$M$38)</f>
        <v>0</v>
      </c>
      <c r="T32" s="20">
        <f>('TE BE'!$V$32+'TE BF'!$V$32+'TE CVA'!$V$32)*(1 - CUSTOS!$M$38)</f>
        <v>0</v>
      </c>
      <c r="U32" s="20">
        <f>('TE BE'!$X$32+'TE BF'!$X$32+'TE CVA'!$X$32)*(1 - CUSTOS!$M$38)</f>
        <v>0</v>
      </c>
      <c r="V32" s="20">
        <f>('TE BE'!$Z$32+'TE BF'!$Z$32+'TE CVA'!$Z$32)*(1 - CUSTOS!$M$38)</f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221.956035348607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25">
      <c r="A33" s="113"/>
      <c r="B33" s="113"/>
      <c r="C33" s="113"/>
      <c r="D33" s="23" t="s">
        <v>88</v>
      </c>
      <c r="E33" s="23" t="s">
        <v>25</v>
      </c>
      <c r="F33" s="23" t="s">
        <v>25</v>
      </c>
      <c r="G33" s="22" t="s">
        <v>77</v>
      </c>
      <c r="H33" s="22" t="s">
        <v>71</v>
      </c>
      <c r="I33" s="22">
        <f>'MERCADO TE'!$U$30</f>
        <v>0</v>
      </c>
      <c r="J33" s="15"/>
      <c r="L33" s="20">
        <f>('TE BE'!$L$33+'TE BF'!$L$33+'TE CVA'!$L$33)*(1 - CUSTOS!$M$39)</f>
        <v>0</v>
      </c>
      <c r="M33" s="20">
        <f>('TE BE'!$M$33+'TE BF'!$M$33+'TE CVA'!$M$33)*(1 - CUSTOS!$M$39)</f>
        <v>0</v>
      </c>
      <c r="N33" s="20">
        <f>('TE BE'!$N$33+'TE BF'!$N$33+'TE CVA'!$N$33)*(1 - CUSTOS!$M$39)</f>
        <v>0</v>
      </c>
      <c r="O33" s="20">
        <f>('TE BE'!$O$33+'TE BF'!$O$33+'TE CVA'!$O$33)*(1 - CUSTOS!$M$39)</f>
        <v>0</v>
      </c>
      <c r="P33" s="20">
        <f>('TE BE'!$P$33+'TE BF'!$P$33+'TE CVA'!$P$33)*(1 - CUSTOS!$M$39)</f>
        <v>0</v>
      </c>
      <c r="Q33" s="20">
        <f>('TE BE'!$R$33+'TE BF'!$R$33+'TE CVA'!$R$33)*(1 - CUSTOS!$M$39)</f>
        <v>236.80902583286482</v>
      </c>
      <c r="R33" s="20">
        <f>('TE BE'!$T$33+'TE BF'!$T$33+'TE CVA'!$T$33)*(1 - CUSTOS!$M$39)</f>
        <v>0</v>
      </c>
      <c r="S33" s="20">
        <f>('TE BE'!$U$33+'TE BF'!$U$33+'TE CVA'!$U$33)*(1 - CUSTOS!$M$39)</f>
        <v>0</v>
      </c>
      <c r="T33" s="20">
        <f>('TE BE'!$V$33+'TE BF'!$V$33+'TE CVA'!$V$33)*(1 - CUSTOS!$M$39)</f>
        <v>0</v>
      </c>
      <c r="U33" s="20">
        <f>('TE BE'!$X$33+'TE BF'!$X$33+'TE CVA'!$X$33)*(1 - CUSTOS!$M$39)</f>
        <v>0</v>
      </c>
      <c r="V33" s="20">
        <f>('TE BE'!$Z$33+'TE BF'!$Z$33+'TE CVA'!$Z$33)*(1 - CUSTOS!$M$39)</f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221.956035348607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25">
      <c r="A34" s="113"/>
      <c r="B34" s="113"/>
      <c r="C34" s="113"/>
      <c r="D34" s="23" t="s">
        <v>89</v>
      </c>
      <c r="E34" s="23" t="s">
        <v>25</v>
      </c>
      <c r="F34" s="23" t="s">
        <v>25</v>
      </c>
      <c r="G34" s="22" t="s">
        <v>77</v>
      </c>
      <c r="H34" s="22" t="s">
        <v>71</v>
      </c>
      <c r="I34" s="22">
        <f>'MERCADO TE'!$U$31</f>
        <v>0</v>
      </c>
      <c r="J34" s="15"/>
      <c r="L34" s="20">
        <f>('TE BE'!$L$34+'TE BF'!$L$34+'TE CVA'!$L$34)*(1 - CUSTOS!$M$40)</f>
        <v>0</v>
      </c>
      <c r="M34" s="20">
        <f>('TE BE'!$M$34+'TE BF'!$M$34+'TE CVA'!$M$34)*(1 - CUSTOS!$M$40)</f>
        <v>0</v>
      </c>
      <c r="N34" s="20">
        <f>('TE BE'!$N$34+'TE BF'!$N$34+'TE CVA'!$N$34)*(1 - CUSTOS!$M$40)</f>
        <v>0</v>
      </c>
      <c r="O34" s="20">
        <f>('TE BE'!$O$34+'TE BF'!$O$34+'TE CVA'!$O$34)*(1 - CUSTOS!$M$40)</f>
        <v>0</v>
      </c>
      <c r="P34" s="20">
        <f>('TE BE'!$P$34+'TE BF'!$P$34+'TE CVA'!$P$34)*(1 - CUSTOS!$M$40)</f>
        <v>0</v>
      </c>
      <c r="Q34" s="20">
        <f>('TE BE'!$R$34+'TE BF'!$R$34+'TE CVA'!$R$34)*(1 - CUSTOS!$M$40)</f>
        <v>231.77053592152728</v>
      </c>
      <c r="R34" s="20">
        <f>('TE BE'!$T$34+'TE BF'!$T$34+'TE CVA'!$T$34)*(1 - CUSTOS!$M$40)</f>
        <v>0</v>
      </c>
      <c r="S34" s="20">
        <f>('TE BE'!$U$34+'TE BF'!$U$34+'TE CVA'!$U$34)*(1 - CUSTOS!$M$40)</f>
        <v>0</v>
      </c>
      <c r="T34" s="20">
        <f>('TE BE'!$V$34+'TE BF'!$V$34+'TE CVA'!$V$34)*(1 - CUSTOS!$M$40)</f>
        <v>0</v>
      </c>
      <c r="U34" s="20">
        <f>('TE BE'!$X$34+'TE BF'!$X$34+'TE CVA'!$X$34)*(1 - CUSTOS!$M$40)</f>
        <v>0</v>
      </c>
      <c r="V34" s="20">
        <f>('TE BE'!$Z$34+'TE BF'!$Z$34+'TE CVA'!$Z$34)*(1 - CUSTOS!$M$40)</f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211.867124650943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25">
      <c r="A35" s="113" t="s">
        <v>33</v>
      </c>
      <c r="B35" s="113" t="s">
        <v>70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2" t="s">
        <v>72</v>
      </c>
      <c r="H35" s="22" t="s">
        <v>71</v>
      </c>
      <c r="I35" s="22">
        <f>'MERCADO TE'!$U$32</f>
        <v>0</v>
      </c>
      <c r="J35" s="15"/>
      <c r="L35" s="20">
        <f>('TE BE'!$L$35+'TE BF'!$L$35+'TE CVA'!$L$35)*1</f>
        <v>0</v>
      </c>
      <c r="M35" s="20">
        <f>('TE BE'!$M$35+'TE BF'!$M$35+'TE CVA'!$M$35)*1</f>
        <v>0</v>
      </c>
      <c r="N35" s="20">
        <f>('TE BE'!$N$35+'TE BF'!$N$35+'TE CVA'!$N$35)*1</f>
        <v>0</v>
      </c>
      <c r="O35" s="20">
        <f>('TE BE'!$O$35+'TE BF'!$O$35+'TE CVA'!$O$35)*1</f>
        <v>0</v>
      </c>
      <c r="P35" s="20">
        <f>('TE BE'!$P$35+'TE BF'!$P$35+'TE CVA'!$P$35)*1</f>
        <v>0</v>
      </c>
      <c r="Q35" s="20">
        <f>('TE BE'!$R$35+'TE BF'!$R$35+'TE CVA'!$R$35)*1</f>
        <v>251.92449556687748</v>
      </c>
      <c r="R35" s="20">
        <f>('TE BE'!$T$35+'TE BF'!$T$35+'TE CVA'!$T$35)*1</f>
        <v>0</v>
      </c>
      <c r="S35" s="20">
        <f>('TE BE'!$U$35+'TE BF'!$U$35+'TE CVA'!$U$35)*1</f>
        <v>0</v>
      </c>
      <c r="T35" s="20">
        <f>('TE BE'!$V$35+'TE BF'!$V$35+'TE CVA'!$V$35)*1</f>
        <v>0</v>
      </c>
      <c r="U35" s="20">
        <f>('TE BE'!$X$35+'TE BF'!$X$35+'TE CVA'!$X$35)*1</f>
        <v>0</v>
      </c>
      <c r="V35" s="20">
        <f>('TE BE'!$Z$35+'TE BF'!$Z$35+'TE CVA'!$Z$35)*1</f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252.22276744159899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25">
      <c r="A36" s="113"/>
      <c r="B36" s="113"/>
      <c r="C36" s="113"/>
      <c r="D36" s="113"/>
      <c r="E36" s="113"/>
      <c r="F36" s="113"/>
      <c r="G36" s="22" t="s">
        <v>83</v>
      </c>
      <c r="H36" s="22" t="s">
        <v>71</v>
      </c>
      <c r="I36" s="22">
        <f>'MERCADO TE'!$U$33</f>
        <v>0</v>
      </c>
      <c r="J36" s="15"/>
      <c r="L36" s="20">
        <f>('TE BE'!$L$36+'TE BF'!$L$36+'TE CVA'!$L$36)*1</f>
        <v>0</v>
      </c>
      <c r="M36" s="20">
        <f>('TE BE'!$M$36+'TE BF'!$M$36+'TE CVA'!$M$36)*1</f>
        <v>0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0</v>
      </c>
      <c r="Q36" s="20">
        <f>('TE BE'!$R$36+'TE BF'!$R$36+'TE CVA'!$R$36)*1</f>
        <v>251.92449556687748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252.22276744159899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25">
      <c r="A37" s="113"/>
      <c r="B37" s="113"/>
      <c r="C37" s="113"/>
      <c r="D37" s="113"/>
      <c r="E37" s="113"/>
      <c r="F37" s="113"/>
      <c r="G37" s="22" t="s">
        <v>73</v>
      </c>
      <c r="H37" s="22" t="s">
        <v>71</v>
      </c>
      <c r="I37" s="22">
        <f>'MERCADO TE'!$U$34</f>
        <v>0</v>
      </c>
      <c r="J37" s="15"/>
      <c r="L37" s="20">
        <f>('TE BE'!$L$37+'TE BF'!$L$37+'TE CVA'!$L$37)*1</f>
        <v>0</v>
      </c>
      <c r="M37" s="20">
        <f>('TE BE'!$M$37+'TE BF'!$M$37+'TE CVA'!$M$37)*1</f>
        <v>0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0</v>
      </c>
      <c r="Q37" s="20">
        <f>('TE BE'!$R$37+'TE BF'!$R$37+'TE CVA'!$R$37)*1</f>
        <v>251.92449556687748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252.22276744159899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25">
      <c r="A38" s="113"/>
      <c r="B38" s="23" t="s">
        <v>84</v>
      </c>
      <c r="C38" s="23" t="s">
        <v>25</v>
      </c>
      <c r="D38" s="23" t="s">
        <v>25</v>
      </c>
      <c r="E38" s="23" t="s">
        <v>25</v>
      </c>
      <c r="F38" s="23" t="s">
        <v>25</v>
      </c>
      <c r="G38" s="22" t="s">
        <v>77</v>
      </c>
      <c r="H38" s="22" t="s">
        <v>71</v>
      </c>
      <c r="I38" s="22">
        <f>'MERCADO TE'!$U$35</f>
        <v>9552.121000000001</v>
      </c>
      <c r="J38" s="15"/>
      <c r="L38" s="20">
        <f>('TE BE'!$L$38+'TE BF'!$L$38+'TE CVA'!$L$38)*1</f>
        <v>0</v>
      </c>
      <c r="M38" s="20">
        <f>('TE BE'!$M$38+'TE BF'!$M$38+'TE CVA'!$M$38)*1</f>
        <v>0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0</v>
      </c>
      <c r="Q38" s="20">
        <f>('TE BE'!$R$38+'TE BF'!$R$38+'TE CVA'!$R$38)*1</f>
        <v>251.92449556687748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252.22276744159899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25">
      <c r="A39" s="113"/>
      <c r="B39" s="23" t="s">
        <v>86</v>
      </c>
      <c r="C39" s="23" t="s">
        <v>25</v>
      </c>
      <c r="D39" s="23" t="s">
        <v>25</v>
      </c>
      <c r="E39" s="23" t="s">
        <v>25</v>
      </c>
      <c r="F39" s="23" t="s">
        <v>25</v>
      </c>
      <c r="G39" s="22" t="s">
        <v>77</v>
      </c>
      <c r="H39" s="22" t="s">
        <v>71</v>
      </c>
      <c r="I39" s="22">
        <f>'MERCADO TE'!$U$36</f>
        <v>0</v>
      </c>
      <c r="J39" s="15"/>
      <c r="L39" s="20">
        <f>('TE BE'!$L$39+'TE BF'!$L$39+'TE CVA'!$L$39)*1</f>
        <v>0</v>
      </c>
      <c r="M39" s="20">
        <f>('TE BE'!$M$39+'TE BF'!$M$39+'TE CVA'!$M$39)*1</f>
        <v>0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0</v>
      </c>
      <c r="Q39" s="20">
        <f>('TE BE'!$R$39+'TE BF'!$R$39+'TE CVA'!$R$39)*1</f>
        <v>251.92449556687748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252.22276744159899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25">
      <c r="A40" s="113" t="s">
        <v>43</v>
      </c>
      <c r="B40" s="113" t="s">
        <v>84</v>
      </c>
      <c r="C40" s="113" t="s">
        <v>44</v>
      </c>
      <c r="D40" s="23" t="s">
        <v>45</v>
      </c>
      <c r="E40" s="23" t="s">
        <v>25</v>
      </c>
      <c r="F40" s="23" t="s">
        <v>25</v>
      </c>
      <c r="G40" s="22" t="s">
        <v>77</v>
      </c>
      <c r="H40" s="22" t="s">
        <v>71</v>
      </c>
      <c r="I40" s="22">
        <f>'MERCADO TE'!$U$37</f>
        <v>4840.4129999999996</v>
      </c>
      <c r="J40" s="15"/>
      <c r="L40" s="20">
        <f>('TE BE'!$L$40+'TE BF'!$L$40+'TE CVA'!$L$40)*1</f>
        <v>0</v>
      </c>
      <c r="M40" s="20">
        <f>('TE BE'!$M$40+'TE BF'!$M$40+'TE CVA'!$M$40)*1</f>
        <v>0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0</v>
      </c>
      <c r="Q40" s="20">
        <f>('TE BE'!$R$40+'TE BF'!$R$40+'TE CVA'!$R$40)*1</f>
        <v>138.55847256178262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138.72252209288001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25">
      <c r="A41" s="113"/>
      <c r="B41" s="113"/>
      <c r="C41" s="113"/>
      <c r="D41" s="22" t="s">
        <v>90</v>
      </c>
      <c r="E41" s="22" t="s">
        <v>25</v>
      </c>
      <c r="F41" s="22" t="s">
        <v>25</v>
      </c>
      <c r="G41" s="22" t="s">
        <v>77</v>
      </c>
      <c r="H41" s="22" t="s">
        <v>71</v>
      </c>
      <c r="I41" s="22">
        <f>'MERCADO TE'!$U$38</f>
        <v>0</v>
      </c>
      <c r="J41" s="15"/>
      <c r="L41" s="20">
        <f>('TE BE'!$L$41+'TE BF'!$L$41+'TE CVA'!$L$41)*1</f>
        <v>0</v>
      </c>
      <c r="M41" s="20">
        <f>('TE BE'!$M$41+'TE BF'!$M$41+'TE CVA'!$M$41)*1</f>
        <v>0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0</v>
      </c>
      <c r="Q41" s="20">
        <f>('TE BE'!$R$41+'TE BF'!$R$41+'TE CVA'!$R$41)*1</f>
        <v>151.15469734012649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151.33366046495999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3" spans="1:34" ht="11.25" customHeight="1" x14ac:dyDescent="0.25">
      <c r="L43" s="110" t="s">
        <v>832</v>
      </c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X43" s="110" t="s">
        <v>833</v>
      </c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</row>
    <row r="44" spans="1:34" ht="11.25" customHeight="1" x14ac:dyDescent="0.25">
      <c r="L44" s="110" t="s">
        <v>388</v>
      </c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X44" s="110" t="s">
        <v>388</v>
      </c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</row>
    <row r="45" spans="1:34" ht="11.25" customHeight="1" x14ac:dyDescent="0.25">
      <c r="L45" s="110" t="s">
        <v>361</v>
      </c>
      <c r="M45" s="110"/>
      <c r="N45" s="110"/>
      <c r="O45" s="110"/>
      <c r="P45" s="110"/>
      <c r="Q45" s="24" t="s">
        <v>392</v>
      </c>
      <c r="R45" s="110" t="s">
        <v>370</v>
      </c>
      <c r="S45" s="110"/>
      <c r="T45" s="110"/>
      <c r="U45" s="24" t="s">
        <v>380</v>
      </c>
      <c r="V45" s="24" t="s">
        <v>383</v>
      </c>
      <c r="X45" s="110" t="s">
        <v>361</v>
      </c>
      <c r="Y45" s="110"/>
      <c r="Z45" s="110"/>
      <c r="AA45" s="110"/>
      <c r="AB45" s="110"/>
      <c r="AC45" s="24" t="s">
        <v>392</v>
      </c>
      <c r="AD45" s="110" t="s">
        <v>370</v>
      </c>
      <c r="AE45" s="110"/>
      <c r="AF45" s="110"/>
      <c r="AG45" s="24" t="s">
        <v>380</v>
      </c>
      <c r="AH45" s="24" t="s">
        <v>383</v>
      </c>
    </row>
    <row r="46" spans="1:34" ht="11.25" customHeight="1" x14ac:dyDescent="0.25">
      <c r="L46" s="24" t="s">
        <v>363</v>
      </c>
      <c r="M46" s="24" t="s">
        <v>389</v>
      </c>
      <c r="N46" s="24" t="s">
        <v>390</v>
      </c>
      <c r="O46" s="24" t="s">
        <v>449</v>
      </c>
      <c r="P46" s="24" t="s">
        <v>391</v>
      </c>
      <c r="Q46" s="24" t="s">
        <v>393</v>
      </c>
      <c r="R46" s="24" t="s">
        <v>394</v>
      </c>
      <c r="S46" s="24" t="s">
        <v>395</v>
      </c>
      <c r="T46" s="24" t="s">
        <v>396</v>
      </c>
      <c r="U46" s="24" t="s">
        <v>381</v>
      </c>
      <c r="V46" s="24" t="s">
        <v>397</v>
      </c>
      <c r="X46" s="24" t="s">
        <v>363</v>
      </c>
      <c r="Y46" s="24" t="s">
        <v>389</v>
      </c>
      <c r="Z46" s="24" t="s">
        <v>390</v>
      </c>
      <c r="AA46" s="24" t="s">
        <v>449</v>
      </c>
      <c r="AB46" s="24" t="s">
        <v>391</v>
      </c>
      <c r="AC46" s="24" t="s">
        <v>393</v>
      </c>
      <c r="AD46" s="24" t="s">
        <v>394</v>
      </c>
      <c r="AE46" s="24" t="s">
        <v>395</v>
      </c>
      <c r="AF46" s="24" t="s">
        <v>396</v>
      </c>
      <c r="AG46" s="24" t="s">
        <v>381</v>
      </c>
      <c r="AH46" s="24" t="s">
        <v>397</v>
      </c>
    </row>
    <row r="47" spans="1:34" ht="11.25" customHeight="1" x14ac:dyDescent="0.25">
      <c r="A47" s="9" t="s">
        <v>35</v>
      </c>
      <c r="B47" s="9" t="s">
        <v>834</v>
      </c>
      <c r="C47" s="9" t="s">
        <v>835</v>
      </c>
      <c r="D47" s="9" t="s">
        <v>836</v>
      </c>
      <c r="E47" s="9" t="s">
        <v>837</v>
      </c>
      <c r="F47" s="9" t="s">
        <v>838</v>
      </c>
      <c r="G47" s="9" t="s">
        <v>839</v>
      </c>
      <c r="L47" s="20">
        <f>$I$5*$L$5</f>
        <v>0</v>
      </c>
      <c r="M47" s="20">
        <f>$I$5*$M$5</f>
        <v>0</v>
      </c>
      <c r="N47" s="20">
        <f>$I$5*$N$5</f>
        <v>0</v>
      </c>
      <c r="O47" s="20">
        <f>$I$5*$O$5</f>
        <v>0</v>
      </c>
      <c r="P47" s="20">
        <f>$I$5*$P$5</f>
        <v>0</v>
      </c>
      <c r="Q47" s="20">
        <f>$I$5*$Q$5</f>
        <v>231021.06054721578</v>
      </c>
      <c r="R47" s="20">
        <f>$I$5*$R$5</f>
        <v>0</v>
      </c>
      <c r="S47" s="20">
        <f>$I$5*$S$5</f>
        <v>0</v>
      </c>
      <c r="T47" s="20">
        <f>$I$5*$T$5</f>
        <v>0</v>
      </c>
      <c r="U47" s="20">
        <f>$I$5*$U$5</f>
        <v>0</v>
      </c>
      <c r="V47" s="20">
        <f>$I$5*$V$5</f>
        <v>0</v>
      </c>
      <c r="X47" s="20">
        <f>$I$5*$X$5</f>
        <v>0</v>
      </c>
      <c r="Y47" s="20">
        <f>$I$5*$Y$5</f>
        <v>0</v>
      </c>
      <c r="Z47" s="20">
        <f>$I$5*$Z$5</f>
        <v>0</v>
      </c>
      <c r="AA47" s="20">
        <f>$I$5*$AA$5</f>
        <v>0</v>
      </c>
      <c r="AB47" s="20">
        <f>$I$5*$AB$5</f>
        <v>0</v>
      </c>
      <c r="AC47" s="20">
        <f>$I$5*$AC$5</f>
        <v>231294.58331313229</v>
      </c>
      <c r="AD47" s="20">
        <f>$I$5*$AD$5</f>
        <v>0</v>
      </c>
      <c r="AE47" s="20">
        <f>$I$5*$AE$5</f>
        <v>0</v>
      </c>
      <c r="AF47" s="20">
        <f>$I$5*$AF$5</f>
        <v>0</v>
      </c>
      <c r="AG47" s="20">
        <f>$I$5*$AG$5</f>
        <v>0</v>
      </c>
      <c r="AH47" s="20">
        <f>$I$5*$AH$5</f>
        <v>0</v>
      </c>
    </row>
    <row r="48" spans="1:34" ht="11.25" customHeight="1" x14ac:dyDescent="0.25">
      <c r="A48" s="9" t="s">
        <v>35</v>
      </c>
      <c r="B48" s="9" t="s">
        <v>834</v>
      </c>
      <c r="C48" s="9" t="s">
        <v>835</v>
      </c>
      <c r="D48" s="9" t="s">
        <v>836</v>
      </c>
      <c r="E48" s="9" t="s">
        <v>837</v>
      </c>
      <c r="F48" s="9" t="s">
        <v>838</v>
      </c>
      <c r="G48" s="9" t="s">
        <v>840</v>
      </c>
      <c r="L48" s="20">
        <f>$I$6*$L$6</f>
        <v>0</v>
      </c>
      <c r="M48" s="20">
        <f>$I$6*$M$6</f>
        <v>0</v>
      </c>
      <c r="N48" s="20">
        <f>$I$6*$N$6</f>
        <v>0</v>
      </c>
      <c r="O48" s="20">
        <f>$I$6*$O$6</f>
        <v>0</v>
      </c>
      <c r="P48" s="20">
        <f>$I$6*$P$6</f>
        <v>0</v>
      </c>
      <c r="Q48" s="20">
        <f>$I$6*$Q$6</f>
        <v>3643270.5853112643</v>
      </c>
      <c r="R48" s="20">
        <f>$I$6*$R$6</f>
        <v>0</v>
      </c>
      <c r="S48" s="20">
        <f>$I$6*$S$6</f>
        <v>0</v>
      </c>
      <c r="T48" s="20">
        <f>$I$6*$T$6</f>
        <v>0</v>
      </c>
      <c r="U48" s="20">
        <f>$I$6*$U$6</f>
        <v>0</v>
      </c>
      <c r="V48" s="20">
        <f>$I$6*$V$6</f>
        <v>0</v>
      </c>
      <c r="X48" s="20">
        <f>$I$6*$X$6</f>
        <v>0</v>
      </c>
      <c r="Y48" s="20">
        <f>$I$6*$Y$6</f>
        <v>0</v>
      </c>
      <c r="Z48" s="20">
        <f>$I$6*$Z$6</f>
        <v>0</v>
      </c>
      <c r="AA48" s="20">
        <f>$I$6*$AA$6</f>
        <v>0</v>
      </c>
      <c r="AB48" s="20">
        <f>$I$6*$AB$6</f>
        <v>0</v>
      </c>
      <c r="AC48" s="20">
        <f>$I$6*$AC$6</f>
        <v>3647584.120385149</v>
      </c>
      <c r="AD48" s="20">
        <f>$I$6*$AD$6</f>
        <v>0</v>
      </c>
      <c r="AE48" s="20">
        <f>$I$6*$AE$6</f>
        <v>0</v>
      </c>
      <c r="AF48" s="20">
        <f>$I$6*$AF$6</f>
        <v>0</v>
      </c>
      <c r="AG48" s="20">
        <f>$I$6*$AG$6</f>
        <v>0</v>
      </c>
      <c r="AH48" s="20">
        <f>$I$6*$AH$6</f>
        <v>0</v>
      </c>
    </row>
    <row r="49" spans="1:34" ht="11.25" customHeight="1" x14ac:dyDescent="0.25">
      <c r="A49" s="9" t="s">
        <v>22</v>
      </c>
      <c r="B49" s="9" t="s">
        <v>841</v>
      </c>
      <c r="C49" s="9" t="s">
        <v>842</v>
      </c>
      <c r="D49" s="9" t="s">
        <v>843</v>
      </c>
      <c r="E49" s="9" t="s">
        <v>844</v>
      </c>
      <c r="F49" s="9" t="s">
        <v>845</v>
      </c>
      <c r="G49" s="9" t="s">
        <v>846</v>
      </c>
      <c r="L49" s="20">
        <f>$I$7*$L$7</f>
        <v>0</v>
      </c>
      <c r="M49" s="20">
        <f>$I$7*$M$7</f>
        <v>0</v>
      </c>
      <c r="N49" s="20">
        <f>$I$7*$N$7</f>
        <v>0</v>
      </c>
      <c r="O49" s="20">
        <f>$I$7*$O$7</f>
        <v>0</v>
      </c>
      <c r="P49" s="20">
        <f>$I$7*$P$7</f>
        <v>0</v>
      </c>
      <c r="Q49" s="20">
        <f>$I$7*$Q$7</f>
        <v>0</v>
      </c>
      <c r="R49" s="20">
        <f>$I$7*$R$7</f>
        <v>0</v>
      </c>
      <c r="S49" s="20">
        <f>$I$7*$S$7</f>
        <v>0</v>
      </c>
      <c r="T49" s="20">
        <f>$I$7*$T$7</f>
        <v>0</v>
      </c>
      <c r="U49" s="20">
        <f>$I$7*$U$7</f>
        <v>0</v>
      </c>
      <c r="V49" s="20">
        <f>$I$7*$V$7</f>
        <v>0</v>
      </c>
      <c r="X49" s="20">
        <f>$I$7*$X$7</f>
        <v>0</v>
      </c>
      <c r="Y49" s="20">
        <f>$I$7*$Y$7</f>
        <v>0</v>
      </c>
      <c r="Z49" s="20">
        <f>$I$7*$Z$7</f>
        <v>0</v>
      </c>
      <c r="AA49" s="20">
        <f>$I$7*$AA$7</f>
        <v>0</v>
      </c>
      <c r="AB49" s="20">
        <f>$I$7*$AB$7</f>
        <v>0</v>
      </c>
      <c r="AC49" s="20">
        <f>$I$7*$AC$7</f>
        <v>0</v>
      </c>
      <c r="AD49" s="20">
        <f>$I$7*$AD$7</f>
        <v>0</v>
      </c>
      <c r="AE49" s="20">
        <f>$I$7*$AE$7</f>
        <v>0</v>
      </c>
      <c r="AF49" s="20">
        <f>$I$7*$AF$7</f>
        <v>0</v>
      </c>
      <c r="AG49" s="20">
        <f>$I$7*$AG$7</f>
        <v>0</v>
      </c>
      <c r="AH49" s="20">
        <f>$I$7*$AH$7</f>
        <v>0</v>
      </c>
    </row>
    <row r="50" spans="1:34" ht="11.25" customHeight="1" x14ac:dyDescent="0.25">
      <c r="A50" s="9" t="s">
        <v>22</v>
      </c>
      <c r="B50" s="9" t="s">
        <v>841</v>
      </c>
      <c r="C50" s="9" t="s">
        <v>842</v>
      </c>
      <c r="D50" s="9" t="s">
        <v>843</v>
      </c>
      <c r="E50" s="9" t="s">
        <v>844</v>
      </c>
      <c r="F50" s="9" t="s">
        <v>845</v>
      </c>
      <c r="G50" s="9" t="s">
        <v>847</v>
      </c>
      <c r="L50" s="20">
        <f>$I$8*$L$8</f>
        <v>0</v>
      </c>
      <c r="M50" s="20">
        <f>$I$8*$M$8</f>
        <v>0</v>
      </c>
      <c r="N50" s="20">
        <f>$I$8*$N$8</f>
        <v>0</v>
      </c>
      <c r="O50" s="20">
        <f>$I$8*$O$8</f>
        <v>0</v>
      </c>
      <c r="P50" s="20">
        <f>$I$8*$P$8</f>
        <v>0</v>
      </c>
      <c r="Q50" s="20">
        <f>$I$8*$Q$8</f>
        <v>0</v>
      </c>
      <c r="R50" s="20">
        <f>$I$8*$R$8</f>
        <v>0</v>
      </c>
      <c r="S50" s="20">
        <f>$I$8*$S$8</f>
        <v>0</v>
      </c>
      <c r="T50" s="20">
        <f>$I$8*$T$8</f>
        <v>0</v>
      </c>
      <c r="U50" s="20">
        <f>$I$8*$U$8</f>
        <v>0</v>
      </c>
      <c r="V50" s="20">
        <f>$I$8*$V$8</f>
        <v>0</v>
      </c>
      <c r="X50" s="20">
        <f>$I$8*$X$8</f>
        <v>0</v>
      </c>
      <c r="Y50" s="20">
        <f>$I$8*$Y$8</f>
        <v>0</v>
      </c>
      <c r="Z50" s="20">
        <f>$I$8*$Z$8</f>
        <v>0</v>
      </c>
      <c r="AA50" s="20">
        <f>$I$8*$AA$8</f>
        <v>0</v>
      </c>
      <c r="AB50" s="20">
        <f>$I$8*$AB$8</f>
        <v>0</v>
      </c>
      <c r="AC50" s="20">
        <f>$I$8*$AC$8</f>
        <v>0</v>
      </c>
      <c r="AD50" s="20">
        <f>$I$8*$AD$8</f>
        <v>0</v>
      </c>
      <c r="AE50" s="20">
        <f>$I$8*$AE$8</f>
        <v>0</v>
      </c>
      <c r="AF50" s="20">
        <f>$I$8*$AF$8</f>
        <v>0</v>
      </c>
      <c r="AG50" s="20">
        <f>$I$8*$AG$8</f>
        <v>0</v>
      </c>
      <c r="AH50" s="20">
        <f>$I$8*$AH$8</f>
        <v>0</v>
      </c>
    </row>
    <row r="51" spans="1:34" ht="11.25" customHeight="1" x14ac:dyDescent="0.25">
      <c r="A51" s="9" t="s">
        <v>22</v>
      </c>
      <c r="B51" s="9" t="s">
        <v>841</v>
      </c>
      <c r="C51" s="9" t="s">
        <v>842</v>
      </c>
      <c r="D51" s="9" t="s">
        <v>843</v>
      </c>
      <c r="E51" s="9" t="s">
        <v>844</v>
      </c>
      <c r="F51" s="9" t="s">
        <v>845</v>
      </c>
      <c r="G51" s="9" t="s">
        <v>848</v>
      </c>
      <c r="L51" s="20">
        <f>$I$9*$L$9</f>
        <v>0</v>
      </c>
      <c r="M51" s="20">
        <f>$I$9*$M$9</f>
        <v>0</v>
      </c>
      <c r="N51" s="20">
        <f>$I$9*$N$9</f>
        <v>0</v>
      </c>
      <c r="O51" s="20">
        <f>$I$9*$O$9</f>
        <v>0</v>
      </c>
      <c r="P51" s="20">
        <f>$I$9*$P$9</f>
        <v>0</v>
      </c>
      <c r="Q51" s="20">
        <f>$I$9*$Q$9</f>
        <v>0</v>
      </c>
      <c r="R51" s="20">
        <f>$I$9*$R$9</f>
        <v>0</v>
      </c>
      <c r="S51" s="20">
        <f>$I$9*$S$9</f>
        <v>0</v>
      </c>
      <c r="T51" s="20">
        <f>$I$9*$T$9</f>
        <v>0</v>
      </c>
      <c r="U51" s="20">
        <f>$I$9*$U$9</f>
        <v>0</v>
      </c>
      <c r="V51" s="20">
        <f>$I$9*$V$9</f>
        <v>0</v>
      </c>
      <c r="X51" s="20">
        <f>$I$9*$X$9</f>
        <v>0</v>
      </c>
      <c r="Y51" s="20">
        <f>$I$9*$Y$9</f>
        <v>0</v>
      </c>
      <c r="Z51" s="20">
        <f>$I$9*$Z$9</f>
        <v>0</v>
      </c>
      <c r="AA51" s="20">
        <f>$I$9*$AA$9</f>
        <v>0</v>
      </c>
      <c r="AB51" s="20">
        <f>$I$9*$AB$9</f>
        <v>0</v>
      </c>
      <c r="AC51" s="20">
        <f>$I$9*$AC$9</f>
        <v>0</v>
      </c>
      <c r="AD51" s="20">
        <f>$I$9*$AD$9</f>
        <v>0</v>
      </c>
      <c r="AE51" s="20">
        <f>$I$9*$AE$9</f>
        <v>0</v>
      </c>
      <c r="AF51" s="20">
        <f>$I$9*$AF$9</f>
        <v>0</v>
      </c>
      <c r="AG51" s="20">
        <f>$I$9*$AG$9</f>
        <v>0</v>
      </c>
      <c r="AH51" s="20">
        <f>$I$9*$AH$9</f>
        <v>0</v>
      </c>
    </row>
    <row r="52" spans="1:34" ht="11.25" customHeight="1" x14ac:dyDescent="0.25">
      <c r="A52" s="9" t="s">
        <v>22</v>
      </c>
      <c r="B52" s="9" t="s">
        <v>849</v>
      </c>
      <c r="C52" s="9" t="s">
        <v>850</v>
      </c>
      <c r="D52" s="9" t="s">
        <v>851</v>
      </c>
      <c r="E52" s="9" t="s">
        <v>852</v>
      </c>
      <c r="F52" s="9" t="s">
        <v>853</v>
      </c>
      <c r="G52" s="9" t="s">
        <v>854</v>
      </c>
      <c r="L52" s="20">
        <f>$I$10*$L$10</f>
        <v>0</v>
      </c>
      <c r="M52" s="20">
        <f>$I$10*$M$10</f>
        <v>0</v>
      </c>
      <c r="N52" s="20">
        <f>$I$10*$N$10</f>
        <v>0</v>
      </c>
      <c r="O52" s="20">
        <f>$I$10*$O$10</f>
        <v>0</v>
      </c>
      <c r="P52" s="20">
        <f>$I$10*$P$10</f>
        <v>0</v>
      </c>
      <c r="Q52" s="20">
        <f>$I$10*$Q$10</f>
        <v>3480941.0211967821</v>
      </c>
      <c r="R52" s="20">
        <f>$I$10*$R$10</f>
        <v>0</v>
      </c>
      <c r="S52" s="20">
        <f>$I$10*$S$10</f>
        <v>0</v>
      </c>
      <c r="T52" s="20">
        <f>$I$10*$T$10</f>
        <v>0</v>
      </c>
      <c r="U52" s="20">
        <f>$I$10*$U$10</f>
        <v>0</v>
      </c>
      <c r="V52" s="20">
        <f>$I$10*$V$10</f>
        <v>0</v>
      </c>
      <c r="X52" s="20">
        <f>$I$10*$X$10</f>
        <v>0</v>
      </c>
      <c r="Y52" s="20">
        <f>$I$10*$Y$10</f>
        <v>0</v>
      </c>
      <c r="Z52" s="20">
        <f>$I$10*$Z$10</f>
        <v>0</v>
      </c>
      <c r="AA52" s="20">
        <f>$I$10*$AA$10</f>
        <v>0</v>
      </c>
      <c r="AB52" s="20">
        <f>$I$10*$AB$10</f>
        <v>0</v>
      </c>
      <c r="AC52" s="20">
        <f>$I$10*$AC$10</f>
        <v>3485062.3624020154</v>
      </c>
      <c r="AD52" s="20">
        <f>$I$10*$AD$10</f>
        <v>0</v>
      </c>
      <c r="AE52" s="20">
        <f>$I$10*$AE$10</f>
        <v>0</v>
      </c>
      <c r="AF52" s="20">
        <f>$I$10*$AF$10</f>
        <v>0</v>
      </c>
      <c r="AG52" s="20">
        <f>$I$10*$AG$10</f>
        <v>0</v>
      </c>
      <c r="AH52" s="20">
        <f>$I$10*$AH$10</f>
        <v>0</v>
      </c>
    </row>
    <row r="53" spans="1:34" ht="11.25" customHeight="1" x14ac:dyDescent="0.25">
      <c r="A53" s="9" t="s">
        <v>22</v>
      </c>
      <c r="B53" s="9" t="s">
        <v>849</v>
      </c>
      <c r="C53" s="9" t="s">
        <v>850</v>
      </c>
      <c r="D53" s="9" t="s">
        <v>855</v>
      </c>
      <c r="E53" s="9" t="s">
        <v>856</v>
      </c>
      <c r="F53" s="9" t="s">
        <v>857</v>
      </c>
      <c r="G53" s="9" t="s">
        <v>858</v>
      </c>
      <c r="L53" s="20">
        <f>$I$11*$L$11</f>
        <v>0</v>
      </c>
      <c r="M53" s="20">
        <f>$I$11*$M$11</f>
        <v>0</v>
      </c>
      <c r="N53" s="20">
        <f>$I$11*$N$11</f>
        <v>0</v>
      </c>
      <c r="O53" s="20">
        <f>$I$11*$O$11</f>
        <v>0</v>
      </c>
      <c r="P53" s="20">
        <f>$I$11*$P$11</f>
        <v>0</v>
      </c>
      <c r="Q53" s="20">
        <f>$I$11*$Q$11</f>
        <v>13421.957697463427</v>
      </c>
      <c r="R53" s="20">
        <f>$I$11*$R$11</f>
        <v>0</v>
      </c>
      <c r="S53" s="20">
        <f>$I$11*$S$11</f>
        <v>0</v>
      </c>
      <c r="T53" s="20">
        <f>$I$11*$T$11</f>
        <v>0</v>
      </c>
      <c r="U53" s="20">
        <f>$I$11*$U$11</f>
        <v>0</v>
      </c>
      <c r="V53" s="20">
        <f>$I$11*$V$11</f>
        <v>0</v>
      </c>
      <c r="X53" s="20">
        <f>$I$11*$X$11</f>
        <v>0</v>
      </c>
      <c r="Y53" s="20">
        <f>$I$11*$Y$11</f>
        <v>0</v>
      </c>
      <c r="Z53" s="20">
        <f>$I$11*$Z$11</f>
        <v>0</v>
      </c>
      <c r="AA53" s="20">
        <f>$I$11*$AA$11</f>
        <v>0</v>
      </c>
      <c r="AB53" s="20">
        <f>$I$11*$AB$11</f>
        <v>0</v>
      </c>
      <c r="AC53" s="20">
        <f>$I$11*$AC$11</f>
        <v>13437.848936923288</v>
      </c>
      <c r="AD53" s="20">
        <f>$I$11*$AD$11</f>
        <v>0</v>
      </c>
      <c r="AE53" s="20">
        <f>$I$11*$AE$11</f>
        <v>0</v>
      </c>
      <c r="AF53" s="20">
        <f>$I$11*$AF$11</f>
        <v>0</v>
      </c>
      <c r="AG53" s="20">
        <f>$I$11*$AG$11</f>
        <v>0</v>
      </c>
      <c r="AH53" s="20">
        <f>$I$11*$AH$11</f>
        <v>0</v>
      </c>
    </row>
    <row r="54" spans="1:34" ht="11.25" customHeight="1" x14ac:dyDescent="0.25">
      <c r="A54" s="9" t="s">
        <v>22</v>
      </c>
      <c r="B54" s="9" t="s">
        <v>849</v>
      </c>
      <c r="C54" s="9" t="s">
        <v>850</v>
      </c>
      <c r="D54" s="9" t="s">
        <v>859</v>
      </c>
      <c r="E54" s="9" t="s">
        <v>860</v>
      </c>
      <c r="F54" s="9" t="s">
        <v>861</v>
      </c>
      <c r="G54" s="9" t="s">
        <v>862</v>
      </c>
      <c r="L54" s="20">
        <f>$I$12*$L$12</f>
        <v>0</v>
      </c>
      <c r="M54" s="20">
        <f>$I$12*$M$12</f>
        <v>0</v>
      </c>
      <c r="N54" s="20">
        <f>$I$12*$N$12</f>
        <v>0</v>
      </c>
      <c r="O54" s="20">
        <f>$I$12*$O$12</f>
        <v>0</v>
      </c>
      <c r="P54" s="20">
        <f>$I$12*$P$12</f>
        <v>0</v>
      </c>
      <c r="Q54" s="20">
        <f>$I$12*$Q$12</f>
        <v>41056.941200919828</v>
      </c>
      <c r="R54" s="20">
        <f>$I$12*$R$12</f>
        <v>0</v>
      </c>
      <c r="S54" s="20">
        <f>$I$12*$S$12</f>
        <v>0</v>
      </c>
      <c r="T54" s="20">
        <f>$I$12*$T$12</f>
        <v>0</v>
      </c>
      <c r="U54" s="20">
        <f>$I$12*$U$12</f>
        <v>0</v>
      </c>
      <c r="V54" s="20">
        <f>$I$12*$V$12</f>
        <v>0</v>
      </c>
      <c r="X54" s="20">
        <f>$I$12*$X$12</f>
        <v>0</v>
      </c>
      <c r="Y54" s="20">
        <f>$I$12*$Y$12</f>
        <v>0</v>
      </c>
      <c r="Z54" s="20">
        <f>$I$12*$Z$12</f>
        <v>0</v>
      </c>
      <c r="AA54" s="20">
        <f>$I$12*$AA$12</f>
        <v>0</v>
      </c>
      <c r="AB54" s="20">
        <f>$I$12*$AB$12</f>
        <v>0</v>
      </c>
      <c r="AC54" s="20">
        <f>$I$12*$AC$12</f>
        <v>41105.551522813359</v>
      </c>
      <c r="AD54" s="20">
        <f>$I$12*$AD$12</f>
        <v>0</v>
      </c>
      <c r="AE54" s="20">
        <f>$I$12*$AE$12</f>
        <v>0</v>
      </c>
      <c r="AF54" s="20">
        <f>$I$12*$AF$12</f>
        <v>0</v>
      </c>
      <c r="AG54" s="20">
        <f>$I$12*$AG$12</f>
        <v>0</v>
      </c>
      <c r="AH54" s="20">
        <f>$I$12*$AH$12</f>
        <v>0</v>
      </c>
    </row>
    <row r="55" spans="1:34" ht="11.25" customHeight="1" x14ac:dyDescent="0.25">
      <c r="A55" s="9" t="s">
        <v>22</v>
      </c>
      <c r="B55" s="9" t="s">
        <v>849</v>
      </c>
      <c r="C55" s="9" t="s">
        <v>850</v>
      </c>
      <c r="D55" s="9" t="s">
        <v>863</v>
      </c>
      <c r="E55" s="9" t="s">
        <v>864</v>
      </c>
      <c r="F55" s="9" t="s">
        <v>865</v>
      </c>
      <c r="G55" s="9" t="s">
        <v>866</v>
      </c>
      <c r="L55" s="20">
        <f>$I$13*$L$13</f>
        <v>0</v>
      </c>
      <c r="M55" s="20">
        <f>$I$13*$M$13</f>
        <v>0</v>
      </c>
      <c r="N55" s="20">
        <f>$I$13*$N$13</f>
        <v>0</v>
      </c>
      <c r="O55" s="20">
        <f>$I$13*$O$13</f>
        <v>0</v>
      </c>
      <c r="P55" s="20">
        <f>$I$13*$P$13</f>
        <v>0</v>
      </c>
      <c r="Q55" s="20">
        <f>$I$13*$Q$13</f>
        <v>44376.449509206359</v>
      </c>
      <c r="R55" s="20">
        <f>$I$13*$R$13</f>
        <v>0</v>
      </c>
      <c r="S55" s="20">
        <f>$I$13*$S$13</f>
        <v>0</v>
      </c>
      <c r="T55" s="20">
        <f>$I$13*$T$13</f>
        <v>0</v>
      </c>
      <c r="U55" s="20">
        <f>$I$13*$U$13</f>
        <v>0</v>
      </c>
      <c r="V55" s="20">
        <f>$I$13*$V$13</f>
        <v>0</v>
      </c>
      <c r="X55" s="20">
        <f>$I$13*$X$13</f>
        <v>0</v>
      </c>
      <c r="Y55" s="20">
        <f>$I$13*$Y$13</f>
        <v>0</v>
      </c>
      <c r="Z55" s="20">
        <f>$I$13*$Z$13</f>
        <v>0</v>
      </c>
      <c r="AA55" s="20">
        <f>$I$13*$AA$13</f>
        <v>0</v>
      </c>
      <c r="AB55" s="20">
        <f>$I$13*$AB$13</f>
        <v>0</v>
      </c>
      <c r="AC55" s="20">
        <f>$I$13*$AC$13</f>
        <v>44428.990040284159</v>
      </c>
      <c r="AD55" s="20">
        <f>$I$13*$AD$13</f>
        <v>0</v>
      </c>
      <c r="AE55" s="20">
        <f>$I$13*$AE$13</f>
        <v>0</v>
      </c>
      <c r="AF55" s="20">
        <f>$I$13*$AF$13</f>
        <v>0</v>
      </c>
      <c r="AG55" s="20">
        <f>$I$13*$AG$13</f>
        <v>0</v>
      </c>
      <c r="AH55" s="20">
        <f>$I$13*$AH$13</f>
        <v>0</v>
      </c>
    </row>
    <row r="56" spans="1:34" ht="11.25" customHeight="1" x14ac:dyDescent="0.25">
      <c r="A56" s="9" t="s">
        <v>22</v>
      </c>
      <c r="B56" s="9" t="s">
        <v>849</v>
      </c>
      <c r="C56" s="9" t="s">
        <v>850</v>
      </c>
      <c r="D56" s="9" t="s">
        <v>867</v>
      </c>
      <c r="E56" s="9" t="s">
        <v>868</v>
      </c>
      <c r="F56" s="9" t="s">
        <v>869</v>
      </c>
      <c r="G56" s="9" t="s">
        <v>870</v>
      </c>
      <c r="L56" s="20">
        <f>$I$14*$L$14</f>
        <v>0</v>
      </c>
      <c r="M56" s="20">
        <f>$I$14*$M$14</f>
        <v>0</v>
      </c>
      <c r="N56" s="20">
        <f>$I$14*$N$14</f>
        <v>0</v>
      </c>
      <c r="O56" s="20">
        <f>$I$14*$O$14</f>
        <v>0</v>
      </c>
      <c r="P56" s="20">
        <f>$I$14*$P$14</f>
        <v>0</v>
      </c>
      <c r="Q56" s="20">
        <f>$I$14*$Q$14</f>
        <v>14188.639514822105</v>
      </c>
      <c r="R56" s="20">
        <f>$I$14*$R$14</f>
        <v>0</v>
      </c>
      <c r="S56" s="20">
        <f>$I$14*$S$14</f>
        <v>0</v>
      </c>
      <c r="T56" s="20">
        <f>$I$14*$T$14</f>
        <v>0</v>
      </c>
      <c r="U56" s="20">
        <f>$I$14*$U$14</f>
        <v>0</v>
      </c>
      <c r="V56" s="20">
        <f>$I$14*$V$14</f>
        <v>0</v>
      </c>
      <c r="X56" s="20">
        <f>$I$14*$X$14</f>
        <v>0</v>
      </c>
      <c r="Y56" s="20">
        <f>$I$14*$Y$14</f>
        <v>0</v>
      </c>
      <c r="Z56" s="20">
        <f>$I$14*$Z$14</f>
        <v>0</v>
      </c>
      <c r="AA56" s="20">
        <f>$I$14*$AA$14</f>
        <v>0</v>
      </c>
      <c r="AB56" s="20">
        <f>$I$14*$AB$14</f>
        <v>0</v>
      </c>
      <c r="AC56" s="20">
        <f>$I$14*$AC$14</f>
        <v>14205.438485078295</v>
      </c>
      <c r="AD56" s="20">
        <f>$I$14*$AD$14</f>
        <v>0</v>
      </c>
      <c r="AE56" s="20">
        <f>$I$14*$AE$14</f>
        <v>0</v>
      </c>
      <c r="AF56" s="20">
        <f>$I$14*$AF$14</f>
        <v>0</v>
      </c>
      <c r="AG56" s="20">
        <f>$I$14*$AG$14</f>
        <v>0</v>
      </c>
      <c r="AH56" s="20">
        <f>$I$14*$AH$14</f>
        <v>0</v>
      </c>
    </row>
    <row r="57" spans="1:34" ht="11.25" customHeight="1" x14ac:dyDescent="0.25">
      <c r="A57" s="9" t="s">
        <v>22</v>
      </c>
      <c r="B57" s="9" t="s">
        <v>871</v>
      </c>
      <c r="C57" s="9" t="s">
        <v>872</v>
      </c>
      <c r="D57" s="9" t="s">
        <v>873</v>
      </c>
      <c r="E57" s="9" t="s">
        <v>874</v>
      </c>
      <c r="F57" s="9" t="s">
        <v>875</v>
      </c>
      <c r="G57" s="9" t="s">
        <v>876</v>
      </c>
      <c r="L57" s="20">
        <f>$I$15*$L$15</f>
        <v>0</v>
      </c>
      <c r="M57" s="20">
        <f>$I$15*$M$15</f>
        <v>0</v>
      </c>
      <c r="N57" s="20">
        <f>$I$15*$N$15</f>
        <v>0</v>
      </c>
      <c r="O57" s="20">
        <f>$I$15*$O$15</f>
        <v>0</v>
      </c>
      <c r="P57" s="20">
        <f>$I$15*$P$15</f>
        <v>0</v>
      </c>
      <c r="Q57" s="20">
        <f>$I$15*$Q$15</f>
        <v>0</v>
      </c>
      <c r="R57" s="20">
        <f>$I$15*$R$15</f>
        <v>0</v>
      </c>
      <c r="S57" s="20">
        <f>$I$15*$S$15</f>
        <v>0</v>
      </c>
      <c r="T57" s="20">
        <f>$I$15*$T$15</f>
        <v>0</v>
      </c>
      <c r="U57" s="20">
        <f>$I$15*$U$15</f>
        <v>0</v>
      </c>
      <c r="V57" s="20">
        <f>$I$15*$V$15</f>
        <v>0</v>
      </c>
      <c r="X57" s="20">
        <f>$I$15*$X$15</f>
        <v>0</v>
      </c>
      <c r="Y57" s="20">
        <f>$I$15*$Y$15</f>
        <v>0</v>
      </c>
      <c r="Z57" s="20">
        <f>$I$15*$Z$15</f>
        <v>0</v>
      </c>
      <c r="AA57" s="20">
        <f>$I$15*$AA$15</f>
        <v>0</v>
      </c>
      <c r="AB57" s="20">
        <f>$I$15*$AB$15</f>
        <v>0</v>
      </c>
      <c r="AC57" s="20">
        <f>$I$15*$AC$15</f>
        <v>0</v>
      </c>
      <c r="AD57" s="20">
        <f>$I$15*$AD$15</f>
        <v>0</v>
      </c>
      <c r="AE57" s="20">
        <f>$I$15*$AE$15</f>
        <v>0</v>
      </c>
      <c r="AF57" s="20">
        <f>$I$15*$AF$15</f>
        <v>0</v>
      </c>
      <c r="AG57" s="20">
        <f>$I$15*$AG$15</f>
        <v>0</v>
      </c>
      <c r="AH57" s="20">
        <f>$I$15*$AH$15</f>
        <v>0</v>
      </c>
    </row>
    <row r="58" spans="1:34" ht="11.25" customHeight="1" x14ac:dyDescent="0.25">
      <c r="A58" s="9" t="s">
        <v>22</v>
      </c>
      <c r="B58" s="9" t="s">
        <v>871</v>
      </c>
      <c r="C58" s="9" t="s">
        <v>872</v>
      </c>
      <c r="D58" s="9" t="s">
        <v>877</v>
      </c>
      <c r="E58" s="9" t="s">
        <v>878</v>
      </c>
      <c r="F58" s="9" t="s">
        <v>879</v>
      </c>
      <c r="G58" s="9" t="s">
        <v>880</v>
      </c>
      <c r="L58" s="20">
        <f>$I$16*$L$16</f>
        <v>0</v>
      </c>
      <c r="M58" s="20">
        <f>$I$16*$M$16</f>
        <v>0</v>
      </c>
      <c r="N58" s="20">
        <f>$I$16*$N$16</f>
        <v>0</v>
      </c>
      <c r="O58" s="20">
        <f>$I$16*$O$16</f>
        <v>0</v>
      </c>
      <c r="P58" s="20">
        <f>$I$16*$P$16</f>
        <v>0</v>
      </c>
      <c r="Q58" s="20">
        <f>$I$16*$Q$16</f>
        <v>0</v>
      </c>
      <c r="R58" s="20">
        <f>$I$16*$R$16</f>
        <v>0</v>
      </c>
      <c r="S58" s="20">
        <f>$I$16*$S$16</f>
        <v>0</v>
      </c>
      <c r="T58" s="20">
        <f>$I$16*$T$16</f>
        <v>0</v>
      </c>
      <c r="U58" s="20">
        <f>$I$16*$U$16</f>
        <v>0</v>
      </c>
      <c r="V58" s="20">
        <f>$I$16*$V$16</f>
        <v>0</v>
      </c>
      <c r="X58" s="20">
        <f>$I$16*$X$16</f>
        <v>0</v>
      </c>
      <c r="Y58" s="20">
        <f>$I$16*$Y$16</f>
        <v>0</v>
      </c>
      <c r="Z58" s="20">
        <f>$I$16*$Z$16</f>
        <v>0</v>
      </c>
      <c r="AA58" s="20">
        <f>$I$16*$AA$16</f>
        <v>0</v>
      </c>
      <c r="AB58" s="20">
        <f>$I$16*$AB$16</f>
        <v>0</v>
      </c>
      <c r="AC58" s="20">
        <f>$I$16*$AC$16</f>
        <v>0</v>
      </c>
      <c r="AD58" s="20">
        <f>$I$16*$AD$16</f>
        <v>0</v>
      </c>
      <c r="AE58" s="20">
        <f>$I$16*$AE$16</f>
        <v>0</v>
      </c>
      <c r="AF58" s="20">
        <f>$I$16*$AF$16</f>
        <v>0</v>
      </c>
      <c r="AG58" s="20">
        <f>$I$16*$AG$16</f>
        <v>0</v>
      </c>
      <c r="AH58" s="20">
        <f>$I$16*$AH$16</f>
        <v>0</v>
      </c>
    </row>
    <row r="59" spans="1:34" ht="11.25" customHeight="1" x14ac:dyDescent="0.25">
      <c r="A59" s="9" t="s">
        <v>22</v>
      </c>
      <c r="B59" s="9" t="s">
        <v>871</v>
      </c>
      <c r="C59" s="9" t="s">
        <v>872</v>
      </c>
      <c r="D59" s="9" t="s">
        <v>881</v>
      </c>
      <c r="E59" s="9" t="s">
        <v>882</v>
      </c>
      <c r="F59" s="9" t="s">
        <v>883</v>
      </c>
      <c r="G59" s="9" t="s">
        <v>884</v>
      </c>
      <c r="L59" s="20">
        <f>$I$17*$L$17</f>
        <v>0</v>
      </c>
      <c r="M59" s="20">
        <f>$I$17*$M$17</f>
        <v>0</v>
      </c>
      <c r="N59" s="20">
        <f>$I$17*$N$17</f>
        <v>0</v>
      </c>
      <c r="O59" s="20">
        <f>$I$17*$O$17</f>
        <v>0</v>
      </c>
      <c r="P59" s="20">
        <f>$I$17*$P$17</f>
        <v>0</v>
      </c>
      <c r="Q59" s="20">
        <f>$I$17*$Q$17</f>
        <v>0</v>
      </c>
      <c r="R59" s="20">
        <f>$I$17*$R$17</f>
        <v>0</v>
      </c>
      <c r="S59" s="20">
        <f>$I$17*$S$17</f>
        <v>0</v>
      </c>
      <c r="T59" s="20">
        <f>$I$17*$T$17</f>
        <v>0</v>
      </c>
      <c r="U59" s="20">
        <f>$I$17*$U$17</f>
        <v>0</v>
      </c>
      <c r="V59" s="20">
        <f>$I$17*$V$17</f>
        <v>0</v>
      </c>
      <c r="X59" s="20">
        <f>$I$17*$X$17</f>
        <v>0</v>
      </c>
      <c r="Y59" s="20">
        <f>$I$17*$Y$17</f>
        <v>0</v>
      </c>
      <c r="Z59" s="20">
        <f>$I$17*$Z$17</f>
        <v>0</v>
      </c>
      <c r="AA59" s="20">
        <f>$I$17*$AA$17</f>
        <v>0</v>
      </c>
      <c r="AB59" s="20">
        <f>$I$17*$AB$17</f>
        <v>0</v>
      </c>
      <c r="AC59" s="20">
        <f>$I$17*$AC$17</f>
        <v>0</v>
      </c>
      <c r="AD59" s="20">
        <f>$I$17*$AD$17</f>
        <v>0</v>
      </c>
      <c r="AE59" s="20">
        <f>$I$17*$AE$17</f>
        <v>0</v>
      </c>
      <c r="AF59" s="20">
        <f>$I$17*$AF$17</f>
        <v>0</v>
      </c>
      <c r="AG59" s="20">
        <f>$I$17*$AG$17</f>
        <v>0</v>
      </c>
      <c r="AH59" s="20">
        <f>$I$17*$AH$17</f>
        <v>0</v>
      </c>
    </row>
    <row r="60" spans="1:34" ht="11.25" customHeight="1" x14ac:dyDescent="0.25">
      <c r="A60" s="9" t="s">
        <v>22</v>
      </c>
      <c r="B60" s="9" t="s">
        <v>871</v>
      </c>
      <c r="C60" s="9" t="s">
        <v>872</v>
      </c>
      <c r="D60" s="9" t="s">
        <v>885</v>
      </c>
      <c r="E60" s="9" t="s">
        <v>886</v>
      </c>
      <c r="F60" s="9" t="s">
        <v>887</v>
      </c>
      <c r="G60" s="9" t="s">
        <v>888</v>
      </c>
      <c r="L60" s="20">
        <f>$I$18*$L$18</f>
        <v>0</v>
      </c>
      <c r="M60" s="20">
        <f>$I$18*$M$18</f>
        <v>0</v>
      </c>
      <c r="N60" s="20">
        <f>$I$18*$N$18</f>
        <v>0</v>
      </c>
      <c r="O60" s="20">
        <f>$I$18*$O$18</f>
        <v>0</v>
      </c>
      <c r="P60" s="20">
        <f>$I$18*$P$18</f>
        <v>0</v>
      </c>
      <c r="Q60" s="20">
        <f>$I$18*$Q$18</f>
        <v>0</v>
      </c>
      <c r="R60" s="20">
        <f>$I$18*$R$18</f>
        <v>0</v>
      </c>
      <c r="S60" s="20">
        <f>$I$18*$S$18</f>
        <v>0</v>
      </c>
      <c r="T60" s="20">
        <f>$I$18*$T$18</f>
        <v>0</v>
      </c>
      <c r="U60" s="20">
        <f>$I$18*$U$18</f>
        <v>0</v>
      </c>
      <c r="V60" s="20">
        <f>$I$18*$V$18</f>
        <v>0</v>
      </c>
      <c r="X60" s="20">
        <f>$I$18*$X$18</f>
        <v>0</v>
      </c>
      <c r="Y60" s="20">
        <f>$I$18*$Y$18</f>
        <v>0</v>
      </c>
      <c r="Z60" s="20">
        <f>$I$18*$Z$18</f>
        <v>0</v>
      </c>
      <c r="AA60" s="20">
        <f>$I$18*$AA$18</f>
        <v>0</v>
      </c>
      <c r="AB60" s="20">
        <f>$I$18*$AB$18</f>
        <v>0</v>
      </c>
      <c r="AC60" s="20">
        <f>$I$18*$AC$18</f>
        <v>0</v>
      </c>
      <c r="AD60" s="20">
        <f>$I$18*$AD$18</f>
        <v>0</v>
      </c>
      <c r="AE60" s="20">
        <f>$I$18*$AE$18</f>
        <v>0</v>
      </c>
      <c r="AF60" s="20">
        <f>$I$18*$AF$18</f>
        <v>0</v>
      </c>
      <c r="AG60" s="20">
        <f>$I$18*$AG$18</f>
        <v>0</v>
      </c>
      <c r="AH60" s="20">
        <f>$I$18*$AH$18</f>
        <v>0</v>
      </c>
    </row>
    <row r="61" spans="1:34" ht="11.25" customHeight="1" x14ac:dyDescent="0.25">
      <c r="A61" s="9" t="s">
        <v>22</v>
      </c>
      <c r="B61" s="9" t="s">
        <v>871</v>
      </c>
      <c r="C61" s="9" t="s">
        <v>872</v>
      </c>
      <c r="D61" s="9" t="s">
        <v>889</v>
      </c>
      <c r="E61" s="9" t="s">
        <v>890</v>
      </c>
      <c r="F61" s="9" t="s">
        <v>891</v>
      </c>
      <c r="G61" s="9" t="s">
        <v>892</v>
      </c>
      <c r="L61" s="20">
        <f>$I$19*$L$19</f>
        <v>0</v>
      </c>
      <c r="M61" s="20">
        <f>$I$19*$M$19</f>
        <v>0</v>
      </c>
      <c r="N61" s="20">
        <f>$I$19*$N$19</f>
        <v>0</v>
      </c>
      <c r="O61" s="20">
        <f>$I$19*$O$19</f>
        <v>0</v>
      </c>
      <c r="P61" s="20">
        <f>$I$19*$P$19</f>
        <v>0</v>
      </c>
      <c r="Q61" s="20">
        <f>$I$19*$Q$19</f>
        <v>0</v>
      </c>
      <c r="R61" s="20">
        <f>$I$19*$R$19</f>
        <v>0</v>
      </c>
      <c r="S61" s="20">
        <f>$I$19*$S$19</f>
        <v>0</v>
      </c>
      <c r="T61" s="20">
        <f>$I$19*$T$19</f>
        <v>0</v>
      </c>
      <c r="U61" s="20">
        <f>$I$19*$U$19</f>
        <v>0</v>
      </c>
      <c r="V61" s="20">
        <f>$I$19*$V$19</f>
        <v>0</v>
      </c>
      <c r="X61" s="20">
        <f>$I$19*$X$19</f>
        <v>0</v>
      </c>
      <c r="Y61" s="20">
        <f>$I$19*$Y$19</f>
        <v>0</v>
      </c>
      <c r="Z61" s="20">
        <f>$I$19*$Z$19</f>
        <v>0</v>
      </c>
      <c r="AA61" s="20">
        <f>$I$19*$AA$19</f>
        <v>0</v>
      </c>
      <c r="AB61" s="20">
        <f>$I$19*$AB$19</f>
        <v>0</v>
      </c>
      <c r="AC61" s="20">
        <f>$I$19*$AC$19</f>
        <v>0</v>
      </c>
      <c r="AD61" s="20">
        <f>$I$19*$AD$19</f>
        <v>0</v>
      </c>
      <c r="AE61" s="20">
        <f>$I$19*$AE$19</f>
        <v>0</v>
      </c>
      <c r="AF61" s="20">
        <f>$I$19*$AF$19</f>
        <v>0</v>
      </c>
      <c r="AG61" s="20">
        <f>$I$19*$AG$19</f>
        <v>0</v>
      </c>
      <c r="AH61" s="20">
        <f>$I$19*$AH$19</f>
        <v>0</v>
      </c>
    </row>
    <row r="62" spans="1:34" ht="11.25" customHeight="1" x14ac:dyDescent="0.25">
      <c r="A62" s="9" t="s">
        <v>40</v>
      </c>
      <c r="B62" s="9" t="s">
        <v>893</v>
      </c>
      <c r="C62" s="9" t="s">
        <v>894</v>
      </c>
      <c r="D62" s="9" t="s">
        <v>895</v>
      </c>
      <c r="E62" s="9" t="s">
        <v>896</v>
      </c>
      <c r="F62" s="9" t="s">
        <v>897</v>
      </c>
      <c r="G62" s="9" t="s">
        <v>898</v>
      </c>
      <c r="L62" s="20">
        <f>$I$20*$L$20</f>
        <v>0</v>
      </c>
      <c r="M62" s="20">
        <f>$I$20*$M$20</f>
        <v>0</v>
      </c>
      <c r="N62" s="20">
        <f>$I$20*$N$20</f>
        <v>0</v>
      </c>
      <c r="O62" s="20">
        <f>$I$20*$O$20</f>
        <v>0</v>
      </c>
      <c r="P62" s="20">
        <f>$I$20*$P$20</f>
        <v>0</v>
      </c>
      <c r="Q62" s="20">
        <f>$I$20*$Q$20</f>
        <v>0</v>
      </c>
      <c r="R62" s="20">
        <f>$I$20*$R$20</f>
        <v>0</v>
      </c>
      <c r="S62" s="20">
        <f>$I$20*$S$20</f>
        <v>0</v>
      </c>
      <c r="T62" s="20">
        <f>$I$20*$T$20</f>
        <v>0</v>
      </c>
      <c r="U62" s="20">
        <f>$I$20*$U$20</f>
        <v>0</v>
      </c>
      <c r="V62" s="20">
        <f>$I$20*$V$20</f>
        <v>0</v>
      </c>
      <c r="X62" s="20">
        <f>$I$20*$X$20</f>
        <v>0</v>
      </c>
      <c r="Y62" s="20">
        <f>$I$20*$Y$20</f>
        <v>0</v>
      </c>
      <c r="Z62" s="20">
        <f>$I$20*$Z$20</f>
        <v>0</v>
      </c>
      <c r="AA62" s="20">
        <f>$I$20*$AA$20</f>
        <v>0</v>
      </c>
      <c r="AB62" s="20">
        <f>$I$20*$AB$20</f>
        <v>0</v>
      </c>
      <c r="AC62" s="20">
        <f>$I$20*$AC$20</f>
        <v>0</v>
      </c>
      <c r="AD62" s="20">
        <f>$I$20*$AD$20</f>
        <v>0</v>
      </c>
      <c r="AE62" s="20">
        <f>$I$20*$AE$20</f>
        <v>0</v>
      </c>
      <c r="AF62" s="20">
        <f>$I$20*$AF$20</f>
        <v>0</v>
      </c>
      <c r="AG62" s="20">
        <f>$I$20*$AG$20</f>
        <v>0</v>
      </c>
      <c r="AH62" s="20">
        <f>$I$20*$AH$20</f>
        <v>0</v>
      </c>
    </row>
    <row r="63" spans="1:34" ht="11.25" customHeight="1" x14ac:dyDescent="0.25">
      <c r="A63" s="9" t="s">
        <v>40</v>
      </c>
      <c r="B63" s="9" t="s">
        <v>893</v>
      </c>
      <c r="C63" s="9" t="s">
        <v>894</v>
      </c>
      <c r="D63" s="9" t="s">
        <v>895</v>
      </c>
      <c r="E63" s="9" t="s">
        <v>896</v>
      </c>
      <c r="F63" s="9" t="s">
        <v>897</v>
      </c>
      <c r="G63" s="9" t="s">
        <v>899</v>
      </c>
      <c r="L63" s="20">
        <f>$I$21*$L$21</f>
        <v>0</v>
      </c>
      <c r="M63" s="20">
        <f>$I$21*$M$21</f>
        <v>0</v>
      </c>
      <c r="N63" s="20">
        <f>$I$21*$N$21</f>
        <v>0</v>
      </c>
      <c r="O63" s="20">
        <f>$I$21*$O$21</f>
        <v>0</v>
      </c>
      <c r="P63" s="20">
        <f>$I$21*$P$21</f>
        <v>0</v>
      </c>
      <c r="Q63" s="20">
        <f>$I$21*$Q$21</f>
        <v>0</v>
      </c>
      <c r="R63" s="20">
        <f>$I$21*$R$21</f>
        <v>0</v>
      </c>
      <c r="S63" s="20">
        <f>$I$21*$S$21</f>
        <v>0</v>
      </c>
      <c r="T63" s="20">
        <f>$I$21*$T$21</f>
        <v>0</v>
      </c>
      <c r="U63" s="20">
        <f>$I$21*$U$21</f>
        <v>0</v>
      </c>
      <c r="V63" s="20">
        <f>$I$21*$V$21</f>
        <v>0</v>
      </c>
      <c r="X63" s="20">
        <f>$I$21*$X$21</f>
        <v>0</v>
      </c>
      <c r="Y63" s="20">
        <f>$I$21*$Y$21</f>
        <v>0</v>
      </c>
      <c r="Z63" s="20">
        <f>$I$21*$Z$21</f>
        <v>0</v>
      </c>
      <c r="AA63" s="20">
        <f>$I$21*$AA$21</f>
        <v>0</v>
      </c>
      <c r="AB63" s="20">
        <f>$I$21*$AB$21</f>
        <v>0</v>
      </c>
      <c r="AC63" s="20">
        <f>$I$21*$AC$21</f>
        <v>0</v>
      </c>
      <c r="AD63" s="20">
        <f>$I$21*$AD$21</f>
        <v>0</v>
      </c>
      <c r="AE63" s="20">
        <f>$I$21*$AE$21</f>
        <v>0</v>
      </c>
      <c r="AF63" s="20">
        <f>$I$21*$AF$21</f>
        <v>0</v>
      </c>
      <c r="AG63" s="20">
        <f>$I$21*$AG$21</f>
        <v>0</v>
      </c>
      <c r="AH63" s="20">
        <f>$I$21*$AH$21</f>
        <v>0</v>
      </c>
    </row>
    <row r="64" spans="1:34" ht="11.25" customHeight="1" x14ac:dyDescent="0.25">
      <c r="A64" s="9" t="s">
        <v>40</v>
      </c>
      <c r="B64" s="9" t="s">
        <v>893</v>
      </c>
      <c r="C64" s="9" t="s">
        <v>894</v>
      </c>
      <c r="D64" s="9" t="s">
        <v>895</v>
      </c>
      <c r="E64" s="9" t="s">
        <v>896</v>
      </c>
      <c r="F64" s="9" t="s">
        <v>897</v>
      </c>
      <c r="G64" s="9" t="s">
        <v>900</v>
      </c>
      <c r="L64" s="20">
        <f>$I$22*$L$22</f>
        <v>0</v>
      </c>
      <c r="M64" s="20">
        <f>$I$22*$M$22</f>
        <v>0</v>
      </c>
      <c r="N64" s="20">
        <f>$I$22*$N$22</f>
        <v>0</v>
      </c>
      <c r="O64" s="20">
        <f>$I$22*$O$22</f>
        <v>0</v>
      </c>
      <c r="P64" s="20">
        <f>$I$22*$P$22</f>
        <v>0</v>
      </c>
      <c r="Q64" s="20">
        <f>$I$22*$Q$22</f>
        <v>0</v>
      </c>
      <c r="R64" s="20">
        <f>$I$22*$R$22</f>
        <v>0</v>
      </c>
      <c r="S64" s="20">
        <f>$I$22*$S$22</f>
        <v>0</v>
      </c>
      <c r="T64" s="20">
        <f>$I$22*$T$22</f>
        <v>0</v>
      </c>
      <c r="U64" s="20">
        <f>$I$22*$U$22</f>
        <v>0</v>
      </c>
      <c r="V64" s="20">
        <f>$I$22*$V$22</f>
        <v>0</v>
      </c>
      <c r="X64" s="20">
        <f>$I$22*$X$22</f>
        <v>0</v>
      </c>
      <c r="Y64" s="20">
        <f>$I$22*$Y$22</f>
        <v>0</v>
      </c>
      <c r="Z64" s="20">
        <f>$I$22*$Z$22</f>
        <v>0</v>
      </c>
      <c r="AA64" s="20">
        <f>$I$22*$AA$22</f>
        <v>0</v>
      </c>
      <c r="AB64" s="20">
        <f>$I$22*$AB$22</f>
        <v>0</v>
      </c>
      <c r="AC64" s="20">
        <f>$I$22*$AC$22</f>
        <v>0</v>
      </c>
      <c r="AD64" s="20">
        <f>$I$22*$AD$22</f>
        <v>0</v>
      </c>
      <c r="AE64" s="20">
        <f>$I$22*$AE$22</f>
        <v>0</v>
      </c>
      <c r="AF64" s="20">
        <f>$I$22*$AF$22</f>
        <v>0</v>
      </c>
      <c r="AG64" s="20">
        <f>$I$22*$AG$22</f>
        <v>0</v>
      </c>
      <c r="AH64" s="20">
        <f>$I$22*$AH$22</f>
        <v>0</v>
      </c>
    </row>
    <row r="65" spans="1:34" ht="11.25" customHeight="1" x14ac:dyDescent="0.25">
      <c r="A65" s="9" t="s">
        <v>40</v>
      </c>
      <c r="B65" s="9" t="s">
        <v>901</v>
      </c>
      <c r="C65" s="9" t="s">
        <v>902</v>
      </c>
      <c r="D65" s="9" t="s">
        <v>903</v>
      </c>
      <c r="E65" s="9" t="s">
        <v>904</v>
      </c>
      <c r="F65" s="9" t="s">
        <v>905</v>
      </c>
      <c r="G65" s="9" t="s">
        <v>906</v>
      </c>
      <c r="L65" s="20">
        <f>$I$23*$L$23</f>
        <v>0</v>
      </c>
      <c r="M65" s="20">
        <f>$I$23*$M$23</f>
        <v>0</v>
      </c>
      <c r="N65" s="20">
        <f>$I$23*$N$23</f>
        <v>0</v>
      </c>
      <c r="O65" s="20">
        <f>$I$23*$O$23</f>
        <v>0</v>
      </c>
      <c r="P65" s="20">
        <f>$I$23*$P$23</f>
        <v>0</v>
      </c>
      <c r="Q65" s="20">
        <f>$I$23*$Q$23</f>
        <v>11317233.115898767</v>
      </c>
      <c r="R65" s="20">
        <f>$I$23*$R$23</f>
        <v>0</v>
      </c>
      <c r="S65" s="20">
        <f>$I$23*$S$23</f>
        <v>0</v>
      </c>
      <c r="T65" s="20">
        <f>$I$23*$T$23</f>
        <v>0</v>
      </c>
      <c r="U65" s="20">
        <f>$I$23*$U$23</f>
        <v>0</v>
      </c>
      <c r="V65" s="20">
        <f>$I$23*$V$23</f>
        <v>0</v>
      </c>
      <c r="X65" s="20">
        <f>$I$23*$X$23</f>
        <v>0</v>
      </c>
      <c r="Y65" s="20">
        <f>$I$23*$Y$23</f>
        <v>0</v>
      </c>
      <c r="Z65" s="20">
        <f>$I$23*$Z$23</f>
        <v>0</v>
      </c>
      <c r="AA65" s="20">
        <f>$I$23*$AA$23</f>
        <v>0</v>
      </c>
      <c r="AB65" s="20">
        <f>$I$23*$AB$23</f>
        <v>0</v>
      </c>
      <c r="AC65" s="20">
        <f>$I$23*$AC$23</f>
        <v>10607400.561217301</v>
      </c>
      <c r="AD65" s="20">
        <f>$I$23*$AD$23</f>
        <v>0</v>
      </c>
      <c r="AE65" s="20">
        <f>$I$23*$AE$23</f>
        <v>0</v>
      </c>
      <c r="AF65" s="20">
        <f>$I$23*$AF$23</f>
        <v>0</v>
      </c>
      <c r="AG65" s="20">
        <f>$I$23*$AG$23</f>
        <v>0</v>
      </c>
      <c r="AH65" s="20">
        <f>$I$23*$AH$23</f>
        <v>0</v>
      </c>
    </row>
    <row r="66" spans="1:34" ht="11.25" customHeight="1" x14ac:dyDescent="0.25">
      <c r="A66" s="9" t="s">
        <v>40</v>
      </c>
      <c r="B66" s="9" t="s">
        <v>893</v>
      </c>
      <c r="C66" s="9" t="s">
        <v>894</v>
      </c>
      <c r="D66" s="9" t="s">
        <v>907</v>
      </c>
      <c r="E66" s="9" t="s">
        <v>908</v>
      </c>
      <c r="F66" s="9" t="s">
        <v>909</v>
      </c>
      <c r="G66" s="9" t="s">
        <v>910</v>
      </c>
      <c r="L66" s="20">
        <f>$I$24*$L$24</f>
        <v>0</v>
      </c>
      <c r="M66" s="20">
        <f>$I$24*$M$24</f>
        <v>0</v>
      </c>
      <c r="N66" s="20">
        <f>$I$24*$N$24</f>
        <v>0</v>
      </c>
      <c r="O66" s="20">
        <f>$I$24*$O$24</f>
        <v>0</v>
      </c>
      <c r="P66" s="20">
        <f>$I$24*$P$24</f>
        <v>0</v>
      </c>
      <c r="Q66" s="20">
        <f>$I$24*$Q$24</f>
        <v>0</v>
      </c>
      <c r="R66" s="20">
        <f>$I$24*$R$24</f>
        <v>0</v>
      </c>
      <c r="S66" s="20">
        <f>$I$24*$S$24</f>
        <v>0</v>
      </c>
      <c r="T66" s="20">
        <f>$I$24*$T$24</f>
        <v>0</v>
      </c>
      <c r="U66" s="20">
        <f>$I$24*$U$24</f>
        <v>0</v>
      </c>
      <c r="V66" s="20">
        <f>$I$24*$V$24</f>
        <v>0</v>
      </c>
      <c r="X66" s="20">
        <f>$I$24*$X$24</f>
        <v>0</v>
      </c>
      <c r="Y66" s="20">
        <f>$I$24*$Y$24</f>
        <v>0</v>
      </c>
      <c r="Z66" s="20">
        <f>$I$24*$Z$24</f>
        <v>0</v>
      </c>
      <c r="AA66" s="20">
        <f>$I$24*$AA$24</f>
        <v>0</v>
      </c>
      <c r="AB66" s="20">
        <f>$I$24*$AB$24</f>
        <v>0</v>
      </c>
      <c r="AC66" s="20">
        <f>$I$24*$AC$24</f>
        <v>0</v>
      </c>
      <c r="AD66" s="20">
        <f>$I$24*$AD$24</f>
        <v>0</v>
      </c>
      <c r="AE66" s="20">
        <f>$I$24*$AE$24</f>
        <v>0</v>
      </c>
      <c r="AF66" s="20">
        <f>$I$24*$AF$24</f>
        <v>0</v>
      </c>
      <c r="AG66" s="20">
        <f>$I$24*$AG$24</f>
        <v>0</v>
      </c>
      <c r="AH66" s="20">
        <f>$I$24*$AH$24</f>
        <v>0</v>
      </c>
    </row>
    <row r="67" spans="1:34" ht="11.25" customHeight="1" x14ac:dyDescent="0.25">
      <c r="A67" s="9" t="s">
        <v>40</v>
      </c>
      <c r="B67" s="9" t="s">
        <v>893</v>
      </c>
      <c r="C67" s="9" t="s">
        <v>894</v>
      </c>
      <c r="D67" s="9" t="s">
        <v>907</v>
      </c>
      <c r="E67" s="9" t="s">
        <v>908</v>
      </c>
      <c r="F67" s="9" t="s">
        <v>909</v>
      </c>
      <c r="G67" s="9" t="s">
        <v>911</v>
      </c>
      <c r="L67" s="20">
        <f>$I$25*$L$25</f>
        <v>0</v>
      </c>
      <c r="M67" s="20">
        <f>$I$25*$M$25</f>
        <v>0</v>
      </c>
      <c r="N67" s="20">
        <f>$I$25*$N$25</f>
        <v>0</v>
      </c>
      <c r="O67" s="20">
        <f>$I$25*$O$25</f>
        <v>0</v>
      </c>
      <c r="P67" s="20">
        <f>$I$25*$P$25</f>
        <v>0</v>
      </c>
      <c r="Q67" s="20">
        <f>$I$25*$Q$25</f>
        <v>0</v>
      </c>
      <c r="R67" s="20">
        <f>$I$25*$R$25</f>
        <v>0</v>
      </c>
      <c r="S67" s="20">
        <f>$I$25*$S$25</f>
        <v>0</v>
      </c>
      <c r="T67" s="20">
        <f>$I$25*$T$25</f>
        <v>0</v>
      </c>
      <c r="U67" s="20">
        <f>$I$25*$U$25</f>
        <v>0</v>
      </c>
      <c r="V67" s="20">
        <f>$I$25*$V$25</f>
        <v>0</v>
      </c>
      <c r="X67" s="20">
        <f>$I$25*$X$25</f>
        <v>0</v>
      </c>
      <c r="Y67" s="20">
        <f>$I$25*$Y$25</f>
        <v>0</v>
      </c>
      <c r="Z67" s="20">
        <f>$I$25*$Z$25</f>
        <v>0</v>
      </c>
      <c r="AA67" s="20">
        <f>$I$25*$AA$25</f>
        <v>0</v>
      </c>
      <c r="AB67" s="20">
        <f>$I$25*$AB$25</f>
        <v>0</v>
      </c>
      <c r="AC67" s="20">
        <f>$I$25*$AC$25</f>
        <v>0</v>
      </c>
      <c r="AD67" s="20">
        <f>$I$25*$AD$25</f>
        <v>0</v>
      </c>
      <c r="AE67" s="20">
        <f>$I$25*$AE$25</f>
        <v>0</v>
      </c>
      <c r="AF67" s="20">
        <f>$I$25*$AF$25</f>
        <v>0</v>
      </c>
      <c r="AG67" s="20">
        <f>$I$25*$AG$25</f>
        <v>0</v>
      </c>
      <c r="AH67" s="20">
        <f>$I$25*$AH$25</f>
        <v>0</v>
      </c>
    </row>
    <row r="68" spans="1:34" ht="11.25" customHeight="1" x14ac:dyDescent="0.25">
      <c r="A68" s="9" t="s">
        <v>40</v>
      </c>
      <c r="B68" s="9" t="s">
        <v>893</v>
      </c>
      <c r="C68" s="9" t="s">
        <v>894</v>
      </c>
      <c r="D68" s="9" t="s">
        <v>907</v>
      </c>
      <c r="E68" s="9" t="s">
        <v>908</v>
      </c>
      <c r="F68" s="9" t="s">
        <v>909</v>
      </c>
      <c r="G68" s="9" t="s">
        <v>912</v>
      </c>
      <c r="L68" s="20">
        <f>$I$26*$L$26</f>
        <v>0</v>
      </c>
      <c r="M68" s="20">
        <f>$I$26*$M$26</f>
        <v>0</v>
      </c>
      <c r="N68" s="20">
        <f>$I$26*$N$26</f>
        <v>0</v>
      </c>
      <c r="O68" s="20">
        <f>$I$26*$O$26</f>
        <v>0</v>
      </c>
      <c r="P68" s="20">
        <f>$I$26*$P$26</f>
        <v>0</v>
      </c>
      <c r="Q68" s="20">
        <f>$I$26*$Q$26</f>
        <v>0</v>
      </c>
      <c r="R68" s="20">
        <f>$I$26*$R$26</f>
        <v>0</v>
      </c>
      <c r="S68" s="20">
        <f>$I$26*$S$26</f>
        <v>0</v>
      </c>
      <c r="T68" s="20">
        <f>$I$26*$T$26</f>
        <v>0</v>
      </c>
      <c r="U68" s="20">
        <f>$I$26*$U$26</f>
        <v>0</v>
      </c>
      <c r="V68" s="20">
        <f>$I$26*$V$26</f>
        <v>0</v>
      </c>
      <c r="X68" s="20">
        <f>$I$26*$X$26</f>
        <v>0</v>
      </c>
      <c r="Y68" s="20">
        <f>$I$26*$Y$26</f>
        <v>0</v>
      </c>
      <c r="Z68" s="20">
        <f>$I$26*$Z$26</f>
        <v>0</v>
      </c>
      <c r="AA68" s="20">
        <f>$I$26*$AA$26</f>
        <v>0</v>
      </c>
      <c r="AB68" s="20">
        <f>$I$26*$AB$26</f>
        <v>0</v>
      </c>
      <c r="AC68" s="20">
        <f>$I$26*$AC$26</f>
        <v>0</v>
      </c>
      <c r="AD68" s="20">
        <f>$I$26*$AD$26</f>
        <v>0</v>
      </c>
      <c r="AE68" s="20">
        <f>$I$26*$AE$26</f>
        <v>0</v>
      </c>
      <c r="AF68" s="20">
        <f>$I$26*$AF$26</f>
        <v>0</v>
      </c>
      <c r="AG68" s="20">
        <f>$I$26*$AG$26</f>
        <v>0</v>
      </c>
      <c r="AH68" s="20">
        <f>$I$26*$AH$26</f>
        <v>0</v>
      </c>
    </row>
    <row r="69" spans="1:34" ht="11.25" customHeight="1" x14ac:dyDescent="0.25">
      <c r="A69" s="9" t="s">
        <v>40</v>
      </c>
      <c r="B69" s="9" t="s">
        <v>901</v>
      </c>
      <c r="C69" s="9" t="s">
        <v>902</v>
      </c>
      <c r="D69" s="9" t="s">
        <v>913</v>
      </c>
      <c r="E69" s="9" t="s">
        <v>914</v>
      </c>
      <c r="F69" s="9" t="s">
        <v>915</v>
      </c>
      <c r="G69" s="9" t="s">
        <v>916</v>
      </c>
      <c r="L69" s="20">
        <f>$I$27*$L$27</f>
        <v>0</v>
      </c>
      <c r="M69" s="20">
        <f>$I$27*$M$27</f>
        <v>0</v>
      </c>
      <c r="N69" s="20">
        <f>$I$27*$N$27</f>
        <v>0</v>
      </c>
      <c r="O69" s="20">
        <f>$I$27*$O$27</f>
        <v>0</v>
      </c>
      <c r="P69" s="20">
        <f>$I$27*$P$27</f>
        <v>0</v>
      </c>
      <c r="Q69" s="20">
        <f>$I$27*$Q$27</f>
        <v>0</v>
      </c>
      <c r="R69" s="20">
        <f>$I$27*$R$27</f>
        <v>0</v>
      </c>
      <c r="S69" s="20">
        <f>$I$27*$S$27</f>
        <v>0</v>
      </c>
      <c r="T69" s="20">
        <f>$I$27*$T$27</f>
        <v>0</v>
      </c>
      <c r="U69" s="20">
        <f>$I$27*$U$27</f>
        <v>0</v>
      </c>
      <c r="V69" s="20">
        <f>$I$27*$V$27</f>
        <v>0</v>
      </c>
      <c r="X69" s="20">
        <f>$I$27*$X$27</f>
        <v>0</v>
      </c>
      <c r="Y69" s="20">
        <f>$I$27*$Y$27</f>
        <v>0</v>
      </c>
      <c r="Z69" s="20">
        <f>$I$27*$Z$27</f>
        <v>0</v>
      </c>
      <c r="AA69" s="20">
        <f>$I$27*$AA$27</f>
        <v>0</v>
      </c>
      <c r="AB69" s="20">
        <f>$I$27*$AB$27</f>
        <v>0</v>
      </c>
      <c r="AC69" s="20">
        <f>$I$27*$AC$27</f>
        <v>0</v>
      </c>
      <c r="AD69" s="20">
        <f>$I$27*$AD$27</f>
        <v>0</v>
      </c>
      <c r="AE69" s="20">
        <f>$I$27*$AE$27</f>
        <v>0</v>
      </c>
      <c r="AF69" s="20">
        <f>$I$27*$AF$27</f>
        <v>0</v>
      </c>
      <c r="AG69" s="20">
        <f>$I$27*$AG$27</f>
        <v>0</v>
      </c>
      <c r="AH69" s="20">
        <f>$I$27*$AH$27</f>
        <v>0</v>
      </c>
    </row>
    <row r="70" spans="1:34" ht="11.25" customHeight="1" x14ac:dyDescent="0.25">
      <c r="A70" s="9" t="s">
        <v>40</v>
      </c>
      <c r="B70" s="9" t="s">
        <v>893</v>
      </c>
      <c r="C70" s="9" t="s">
        <v>894</v>
      </c>
      <c r="D70" s="9" t="s">
        <v>917</v>
      </c>
      <c r="E70" s="9" t="s">
        <v>918</v>
      </c>
      <c r="F70" s="9" t="s">
        <v>919</v>
      </c>
      <c r="G70" s="9" t="s">
        <v>920</v>
      </c>
      <c r="L70" s="20">
        <f>$I$28*$L$28</f>
        <v>0</v>
      </c>
      <c r="M70" s="20">
        <f>$I$28*$M$28</f>
        <v>0</v>
      </c>
      <c r="N70" s="20">
        <f>$I$28*$N$28</f>
        <v>0</v>
      </c>
      <c r="O70" s="20">
        <f>$I$28*$O$28</f>
        <v>0</v>
      </c>
      <c r="P70" s="20">
        <f>$I$28*$P$28</f>
        <v>0</v>
      </c>
      <c r="Q70" s="20">
        <f>$I$28*$Q$28</f>
        <v>0</v>
      </c>
      <c r="R70" s="20">
        <f>$I$28*$R$28</f>
        <v>0</v>
      </c>
      <c r="S70" s="20">
        <f>$I$28*$S$28</f>
        <v>0</v>
      </c>
      <c r="T70" s="20">
        <f>$I$28*$T$28</f>
        <v>0</v>
      </c>
      <c r="U70" s="20">
        <f>$I$28*$U$28</f>
        <v>0</v>
      </c>
      <c r="V70" s="20">
        <f>$I$28*$V$28</f>
        <v>0</v>
      </c>
      <c r="X70" s="20">
        <f>$I$28*$X$28</f>
        <v>0</v>
      </c>
      <c r="Y70" s="20">
        <f>$I$28*$Y$28</f>
        <v>0</v>
      </c>
      <c r="Z70" s="20">
        <f>$I$28*$Z$28</f>
        <v>0</v>
      </c>
      <c r="AA70" s="20">
        <f>$I$28*$AA$28</f>
        <v>0</v>
      </c>
      <c r="AB70" s="20">
        <f>$I$28*$AB$28</f>
        <v>0</v>
      </c>
      <c r="AC70" s="20">
        <f>$I$28*$AC$28</f>
        <v>0</v>
      </c>
      <c r="AD70" s="20">
        <f>$I$28*$AD$28</f>
        <v>0</v>
      </c>
      <c r="AE70" s="20">
        <f>$I$28*$AE$28</f>
        <v>0</v>
      </c>
      <c r="AF70" s="20">
        <f>$I$28*$AF$28</f>
        <v>0</v>
      </c>
      <c r="AG70" s="20">
        <f>$I$28*$AG$28</f>
        <v>0</v>
      </c>
      <c r="AH70" s="20">
        <f>$I$28*$AH$28</f>
        <v>0</v>
      </c>
    </row>
    <row r="71" spans="1:34" ht="11.25" customHeight="1" x14ac:dyDescent="0.25">
      <c r="A71" s="9" t="s">
        <v>40</v>
      </c>
      <c r="B71" s="9" t="s">
        <v>893</v>
      </c>
      <c r="C71" s="9" t="s">
        <v>894</v>
      </c>
      <c r="D71" s="9" t="s">
        <v>917</v>
      </c>
      <c r="E71" s="9" t="s">
        <v>918</v>
      </c>
      <c r="F71" s="9" t="s">
        <v>919</v>
      </c>
      <c r="G71" s="9" t="s">
        <v>921</v>
      </c>
      <c r="L71" s="20">
        <f>$I$29*$L$29</f>
        <v>0</v>
      </c>
      <c r="M71" s="20">
        <f>$I$29*$M$29</f>
        <v>0</v>
      </c>
      <c r="N71" s="20">
        <f>$I$29*$N$29</f>
        <v>0</v>
      </c>
      <c r="O71" s="20">
        <f>$I$29*$O$29</f>
        <v>0</v>
      </c>
      <c r="P71" s="20">
        <f>$I$29*$P$29</f>
        <v>0</v>
      </c>
      <c r="Q71" s="20">
        <f>$I$29*$Q$29</f>
        <v>0</v>
      </c>
      <c r="R71" s="20">
        <f>$I$29*$R$29</f>
        <v>0</v>
      </c>
      <c r="S71" s="20">
        <f>$I$29*$S$29</f>
        <v>0</v>
      </c>
      <c r="T71" s="20">
        <f>$I$29*$T$29</f>
        <v>0</v>
      </c>
      <c r="U71" s="20">
        <f>$I$29*$U$29</f>
        <v>0</v>
      </c>
      <c r="V71" s="20">
        <f>$I$29*$V$29</f>
        <v>0</v>
      </c>
      <c r="X71" s="20">
        <f>$I$29*$X$29</f>
        <v>0</v>
      </c>
      <c r="Y71" s="20">
        <f>$I$29*$Y$29</f>
        <v>0</v>
      </c>
      <c r="Z71" s="20">
        <f>$I$29*$Z$29</f>
        <v>0</v>
      </c>
      <c r="AA71" s="20">
        <f>$I$29*$AA$29</f>
        <v>0</v>
      </c>
      <c r="AB71" s="20">
        <f>$I$29*$AB$29</f>
        <v>0</v>
      </c>
      <c r="AC71" s="20">
        <f>$I$29*$AC$29</f>
        <v>0</v>
      </c>
      <c r="AD71" s="20">
        <f>$I$29*$AD$29</f>
        <v>0</v>
      </c>
      <c r="AE71" s="20">
        <f>$I$29*$AE$29</f>
        <v>0</v>
      </c>
      <c r="AF71" s="20">
        <f>$I$29*$AF$29</f>
        <v>0</v>
      </c>
      <c r="AG71" s="20">
        <f>$I$29*$AG$29</f>
        <v>0</v>
      </c>
      <c r="AH71" s="20">
        <f>$I$29*$AH$29</f>
        <v>0</v>
      </c>
    </row>
    <row r="72" spans="1:34" ht="11.25" customHeight="1" x14ac:dyDescent="0.25">
      <c r="A72" s="9" t="s">
        <v>40</v>
      </c>
      <c r="B72" s="9" t="s">
        <v>893</v>
      </c>
      <c r="C72" s="9" t="s">
        <v>894</v>
      </c>
      <c r="D72" s="9" t="s">
        <v>917</v>
      </c>
      <c r="E72" s="9" t="s">
        <v>918</v>
      </c>
      <c r="F72" s="9" t="s">
        <v>919</v>
      </c>
      <c r="G72" s="9" t="s">
        <v>922</v>
      </c>
      <c r="L72" s="20">
        <f>$I$30*$L$30</f>
        <v>0</v>
      </c>
      <c r="M72" s="20">
        <f>$I$30*$M$30</f>
        <v>0</v>
      </c>
      <c r="N72" s="20">
        <f>$I$30*$N$30</f>
        <v>0</v>
      </c>
      <c r="O72" s="20">
        <f>$I$30*$O$30</f>
        <v>0</v>
      </c>
      <c r="P72" s="20">
        <f>$I$30*$P$30</f>
        <v>0</v>
      </c>
      <c r="Q72" s="20">
        <f>$I$30*$Q$30</f>
        <v>0</v>
      </c>
      <c r="R72" s="20">
        <f>$I$30*$R$30</f>
        <v>0</v>
      </c>
      <c r="S72" s="20">
        <f>$I$30*$S$30</f>
        <v>0</v>
      </c>
      <c r="T72" s="20">
        <f>$I$30*$T$30</f>
        <v>0</v>
      </c>
      <c r="U72" s="20">
        <f>$I$30*$U$30</f>
        <v>0</v>
      </c>
      <c r="V72" s="20">
        <f>$I$30*$V$30</f>
        <v>0</v>
      </c>
      <c r="X72" s="20">
        <f>$I$30*$X$30</f>
        <v>0</v>
      </c>
      <c r="Y72" s="20">
        <f>$I$30*$Y$30</f>
        <v>0</v>
      </c>
      <c r="Z72" s="20">
        <f>$I$30*$Z$30</f>
        <v>0</v>
      </c>
      <c r="AA72" s="20">
        <f>$I$30*$AA$30</f>
        <v>0</v>
      </c>
      <c r="AB72" s="20">
        <f>$I$30*$AB$30</f>
        <v>0</v>
      </c>
      <c r="AC72" s="20">
        <f>$I$30*$AC$30</f>
        <v>0</v>
      </c>
      <c r="AD72" s="20">
        <f>$I$30*$AD$30</f>
        <v>0</v>
      </c>
      <c r="AE72" s="20">
        <f>$I$30*$AE$30</f>
        <v>0</v>
      </c>
      <c r="AF72" s="20">
        <f>$I$30*$AF$30</f>
        <v>0</v>
      </c>
      <c r="AG72" s="20">
        <f>$I$30*$AG$30</f>
        <v>0</v>
      </c>
      <c r="AH72" s="20">
        <f>$I$30*$AH$30</f>
        <v>0</v>
      </c>
    </row>
    <row r="73" spans="1:34" ht="11.25" customHeight="1" x14ac:dyDescent="0.25">
      <c r="A73" s="9" t="s">
        <v>40</v>
      </c>
      <c r="B73" s="9" t="s">
        <v>901</v>
      </c>
      <c r="C73" s="9" t="s">
        <v>902</v>
      </c>
      <c r="D73" s="9" t="s">
        <v>923</v>
      </c>
      <c r="E73" s="9" t="s">
        <v>924</v>
      </c>
      <c r="F73" s="9" t="s">
        <v>925</v>
      </c>
      <c r="G73" s="9" t="s">
        <v>926</v>
      </c>
      <c r="L73" s="20">
        <f>$I$31*$L$31</f>
        <v>0</v>
      </c>
      <c r="M73" s="20">
        <f>$I$31*$M$31</f>
        <v>0</v>
      </c>
      <c r="N73" s="20">
        <f>$I$31*$N$31</f>
        <v>0</v>
      </c>
      <c r="O73" s="20">
        <f>$I$31*$O$31</f>
        <v>0</v>
      </c>
      <c r="P73" s="20">
        <f>$I$31*$P$31</f>
        <v>0</v>
      </c>
      <c r="Q73" s="20">
        <f>$I$31*$Q$31</f>
        <v>0</v>
      </c>
      <c r="R73" s="20">
        <f>$I$31*$R$31</f>
        <v>0</v>
      </c>
      <c r="S73" s="20">
        <f>$I$31*$S$31</f>
        <v>0</v>
      </c>
      <c r="T73" s="20">
        <f>$I$31*$T$31</f>
        <v>0</v>
      </c>
      <c r="U73" s="20">
        <f>$I$31*$U$31</f>
        <v>0</v>
      </c>
      <c r="V73" s="20">
        <f>$I$31*$V$31</f>
        <v>0</v>
      </c>
      <c r="X73" s="20">
        <f>$I$31*$X$31</f>
        <v>0</v>
      </c>
      <c r="Y73" s="20">
        <f>$I$31*$Y$31</f>
        <v>0</v>
      </c>
      <c r="Z73" s="20">
        <f>$I$31*$Z$31</f>
        <v>0</v>
      </c>
      <c r="AA73" s="20">
        <f>$I$31*$AA$31</f>
        <v>0</v>
      </c>
      <c r="AB73" s="20">
        <f>$I$31*$AB$31</f>
        <v>0</v>
      </c>
      <c r="AC73" s="20">
        <f>$I$31*$AC$31</f>
        <v>0</v>
      </c>
      <c r="AD73" s="20">
        <f>$I$31*$AD$31</f>
        <v>0</v>
      </c>
      <c r="AE73" s="20">
        <f>$I$31*$AE$31</f>
        <v>0</v>
      </c>
      <c r="AF73" s="20">
        <f>$I$31*$AF$31</f>
        <v>0</v>
      </c>
      <c r="AG73" s="20">
        <f>$I$31*$AG$31</f>
        <v>0</v>
      </c>
      <c r="AH73" s="20">
        <f>$I$31*$AH$31</f>
        <v>0</v>
      </c>
    </row>
    <row r="74" spans="1:34" ht="11.25" customHeight="1" x14ac:dyDescent="0.25">
      <c r="A74" s="9" t="s">
        <v>40</v>
      </c>
      <c r="B74" s="9" t="s">
        <v>927</v>
      </c>
      <c r="C74" s="9" t="s">
        <v>928</v>
      </c>
      <c r="D74" s="9" t="s">
        <v>929</v>
      </c>
      <c r="E74" s="9" t="s">
        <v>930</v>
      </c>
      <c r="F74" s="9" t="s">
        <v>931</v>
      </c>
      <c r="G74" s="9" t="s">
        <v>932</v>
      </c>
      <c r="L74" s="20">
        <f>$I$32*$L$32</f>
        <v>0</v>
      </c>
      <c r="M74" s="20">
        <f>$I$32*$M$32</f>
        <v>0</v>
      </c>
      <c r="N74" s="20">
        <f>$I$32*$N$32</f>
        <v>0</v>
      </c>
      <c r="O74" s="20">
        <f>$I$32*$O$32</f>
        <v>0</v>
      </c>
      <c r="P74" s="20">
        <f>$I$32*$P$32</f>
        <v>0</v>
      </c>
      <c r="Q74" s="20">
        <f>$I$32*$Q$32</f>
        <v>0</v>
      </c>
      <c r="R74" s="20">
        <f>$I$32*$R$32</f>
        <v>0</v>
      </c>
      <c r="S74" s="20">
        <f>$I$32*$S$32</f>
        <v>0</v>
      </c>
      <c r="T74" s="20">
        <f>$I$32*$T$32</f>
        <v>0</v>
      </c>
      <c r="U74" s="20">
        <f>$I$32*$U$32</f>
        <v>0</v>
      </c>
      <c r="V74" s="20">
        <f>$I$32*$V$32</f>
        <v>0</v>
      </c>
      <c r="X74" s="20">
        <f>$I$32*$X$32</f>
        <v>0</v>
      </c>
      <c r="Y74" s="20">
        <f>$I$32*$Y$32</f>
        <v>0</v>
      </c>
      <c r="Z74" s="20">
        <f>$I$32*$Z$32</f>
        <v>0</v>
      </c>
      <c r="AA74" s="20">
        <f>$I$32*$AA$32</f>
        <v>0</v>
      </c>
      <c r="AB74" s="20">
        <f>$I$32*$AB$32</f>
        <v>0</v>
      </c>
      <c r="AC74" s="20">
        <f>$I$32*$AC$32</f>
        <v>0</v>
      </c>
      <c r="AD74" s="20">
        <f>$I$32*$AD$32</f>
        <v>0</v>
      </c>
      <c r="AE74" s="20">
        <f>$I$32*$AE$32</f>
        <v>0</v>
      </c>
      <c r="AF74" s="20">
        <f>$I$32*$AF$32</f>
        <v>0</v>
      </c>
      <c r="AG74" s="20">
        <f>$I$32*$AG$32</f>
        <v>0</v>
      </c>
      <c r="AH74" s="20">
        <f>$I$32*$AH$32</f>
        <v>0</v>
      </c>
    </row>
    <row r="75" spans="1:34" ht="11.25" customHeight="1" x14ac:dyDescent="0.25">
      <c r="A75" s="9" t="s">
        <v>40</v>
      </c>
      <c r="B75" s="9" t="s">
        <v>927</v>
      </c>
      <c r="C75" s="9" t="s">
        <v>928</v>
      </c>
      <c r="D75" s="9" t="s">
        <v>933</v>
      </c>
      <c r="E75" s="9" t="s">
        <v>934</v>
      </c>
      <c r="F75" s="9" t="s">
        <v>935</v>
      </c>
      <c r="G75" s="9" t="s">
        <v>936</v>
      </c>
      <c r="L75" s="20">
        <f>$I$33*$L$33</f>
        <v>0</v>
      </c>
      <c r="M75" s="20">
        <f>$I$33*$M$33</f>
        <v>0</v>
      </c>
      <c r="N75" s="20">
        <f>$I$33*$N$33</f>
        <v>0</v>
      </c>
      <c r="O75" s="20">
        <f>$I$33*$O$33</f>
        <v>0</v>
      </c>
      <c r="P75" s="20">
        <f>$I$33*$P$33</f>
        <v>0</v>
      </c>
      <c r="Q75" s="20">
        <f>$I$33*$Q$33</f>
        <v>0</v>
      </c>
      <c r="R75" s="20">
        <f>$I$33*$R$33</f>
        <v>0</v>
      </c>
      <c r="S75" s="20">
        <f>$I$33*$S$33</f>
        <v>0</v>
      </c>
      <c r="T75" s="20">
        <f>$I$33*$T$33</f>
        <v>0</v>
      </c>
      <c r="U75" s="20">
        <f>$I$33*$U$33</f>
        <v>0</v>
      </c>
      <c r="V75" s="20">
        <f>$I$33*$V$33</f>
        <v>0</v>
      </c>
      <c r="X75" s="20">
        <f>$I$33*$X$33</f>
        <v>0</v>
      </c>
      <c r="Y75" s="20">
        <f>$I$33*$Y$33</f>
        <v>0</v>
      </c>
      <c r="Z75" s="20">
        <f>$I$33*$Z$33</f>
        <v>0</v>
      </c>
      <c r="AA75" s="20">
        <f>$I$33*$AA$33</f>
        <v>0</v>
      </c>
      <c r="AB75" s="20">
        <f>$I$33*$AB$33</f>
        <v>0</v>
      </c>
      <c r="AC75" s="20">
        <f>$I$33*$AC$33</f>
        <v>0</v>
      </c>
      <c r="AD75" s="20">
        <f>$I$33*$AD$33</f>
        <v>0</v>
      </c>
      <c r="AE75" s="20">
        <f>$I$33*$AE$33</f>
        <v>0</v>
      </c>
      <c r="AF75" s="20">
        <f>$I$33*$AF$33</f>
        <v>0</v>
      </c>
      <c r="AG75" s="20">
        <f>$I$33*$AG$33</f>
        <v>0</v>
      </c>
      <c r="AH75" s="20">
        <f>$I$33*$AH$33</f>
        <v>0</v>
      </c>
    </row>
    <row r="76" spans="1:34" ht="11.25" customHeight="1" x14ac:dyDescent="0.25">
      <c r="A76" s="9" t="s">
        <v>40</v>
      </c>
      <c r="B76" s="9" t="s">
        <v>927</v>
      </c>
      <c r="C76" s="9" t="s">
        <v>928</v>
      </c>
      <c r="D76" s="9" t="s">
        <v>937</v>
      </c>
      <c r="E76" s="9" t="s">
        <v>938</v>
      </c>
      <c r="F76" s="9" t="s">
        <v>939</v>
      </c>
      <c r="G76" s="9" t="s">
        <v>940</v>
      </c>
      <c r="L76" s="20">
        <f>$I$34*$L$34</f>
        <v>0</v>
      </c>
      <c r="M76" s="20">
        <f>$I$34*$M$34</f>
        <v>0</v>
      </c>
      <c r="N76" s="20">
        <f>$I$34*$N$34</f>
        <v>0</v>
      </c>
      <c r="O76" s="20">
        <f>$I$34*$O$34</f>
        <v>0</v>
      </c>
      <c r="P76" s="20">
        <f>$I$34*$P$34</f>
        <v>0</v>
      </c>
      <c r="Q76" s="20">
        <f>$I$34*$Q$34</f>
        <v>0</v>
      </c>
      <c r="R76" s="20">
        <f>$I$34*$R$34</f>
        <v>0</v>
      </c>
      <c r="S76" s="20">
        <f>$I$34*$S$34</f>
        <v>0</v>
      </c>
      <c r="T76" s="20">
        <f>$I$34*$T$34</f>
        <v>0</v>
      </c>
      <c r="U76" s="20">
        <f>$I$34*$U$34</f>
        <v>0</v>
      </c>
      <c r="V76" s="20">
        <f>$I$34*$V$34</f>
        <v>0</v>
      </c>
      <c r="X76" s="20">
        <f>$I$34*$X$34</f>
        <v>0</v>
      </c>
      <c r="Y76" s="20">
        <f>$I$34*$Y$34</f>
        <v>0</v>
      </c>
      <c r="Z76" s="20">
        <f>$I$34*$Z$34</f>
        <v>0</v>
      </c>
      <c r="AA76" s="20">
        <f>$I$34*$AA$34</f>
        <v>0</v>
      </c>
      <c r="AB76" s="20">
        <f>$I$34*$AB$34</f>
        <v>0</v>
      </c>
      <c r="AC76" s="20">
        <f>$I$34*$AC$34</f>
        <v>0</v>
      </c>
      <c r="AD76" s="20">
        <f>$I$34*$AD$34</f>
        <v>0</v>
      </c>
      <c r="AE76" s="20">
        <f>$I$34*$AE$34</f>
        <v>0</v>
      </c>
      <c r="AF76" s="20">
        <f>$I$34*$AF$34</f>
        <v>0</v>
      </c>
      <c r="AG76" s="20">
        <f>$I$34*$AG$34</f>
        <v>0</v>
      </c>
      <c r="AH76" s="20">
        <f>$I$34*$AH$34</f>
        <v>0</v>
      </c>
    </row>
    <row r="77" spans="1:34" ht="11.25" customHeight="1" x14ac:dyDescent="0.25">
      <c r="A77" s="9" t="s">
        <v>33</v>
      </c>
      <c r="B77" s="9" t="s">
        <v>941</v>
      </c>
      <c r="C77" s="9" t="s">
        <v>942</v>
      </c>
      <c r="D77" s="9" t="s">
        <v>943</v>
      </c>
      <c r="E77" s="9" t="s">
        <v>944</v>
      </c>
      <c r="F77" s="9" t="s">
        <v>945</v>
      </c>
      <c r="G77" s="9" t="s">
        <v>946</v>
      </c>
      <c r="L77" s="20">
        <f>$I$35*$L$35</f>
        <v>0</v>
      </c>
      <c r="M77" s="20">
        <f>$I$35*$M$35</f>
        <v>0</v>
      </c>
      <c r="N77" s="20">
        <f>$I$35*$N$35</f>
        <v>0</v>
      </c>
      <c r="O77" s="20">
        <f>$I$35*$O$35</f>
        <v>0</v>
      </c>
      <c r="P77" s="20">
        <f>$I$35*$P$35</f>
        <v>0</v>
      </c>
      <c r="Q77" s="20">
        <f>$I$35*$Q$35</f>
        <v>0</v>
      </c>
      <c r="R77" s="20">
        <f>$I$35*$R$35</f>
        <v>0</v>
      </c>
      <c r="S77" s="20">
        <f>$I$35*$S$35</f>
        <v>0</v>
      </c>
      <c r="T77" s="20">
        <f>$I$35*$T$35</f>
        <v>0</v>
      </c>
      <c r="U77" s="20">
        <f>$I$35*$U$35</f>
        <v>0</v>
      </c>
      <c r="V77" s="20">
        <f>$I$35*$V$35</f>
        <v>0</v>
      </c>
      <c r="X77" s="20">
        <f>$I$35*$X$35</f>
        <v>0</v>
      </c>
      <c r="Y77" s="20">
        <f>$I$35*$Y$35</f>
        <v>0</v>
      </c>
      <c r="Z77" s="20">
        <f>$I$35*$Z$35</f>
        <v>0</v>
      </c>
      <c r="AA77" s="20">
        <f>$I$35*$AA$35</f>
        <v>0</v>
      </c>
      <c r="AB77" s="20">
        <f>$I$35*$AB$35</f>
        <v>0</v>
      </c>
      <c r="AC77" s="20">
        <f>$I$35*$AC$35</f>
        <v>0</v>
      </c>
      <c r="AD77" s="20">
        <f>$I$35*$AD$35</f>
        <v>0</v>
      </c>
      <c r="AE77" s="20">
        <f>$I$35*$AE$35</f>
        <v>0</v>
      </c>
      <c r="AF77" s="20">
        <f>$I$35*$AF$35</f>
        <v>0</v>
      </c>
      <c r="AG77" s="20">
        <f>$I$35*$AG$35</f>
        <v>0</v>
      </c>
      <c r="AH77" s="20">
        <f>$I$35*$AH$35</f>
        <v>0</v>
      </c>
    </row>
    <row r="78" spans="1:34" ht="11.25" customHeight="1" x14ac:dyDescent="0.25">
      <c r="A78" s="9" t="s">
        <v>33</v>
      </c>
      <c r="B78" s="9" t="s">
        <v>941</v>
      </c>
      <c r="C78" s="9" t="s">
        <v>942</v>
      </c>
      <c r="D78" s="9" t="s">
        <v>943</v>
      </c>
      <c r="E78" s="9" t="s">
        <v>944</v>
      </c>
      <c r="F78" s="9" t="s">
        <v>945</v>
      </c>
      <c r="G78" s="9" t="s">
        <v>947</v>
      </c>
      <c r="L78" s="20">
        <f>$I$36*$L$36</f>
        <v>0</v>
      </c>
      <c r="M78" s="20">
        <f>$I$36*$M$36</f>
        <v>0</v>
      </c>
      <c r="N78" s="20">
        <f>$I$36*$N$36</f>
        <v>0</v>
      </c>
      <c r="O78" s="20">
        <f>$I$36*$O$36</f>
        <v>0</v>
      </c>
      <c r="P78" s="20">
        <f>$I$36*$P$36</f>
        <v>0</v>
      </c>
      <c r="Q78" s="20">
        <f>$I$36*$Q$36</f>
        <v>0</v>
      </c>
      <c r="R78" s="20">
        <f>$I$36*$R$36</f>
        <v>0</v>
      </c>
      <c r="S78" s="20">
        <f>$I$36*$S$36</f>
        <v>0</v>
      </c>
      <c r="T78" s="20">
        <f>$I$36*$T$36</f>
        <v>0</v>
      </c>
      <c r="U78" s="20">
        <f>$I$36*$U$36</f>
        <v>0</v>
      </c>
      <c r="V78" s="20">
        <f>$I$36*$V$36</f>
        <v>0</v>
      </c>
      <c r="X78" s="20">
        <f>$I$36*$X$36</f>
        <v>0</v>
      </c>
      <c r="Y78" s="20">
        <f>$I$36*$Y$36</f>
        <v>0</v>
      </c>
      <c r="Z78" s="20">
        <f>$I$36*$Z$36</f>
        <v>0</v>
      </c>
      <c r="AA78" s="20">
        <f>$I$36*$AA$36</f>
        <v>0</v>
      </c>
      <c r="AB78" s="20">
        <f>$I$36*$AB$36</f>
        <v>0</v>
      </c>
      <c r="AC78" s="20">
        <f>$I$36*$AC$36</f>
        <v>0</v>
      </c>
      <c r="AD78" s="20">
        <f>$I$36*$AD$36</f>
        <v>0</v>
      </c>
      <c r="AE78" s="20">
        <f>$I$36*$AE$36</f>
        <v>0</v>
      </c>
      <c r="AF78" s="20">
        <f>$I$36*$AF$36</f>
        <v>0</v>
      </c>
      <c r="AG78" s="20">
        <f>$I$36*$AG$36</f>
        <v>0</v>
      </c>
      <c r="AH78" s="20">
        <f>$I$36*$AH$36</f>
        <v>0</v>
      </c>
    </row>
    <row r="79" spans="1:34" ht="11.25" customHeight="1" x14ac:dyDescent="0.25">
      <c r="A79" s="9" t="s">
        <v>33</v>
      </c>
      <c r="B79" s="9" t="s">
        <v>941</v>
      </c>
      <c r="C79" s="9" t="s">
        <v>942</v>
      </c>
      <c r="D79" s="9" t="s">
        <v>943</v>
      </c>
      <c r="E79" s="9" t="s">
        <v>944</v>
      </c>
      <c r="F79" s="9" t="s">
        <v>945</v>
      </c>
      <c r="G79" s="9" t="s">
        <v>948</v>
      </c>
      <c r="L79" s="20">
        <f>$I$37*$L$37</f>
        <v>0</v>
      </c>
      <c r="M79" s="20">
        <f>$I$37*$M$37</f>
        <v>0</v>
      </c>
      <c r="N79" s="20">
        <f>$I$37*$N$37</f>
        <v>0</v>
      </c>
      <c r="O79" s="20">
        <f>$I$37*$O$37</f>
        <v>0</v>
      </c>
      <c r="P79" s="20">
        <f>$I$37*$P$37</f>
        <v>0</v>
      </c>
      <c r="Q79" s="20">
        <f>$I$37*$Q$37</f>
        <v>0</v>
      </c>
      <c r="R79" s="20">
        <f>$I$37*$R$37</f>
        <v>0</v>
      </c>
      <c r="S79" s="20">
        <f>$I$37*$S$37</f>
        <v>0</v>
      </c>
      <c r="T79" s="20">
        <f>$I$37*$T$37</f>
        <v>0</v>
      </c>
      <c r="U79" s="20">
        <f>$I$37*$U$37</f>
        <v>0</v>
      </c>
      <c r="V79" s="20">
        <f>$I$37*$V$37</f>
        <v>0</v>
      </c>
      <c r="X79" s="20">
        <f>$I$37*$X$37</f>
        <v>0</v>
      </c>
      <c r="Y79" s="20">
        <f>$I$37*$Y$37</f>
        <v>0</v>
      </c>
      <c r="Z79" s="20">
        <f>$I$37*$Z$37</f>
        <v>0</v>
      </c>
      <c r="AA79" s="20">
        <f>$I$37*$AA$37</f>
        <v>0</v>
      </c>
      <c r="AB79" s="20">
        <f>$I$37*$AB$37</f>
        <v>0</v>
      </c>
      <c r="AC79" s="20">
        <f>$I$37*$AC$37</f>
        <v>0</v>
      </c>
      <c r="AD79" s="20">
        <f>$I$37*$AD$37</f>
        <v>0</v>
      </c>
      <c r="AE79" s="20">
        <f>$I$37*$AE$37</f>
        <v>0</v>
      </c>
      <c r="AF79" s="20">
        <f>$I$37*$AF$37</f>
        <v>0</v>
      </c>
      <c r="AG79" s="20">
        <f>$I$37*$AG$37</f>
        <v>0</v>
      </c>
      <c r="AH79" s="20">
        <f>$I$37*$AH$37</f>
        <v>0</v>
      </c>
    </row>
    <row r="80" spans="1:34" ht="11.25" customHeight="1" x14ac:dyDescent="0.25">
      <c r="A80" s="9" t="s">
        <v>33</v>
      </c>
      <c r="B80" s="9" t="s">
        <v>949</v>
      </c>
      <c r="C80" s="9" t="s">
        <v>950</v>
      </c>
      <c r="D80" s="9" t="s">
        <v>951</v>
      </c>
      <c r="E80" s="9" t="s">
        <v>952</v>
      </c>
      <c r="F80" s="9" t="s">
        <v>953</v>
      </c>
      <c r="G80" s="9" t="s">
        <v>954</v>
      </c>
      <c r="L80" s="20">
        <f>$I$38*$L$38</f>
        <v>0</v>
      </c>
      <c r="M80" s="20">
        <f>$I$38*$M$38</f>
        <v>0</v>
      </c>
      <c r="N80" s="20">
        <f>$I$38*$N$38</f>
        <v>0</v>
      </c>
      <c r="O80" s="20">
        <f>$I$38*$O$38</f>
        <v>0</v>
      </c>
      <c r="P80" s="20">
        <f>$I$38*$P$38</f>
        <v>0</v>
      </c>
      <c r="Q80" s="20">
        <f>$I$38*$Q$38</f>
        <v>2406413.2645187774</v>
      </c>
      <c r="R80" s="20">
        <f>$I$38*$R$38</f>
        <v>0</v>
      </c>
      <c r="S80" s="20">
        <f>$I$38*$S$38</f>
        <v>0</v>
      </c>
      <c r="T80" s="20">
        <f>$I$38*$T$38</f>
        <v>0</v>
      </c>
      <c r="U80" s="20">
        <f>$I$38*$U$38</f>
        <v>0</v>
      </c>
      <c r="V80" s="20">
        <f>$I$38*$V$38</f>
        <v>0</v>
      </c>
      <c r="X80" s="20">
        <f>$I$38*$X$38</f>
        <v>0</v>
      </c>
      <c r="Y80" s="20">
        <f>$I$38*$Y$38</f>
        <v>0</v>
      </c>
      <c r="Z80" s="20">
        <f>$I$38*$Z$38</f>
        <v>0</v>
      </c>
      <c r="AA80" s="20">
        <f>$I$38*$AA$38</f>
        <v>0</v>
      </c>
      <c r="AB80" s="20">
        <f>$I$38*$AB$38</f>
        <v>0</v>
      </c>
      <c r="AC80" s="20">
        <f>$I$38*$AC$38</f>
        <v>2409262.3935570144</v>
      </c>
      <c r="AD80" s="20">
        <f>$I$38*$AD$38</f>
        <v>0</v>
      </c>
      <c r="AE80" s="20">
        <f>$I$38*$AE$38</f>
        <v>0</v>
      </c>
      <c r="AF80" s="20">
        <f>$I$38*$AF$38</f>
        <v>0</v>
      </c>
      <c r="AG80" s="20">
        <f>$I$38*$AG$38</f>
        <v>0</v>
      </c>
      <c r="AH80" s="20">
        <f>$I$38*$AH$38</f>
        <v>0</v>
      </c>
    </row>
    <row r="81" spans="1:34" ht="11.25" customHeight="1" x14ac:dyDescent="0.25">
      <c r="A81" s="9" t="s">
        <v>33</v>
      </c>
      <c r="B81" s="9" t="s">
        <v>955</v>
      </c>
      <c r="C81" s="9" t="s">
        <v>956</v>
      </c>
      <c r="D81" s="9" t="s">
        <v>957</v>
      </c>
      <c r="E81" s="9" t="s">
        <v>958</v>
      </c>
      <c r="F81" s="9" t="s">
        <v>959</v>
      </c>
      <c r="G81" s="9" t="s">
        <v>960</v>
      </c>
      <c r="L81" s="20">
        <f>$I$39*$L$39</f>
        <v>0</v>
      </c>
      <c r="M81" s="20">
        <f>$I$39*$M$39</f>
        <v>0</v>
      </c>
      <c r="N81" s="20">
        <f>$I$39*$N$39</f>
        <v>0</v>
      </c>
      <c r="O81" s="20">
        <f>$I$39*$O$39</f>
        <v>0</v>
      </c>
      <c r="P81" s="20">
        <f>$I$39*$P$39</f>
        <v>0</v>
      </c>
      <c r="Q81" s="20">
        <f>$I$39*$Q$39</f>
        <v>0</v>
      </c>
      <c r="R81" s="20">
        <f>$I$39*$R$39</f>
        <v>0</v>
      </c>
      <c r="S81" s="20">
        <f>$I$39*$S$39</f>
        <v>0</v>
      </c>
      <c r="T81" s="20">
        <f>$I$39*$T$39</f>
        <v>0</v>
      </c>
      <c r="U81" s="20">
        <f>$I$39*$U$39</f>
        <v>0</v>
      </c>
      <c r="V81" s="20">
        <f>$I$39*$V$39</f>
        <v>0</v>
      </c>
      <c r="X81" s="20">
        <f>$I$39*$X$39</f>
        <v>0</v>
      </c>
      <c r="Y81" s="20">
        <f>$I$39*$Y$39</f>
        <v>0</v>
      </c>
      <c r="Z81" s="20">
        <f>$I$39*$Z$39</f>
        <v>0</v>
      </c>
      <c r="AA81" s="20">
        <f>$I$39*$AA$39</f>
        <v>0</v>
      </c>
      <c r="AB81" s="20">
        <f>$I$39*$AB$39</f>
        <v>0</v>
      </c>
      <c r="AC81" s="20">
        <f>$I$39*$AC$39</f>
        <v>0</v>
      </c>
      <c r="AD81" s="20">
        <f>$I$39*$AD$39</f>
        <v>0</v>
      </c>
      <c r="AE81" s="20">
        <f>$I$39*$AE$39</f>
        <v>0</v>
      </c>
      <c r="AF81" s="20">
        <f>$I$39*$AF$39</f>
        <v>0</v>
      </c>
      <c r="AG81" s="20">
        <f>$I$39*$AG$39</f>
        <v>0</v>
      </c>
      <c r="AH81" s="20">
        <f>$I$39*$AH$39</f>
        <v>0</v>
      </c>
    </row>
    <row r="82" spans="1:34" ht="11.25" customHeight="1" x14ac:dyDescent="0.25">
      <c r="A82" s="9" t="s">
        <v>43</v>
      </c>
      <c r="B82" s="9" t="s">
        <v>961</v>
      </c>
      <c r="C82" s="9" t="s">
        <v>962</v>
      </c>
      <c r="D82" s="9" t="s">
        <v>963</v>
      </c>
      <c r="E82" s="9" t="s">
        <v>964</v>
      </c>
      <c r="F82" s="9" t="s">
        <v>965</v>
      </c>
      <c r="G82" s="9" t="s">
        <v>966</v>
      </c>
      <c r="L82" s="20">
        <f>$I$40*$L$40</f>
        <v>0</v>
      </c>
      <c r="M82" s="20">
        <f>$I$40*$M$40</f>
        <v>0</v>
      </c>
      <c r="N82" s="20">
        <f>$I$40*$N$40</f>
        <v>0</v>
      </c>
      <c r="O82" s="20">
        <f>$I$40*$O$40</f>
        <v>0</v>
      </c>
      <c r="P82" s="20">
        <f>$I$40*$P$40</f>
        <v>0</v>
      </c>
      <c r="Q82" s="20">
        <f>$I$40*$Q$40</f>
        <v>670680.23184819589</v>
      </c>
      <c r="R82" s="20">
        <f>$I$40*$R$40</f>
        <v>0</v>
      </c>
      <c r="S82" s="20">
        <f>$I$40*$S$40</f>
        <v>0</v>
      </c>
      <c r="T82" s="20">
        <f>$I$40*$T$40</f>
        <v>0</v>
      </c>
      <c r="U82" s="20">
        <f>$I$40*$U$40</f>
        <v>0</v>
      </c>
      <c r="V82" s="20">
        <f>$I$40*$V$40</f>
        <v>0</v>
      </c>
      <c r="X82" s="20">
        <f>$I$40*$X$40</f>
        <v>0</v>
      </c>
      <c r="Y82" s="20">
        <f>$I$40*$Y$40</f>
        <v>0</v>
      </c>
      <c r="Z82" s="20">
        <f>$I$40*$Z$40</f>
        <v>0</v>
      </c>
      <c r="AA82" s="20">
        <f>$I$40*$AA$40</f>
        <v>0</v>
      </c>
      <c r="AB82" s="20">
        <f>$I$40*$AB$40</f>
        <v>0</v>
      </c>
      <c r="AC82" s="20">
        <f>$I$40*$AC$40</f>
        <v>671474.29933116352</v>
      </c>
      <c r="AD82" s="20">
        <f>$I$40*$AD$40</f>
        <v>0</v>
      </c>
      <c r="AE82" s="20">
        <f>$I$40*$AE$40</f>
        <v>0</v>
      </c>
      <c r="AF82" s="20">
        <f>$I$40*$AF$40</f>
        <v>0</v>
      </c>
      <c r="AG82" s="20">
        <f>$I$40*$AG$40</f>
        <v>0</v>
      </c>
      <c r="AH82" s="20">
        <f>$I$40*$AH$40</f>
        <v>0</v>
      </c>
    </row>
    <row r="83" spans="1:34" ht="11.25" customHeight="1" x14ac:dyDescent="0.25">
      <c r="A83" s="9" t="s">
        <v>43</v>
      </c>
      <c r="B83" s="9" t="s">
        <v>961</v>
      </c>
      <c r="C83" s="9" t="s">
        <v>962</v>
      </c>
      <c r="D83" s="9" t="s">
        <v>967</v>
      </c>
      <c r="E83" s="9" t="s">
        <v>968</v>
      </c>
      <c r="F83" s="9" t="s">
        <v>969</v>
      </c>
      <c r="G83" s="9" t="s">
        <v>970</v>
      </c>
      <c r="L83" s="20">
        <f>$I$41*$L$41</f>
        <v>0</v>
      </c>
      <c r="M83" s="20">
        <f>$I$41*$M$41</f>
        <v>0</v>
      </c>
      <c r="N83" s="20">
        <f>$I$41*$N$41</f>
        <v>0</v>
      </c>
      <c r="O83" s="20">
        <f>$I$41*$O$41</f>
        <v>0</v>
      </c>
      <c r="P83" s="20">
        <f>$I$41*$P$41</f>
        <v>0</v>
      </c>
      <c r="Q83" s="20">
        <f>$I$41*$Q$41</f>
        <v>0</v>
      </c>
      <c r="R83" s="20">
        <f>$I$41*$R$41</f>
        <v>0</v>
      </c>
      <c r="S83" s="20">
        <f>$I$41*$S$41</f>
        <v>0</v>
      </c>
      <c r="T83" s="20">
        <f>$I$41*$T$41</f>
        <v>0</v>
      </c>
      <c r="U83" s="20">
        <f>$I$41*$U$41</f>
        <v>0</v>
      </c>
      <c r="V83" s="20">
        <f>$I$41*$V$41</f>
        <v>0</v>
      </c>
      <c r="X83" s="20">
        <f>$I$41*$X$41</f>
        <v>0</v>
      </c>
      <c r="Y83" s="20">
        <f>$I$41*$Y$41</f>
        <v>0</v>
      </c>
      <c r="Z83" s="20">
        <f>$I$41*$Z$41</f>
        <v>0</v>
      </c>
      <c r="AA83" s="20">
        <f>$I$41*$AA$41</f>
        <v>0</v>
      </c>
      <c r="AB83" s="20">
        <f>$I$41*$AB$41</f>
        <v>0</v>
      </c>
      <c r="AC83" s="20">
        <f>$I$41*$AC$41</f>
        <v>0</v>
      </c>
      <c r="AD83" s="20">
        <f>$I$41*$AD$41</f>
        <v>0</v>
      </c>
      <c r="AE83" s="20">
        <f>$I$41*$AE$41</f>
        <v>0</v>
      </c>
      <c r="AF83" s="20">
        <f>$I$41*$AF$41</f>
        <v>0</v>
      </c>
      <c r="AG83" s="20">
        <f>$I$41*$AG$41</f>
        <v>0</v>
      </c>
      <c r="AH83" s="20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60B5-A5D2-4692-BAF8-B5F8B76D46A2}">
  <sheetPr codeName="Planilha24"/>
  <dimension ref="A1:AG15"/>
  <sheetViews>
    <sheetView showGridLines="0" workbookViewId="0">
      <selection activeCell="J15" sqref="J15"/>
    </sheetView>
  </sheetViews>
  <sheetFormatPr defaultColWidth="9.140625"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10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.85546875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15</v>
      </c>
      <c r="G1" s="14" t="s">
        <v>67</v>
      </c>
      <c r="I1" s="14" t="s">
        <v>978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80</v>
      </c>
      <c r="AB2" s="14" t="s">
        <v>52</v>
      </c>
      <c r="AC2" s="14" t="s">
        <v>24</v>
      </c>
      <c r="AD2" s="14" t="s">
        <v>24</v>
      </c>
      <c r="AE2" s="14" t="s">
        <v>78</v>
      </c>
      <c r="AG2" s="14" t="s">
        <v>75</v>
      </c>
    </row>
    <row r="3" spans="1:33" x14ac:dyDescent="0.2">
      <c r="AA3" s="14" t="s">
        <v>22</v>
      </c>
      <c r="AB3" s="14" t="s">
        <v>79</v>
      </c>
      <c r="AC3" s="14" t="s">
        <v>41</v>
      </c>
      <c r="AD3" s="14" t="s">
        <v>29</v>
      </c>
      <c r="AE3" s="14" t="s">
        <v>81</v>
      </c>
      <c r="AG3" s="14" t="s">
        <v>76</v>
      </c>
    </row>
    <row r="4" spans="1:33" x14ac:dyDescent="0.2">
      <c r="AA4" s="14" t="s">
        <v>40</v>
      </c>
      <c r="AB4" s="14" t="s">
        <v>36</v>
      </c>
      <c r="AC4" s="14" t="s">
        <v>44</v>
      </c>
      <c r="AD4" s="14" t="s">
        <v>30</v>
      </c>
      <c r="AE4" s="14" t="s">
        <v>82</v>
      </c>
      <c r="AG4" s="14" t="s">
        <v>77</v>
      </c>
    </row>
    <row r="5" spans="1:33" x14ac:dyDescent="0.2">
      <c r="A5" s="14" t="s">
        <v>971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398</v>
      </c>
      <c r="AA5" s="14" t="s">
        <v>33</v>
      </c>
      <c r="AB5" s="14" t="s">
        <v>85</v>
      </c>
      <c r="AD5" s="14" t="s">
        <v>31</v>
      </c>
      <c r="AG5" s="14" t="s">
        <v>9</v>
      </c>
    </row>
    <row r="6" spans="1:33" x14ac:dyDescent="0.2">
      <c r="A6" s="14" t="s">
        <v>972</v>
      </c>
      <c r="B6" s="39">
        <f>SUM(TUSD!$AI$57:'TUSD'!$AI$103)</f>
        <v>0</v>
      </c>
      <c r="C6" s="39">
        <f>SUM(TUSD!$AJ$57:'TUSD'!$AJ$103)</f>
        <v>191874.22212112515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4907965.4067983935</v>
      </c>
      <c r="H6" s="39">
        <f>SUM(TUSD!$AO$57:'TUSD'!$AO$103)</f>
        <v>780739.18797164096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12050941.408076357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16160099.591873711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2626422.3585171392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36718042.17535837</v>
      </c>
      <c r="AA6" s="14" t="s">
        <v>43</v>
      </c>
      <c r="AB6" s="14" t="s">
        <v>23</v>
      </c>
      <c r="AD6" s="14" t="s">
        <v>32</v>
      </c>
      <c r="AG6" s="14" t="s">
        <v>72</v>
      </c>
    </row>
    <row r="7" spans="1:33" x14ac:dyDescent="0.2">
      <c r="A7" s="14" t="s">
        <v>973</v>
      </c>
      <c r="B7" s="39">
        <f>SUM(TUSD!$L$57:'TUSD'!$L$103)</f>
        <v>0</v>
      </c>
      <c r="C7" s="39">
        <f>SUM(TUSD!$M$57:'TUSD'!$M$103)</f>
        <v>202329.32328333415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7363902.9711229112</v>
      </c>
      <c r="H7" s="39">
        <f>SUM(TUSD!$R$57:'TUSD'!$R$103)</f>
        <v>1199775.6402374725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14613568.369472865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17838476.404122584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2339797.7513055135</v>
      </c>
      <c r="U7" s="39">
        <f>SUM(TUSD!$AE$57:'TUSD'!$AE$103)</f>
        <v>0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43557850.459544681</v>
      </c>
      <c r="AB7" s="14" t="s">
        <v>87</v>
      </c>
      <c r="AD7" s="14" t="s">
        <v>88</v>
      </c>
      <c r="AG7" s="14" t="s">
        <v>73</v>
      </c>
    </row>
    <row r="8" spans="1:33" x14ac:dyDescent="0.2">
      <c r="A8" s="14" t="s">
        <v>976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36488.766823875485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818998.93779879145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146107.43987315407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3608646.0186424893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2718057.0459625446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241758.55828873545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7570056.7673895909</v>
      </c>
      <c r="AD8" s="14" t="s">
        <v>89</v>
      </c>
      <c r="AG8" s="14" t="s">
        <v>83</v>
      </c>
    </row>
    <row r="9" spans="1:33" x14ac:dyDescent="0.2">
      <c r="A9" s="14" t="s">
        <v>977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32886.518911495579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1152641.8556052244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217094.13688295276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4259034.0810948089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2899458.0819851058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207493.5089859945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8768608.1834655832</v>
      </c>
      <c r="AD9" s="14" t="s">
        <v>45</v>
      </c>
    </row>
    <row r="10" spans="1:33" x14ac:dyDescent="0.2">
      <c r="A10" s="14" t="s">
        <v>974</v>
      </c>
      <c r="B10" s="39">
        <f>SUMIF(TUSD!$A$57:'TUSD'!$A$103,$A$2,TUSD!$AI$57:'TUSD'!$AI$103)</f>
        <v>0</v>
      </c>
      <c r="C10" s="39">
        <f>SUMIF(TUSD!$A$57:'TUSD'!$A$103,$A$2,TUSD!$AJ$57:'TUSD'!$AJ$103)</f>
        <v>36488.766823875485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818998.93779879145</v>
      </c>
      <c r="H10" s="39">
        <f>SUMIF(TUSD!$A$57:'TUSD'!$A$103,$A$2,TUSD!$AO$57:'TUSD'!$AO$103)</f>
        <v>146107.43987315407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3608646.0186424893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2718057.0459625446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241758.55828873545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7570056.7673895909</v>
      </c>
      <c r="AD10" s="14" t="s">
        <v>90</v>
      </c>
    </row>
    <row r="11" spans="1:33" x14ac:dyDescent="0.2">
      <c r="A11" s="14" t="s">
        <v>975</v>
      </c>
      <c r="B11" s="39">
        <f>SUMIF(TUSD!$A$57:'TUSD'!$A$103,$A$2,TUSD!$L$57:'TUSD'!$L$103)</f>
        <v>0</v>
      </c>
      <c r="C11" s="39">
        <f>SUMIF(TUSD!$A$57:'TUSD'!$A$103,$A$2,TUSD!$M$57:'TUSD'!$M$103)</f>
        <v>32886.518911495579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1152641.8556052244</v>
      </c>
      <c r="H11" s="39">
        <f>SUMIF(TUSD!$A$57:'TUSD'!$A$103,$A$2,TUSD!$R$57:'TUSD'!$R$103)</f>
        <v>217094.13688295276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4259034.0810948089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2899458.0819851058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207493.5089859945</v>
      </c>
      <c r="U11" s="39">
        <f>SUMIF(TUSD!$A$57:'TUSD'!$A$103,$A$2,TUSD!$AE$57:'TUSD'!$AE$103)</f>
        <v>0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8768608.1834655832</v>
      </c>
    </row>
    <row r="13" spans="1:33" x14ac:dyDescent="0.2">
      <c r="A13" s="14" t="s">
        <v>979</v>
      </c>
      <c r="B13" s="57">
        <f t="shared" ref="B13:X13" si="1">IF($X$6&lt;&gt;0,(B$7-B$6)/$X$6,0)</f>
        <v>0</v>
      </c>
      <c r="C13" s="57">
        <f t="shared" si="1"/>
        <v>2.8474015886461023E-4</v>
      </c>
      <c r="D13" s="57">
        <f t="shared" ca="1" si="1"/>
        <v>0</v>
      </c>
      <c r="E13" s="57">
        <f t="shared" si="1"/>
        <v>0</v>
      </c>
      <c r="F13" s="57">
        <f t="shared" si="1"/>
        <v>0</v>
      </c>
      <c r="G13" s="57">
        <f t="shared" si="1"/>
        <v>6.688639749895782E-2</v>
      </c>
      <c r="H13" s="57">
        <f t="shared" si="1"/>
        <v>1.1412276565961587E-2</v>
      </c>
      <c r="I13" s="57">
        <f t="shared" si="1"/>
        <v>0</v>
      </c>
      <c r="J13" s="57">
        <f t="shared" si="1"/>
        <v>0</v>
      </c>
      <c r="K13" s="57">
        <f t="shared" si="1"/>
        <v>0</v>
      </c>
      <c r="L13" s="57">
        <f t="shared" si="1"/>
        <v>0</v>
      </c>
      <c r="M13" s="57">
        <f t="shared" si="1"/>
        <v>0</v>
      </c>
      <c r="N13" s="57">
        <f t="shared" si="1"/>
        <v>6.9792037090591327E-2</v>
      </c>
      <c r="O13" s="57">
        <f t="shared" si="1"/>
        <v>0</v>
      </c>
      <c r="P13" s="57">
        <f t="shared" si="1"/>
        <v>0</v>
      </c>
      <c r="Q13" s="57">
        <f t="shared" si="1"/>
        <v>4.570986667081172E-2</v>
      </c>
      <c r="R13" s="57">
        <f t="shared" ca="1" si="1"/>
        <v>0</v>
      </c>
      <c r="S13" s="57">
        <f t="shared" ca="1" si="1"/>
        <v>0</v>
      </c>
      <c r="T13" s="57">
        <f t="shared" si="1"/>
        <v>-7.8060972271550098E-3</v>
      </c>
      <c r="U13" s="57">
        <f t="shared" si="1"/>
        <v>0</v>
      </c>
      <c r="V13" s="57">
        <f t="shared" ca="1" si="1"/>
        <v>0</v>
      </c>
      <c r="W13" s="57">
        <f t="shared" ca="1" si="1"/>
        <v>0</v>
      </c>
      <c r="X13" s="57">
        <f t="shared" ca="1" si="1"/>
        <v>0.18627922075803199</v>
      </c>
    </row>
    <row r="14" spans="1:33" x14ac:dyDescent="0.2">
      <c r="A14" s="14" t="s">
        <v>980</v>
      </c>
      <c r="B14" s="57">
        <f t="shared" ref="B14:X14" si="2">IF($X$10&lt;&gt;0,(B$9-B$8)/$X$10,0)</f>
        <v>0</v>
      </c>
      <c r="C14" s="57">
        <f t="shared" si="2"/>
        <v>-4.7585480836784814E-4</v>
      </c>
      <c r="D14" s="57">
        <f t="shared" ca="1" si="2"/>
        <v>0</v>
      </c>
      <c r="E14" s="57">
        <f t="shared" si="2"/>
        <v>0</v>
      </c>
      <c r="F14" s="57">
        <f t="shared" si="2"/>
        <v>0</v>
      </c>
      <c r="G14" s="57">
        <f t="shared" si="2"/>
        <v>4.4074031154390431E-2</v>
      </c>
      <c r="H14" s="57">
        <f t="shared" si="2"/>
        <v>9.3773004867805342E-3</v>
      </c>
      <c r="I14" s="57">
        <f t="shared" si="2"/>
        <v>0</v>
      </c>
      <c r="J14" s="57">
        <f t="shared" si="2"/>
        <v>0</v>
      </c>
      <c r="K14" s="57">
        <f t="shared" si="2"/>
        <v>0</v>
      </c>
      <c r="L14" s="57">
        <f t="shared" si="2"/>
        <v>0</v>
      </c>
      <c r="M14" s="57">
        <f t="shared" si="2"/>
        <v>0</v>
      </c>
      <c r="N14" s="57">
        <f t="shared" si="2"/>
        <v>8.5915876516814441E-2</v>
      </c>
      <c r="O14" s="57">
        <f t="shared" si="2"/>
        <v>0</v>
      </c>
      <c r="P14" s="57">
        <f t="shared" si="2"/>
        <v>0</v>
      </c>
      <c r="Q14" s="57">
        <f t="shared" si="2"/>
        <v>2.396296904984958E-2</v>
      </c>
      <c r="R14" s="57">
        <f t="shared" ca="1" si="2"/>
        <v>0</v>
      </c>
      <c r="S14" s="57">
        <f t="shared" ca="1" si="2"/>
        <v>0</v>
      </c>
      <c r="T14" s="57">
        <f t="shared" si="2"/>
        <v>-4.5263926487775453E-3</v>
      </c>
      <c r="U14" s="57">
        <f t="shared" si="2"/>
        <v>0</v>
      </c>
      <c r="V14" s="57">
        <f t="shared" ca="1" si="2"/>
        <v>0</v>
      </c>
      <c r="W14" s="57">
        <f t="shared" ca="1" si="2"/>
        <v>0</v>
      </c>
      <c r="X14" s="57">
        <f t="shared" ca="1" si="2"/>
        <v>0.15832792975068971</v>
      </c>
    </row>
    <row r="15" spans="1:33" x14ac:dyDescent="0.2">
      <c r="A15" s="14" t="s">
        <v>981</v>
      </c>
      <c r="B15" s="57">
        <f t="shared" ref="B15:X15" si="3">IF($X$8&lt;&gt;0,(B$9-B$8)/$X$8,0)</f>
        <v>0</v>
      </c>
      <c r="C15" s="57">
        <f t="shared" si="3"/>
        <v>-4.7585480836784814E-4</v>
      </c>
      <c r="D15" s="57">
        <f t="shared" ca="1" si="3"/>
        <v>0</v>
      </c>
      <c r="E15" s="57">
        <f t="shared" si="3"/>
        <v>0</v>
      </c>
      <c r="F15" s="57">
        <f t="shared" si="3"/>
        <v>0</v>
      </c>
      <c r="G15" s="57">
        <f t="shared" si="3"/>
        <v>4.4074031154390431E-2</v>
      </c>
      <c r="H15" s="57">
        <f t="shared" si="3"/>
        <v>9.3773004867805342E-3</v>
      </c>
      <c r="I15" s="57">
        <f t="shared" si="3"/>
        <v>0</v>
      </c>
      <c r="J15" s="57">
        <f t="shared" si="3"/>
        <v>0</v>
      </c>
      <c r="K15" s="57">
        <f t="shared" si="3"/>
        <v>0</v>
      </c>
      <c r="L15" s="57">
        <f t="shared" si="3"/>
        <v>0</v>
      </c>
      <c r="M15" s="57">
        <f t="shared" si="3"/>
        <v>0</v>
      </c>
      <c r="N15" s="57">
        <f t="shared" si="3"/>
        <v>8.5915876516814441E-2</v>
      </c>
      <c r="O15" s="57">
        <f t="shared" si="3"/>
        <v>0</v>
      </c>
      <c r="P15" s="57">
        <f t="shared" si="3"/>
        <v>0</v>
      </c>
      <c r="Q15" s="57">
        <f t="shared" si="3"/>
        <v>2.396296904984958E-2</v>
      </c>
      <c r="R15" s="57">
        <f t="shared" ca="1" si="3"/>
        <v>0</v>
      </c>
      <c r="S15" s="57">
        <f t="shared" ca="1" si="3"/>
        <v>0</v>
      </c>
      <c r="T15" s="57">
        <f t="shared" si="3"/>
        <v>-4.5263926487775453E-3</v>
      </c>
      <c r="U15" s="57">
        <f t="shared" si="3"/>
        <v>0</v>
      </c>
      <c r="V15" s="57">
        <f t="shared" ca="1" si="3"/>
        <v>0</v>
      </c>
      <c r="W15" s="57">
        <f t="shared" ca="1" si="3"/>
        <v>0</v>
      </c>
      <c r="X15" s="57">
        <f t="shared" ca="1" si="3"/>
        <v>0.15832792975068971</v>
      </c>
    </row>
  </sheetData>
  <dataValidations count="6">
    <dataValidation type="list" allowBlank="1" showInputMessage="1" showErrorMessage="1" error="Deve-se selecionar grupo válido" sqref="A2" xr:uid="{F12A6F51-0DD2-4BED-B6C1-425BCF80FA72}">
      <formula1>AA1:AA6</formula1>
    </dataValidation>
    <dataValidation type="list" allowBlank="1" showInputMessage="1" showErrorMessage="1" error="Deve-se selecionar grupo válido" sqref="B2" xr:uid="{4E033735-DCA1-4DDE-8E35-146C2E84EE1E}">
      <formula1>AB1:AB7</formula1>
    </dataValidation>
    <dataValidation type="list" allowBlank="1" showInputMessage="1" showErrorMessage="1" error="Deve-se selecionar grupo válido" sqref="C2 E2" xr:uid="{C7217961-88CA-4A8A-A975-5AAECE35028B}">
      <formula1>AC1:AC4</formula1>
    </dataValidation>
    <dataValidation type="list" allowBlank="1" showInputMessage="1" showErrorMessage="1" error="Deve-se selecionar grupo válido" sqref="D2" xr:uid="{02027B85-8109-4838-9987-8912CE97C5CC}">
      <formula1>AD1:AD10</formula1>
    </dataValidation>
    <dataValidation type="list" allowBlank="1" showInputMessage="1" showErrorMessage="1" error="Deve-se selecionar grupo válido" sqref="F2" xr:uid="{A3DB8A43-BBEF-4000-9A79-8F7BEDDC5057}">
      <formula1>AF1:AF1</formula1>
    </dataValidation>
    <dataValidation type="list" allowBlank="1" showInputMessage="1" showErrorMessage="1" error="Deve-se selecionar grupo válido" sqref="G2" xr:uid="{05099CA8-70F7-47E8-97FE-1237435786C0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0FB-920C-4E53-ACD5-CE32050D0187}">
  <sheetPr codeName="Planilha25"/>
  <dimension ref="A1:AG15"/>
  <sheetViews>
    <sheetView showGridLines="0" workbookViewId="0">
      <selection activeCell="J15" sqref="J15"/>
    </sheetView>
  </sheetViews>
  <sheetFormatPr defaultColWidth="9.140625"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14" t="s">
        <v>15</v>
      </c>
      <c r="G1" s="14" t="s">
        <v>67</v>
      </c>
      <c r="I1" s="14" t="s">
        <v>978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70</v>
      </c>
      <c r="AC2" s="14" t="s">
        <v>24</v>
      </c>
      <c r="AD2" s="14" t="s">
        <v>24</v>
      </c>
      <c r="AG2" s="14" t="s">
        <v>72</v>
      </c>
    </row>
    <row r="3" spans="1:33" x14ac:dyDescent="0.2">
      <c r="AA3" s="14" t="s">
        <v>40</v>
      </c>
      <c r="AB3" s="14" t="s">
        <v>84</v>
      </c>
      <c r="AC3" s="14" t="s">
        <v>41</v>
      </c>
      <c r="AD3" s="14" t="s">
        <v>29</v>
      </c>
      <c r="AG3" s="14" t="s">
        <v>73</v>
      </c>
    </row>
    <row r="4" spans="1:33" x14ac:dyDescent="0.2">
      <c r="AA4" s="14" t="s">
        <v>33</v>
      </c>
      <c r="AB4" s="14" t="s">
        <v>86</v>
      </c>
      <c r="AC4" s="14" t="s">
        <v>44</v>
      </c>
      <c r="AD4" s="14" t="s">
        <v>30</v>
      </c>
      <c r="AG4" s="14" t="s">
        <v>83</v>
      </c>
    </row>
    <row r="5" spans="1:33" x14ac:dyDescent="0.2">
      <c r="A5" s="14" t="s">
        <v>971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398</v>
      </c>
      <c r="AA5" s="14" t="s">
        <v>43</v>
      </c>
      <c r="AD5" s="14" t="s">
        <v>31</v>
      </c>
      <c r="AG5" s="14" t="s">
        <v>77</v>
      </c>
    </row>
    <row r="6" spans="1:33" x14ac:dyDescent="0.2">
      <c r="A6" s="14" t="s">
        <v>972</v>
      </c>
      <c r="B6" s="39">
        <f>SUM(TE!$X$47:'TE'!$X$83)</f>
        <v>0</v>
      </c>
      <c r="C6" s="39">
        <f>SUM(TE!$Y$47:'TE'!$Y$83)</f>
        <v>0</v>
      </c>
      <c r="D6" s="39">
        <f>SUM(TE!$Z$47:'TE'!$Z$83)</f>
        <v>0</v>
      </c>
      <c r="E6" s="39">
        <f>SUM(TE!$AA$47:'TE'!$AA$83)</f>
        <v>0</v>
      </c>
      <c r="F6" s="39">
        <f>SUM(TE!$AB$47:'TE'!$AB$83)</f>
        <v>0</v>
      </c>
      <c r="G6" s="39">
        <f>SUM(TE!$AC$47:'TE'!$AC$83)</f>
        <v>21165256.149190873</v>
      </c>
      <c r="H6" s="39">
        <f>SUM(TE!$AD$47:'TE'!$AD$83)</f>
        <v>0</v>
      </c>
      <c r="I6" s="39">
        <f>SUM(TE!$AE$47:'TE'!$AE$83)</f>
        <v>0</v>
      </c>
      <c r="J6" s="39">
        <f>SUM(TE!$AF$47:'TE'!$AF$83)</f>
        <v>0</v>
      </c>
      <c r="K6" s="39">
        <f>SUM(TE!$AG$47:'TE'!$AG$83)</f>
        <v>0</v>
      </c>
      <c r="L6" s="39">
        <f>SUM(TE!$AH$47:'TE'!$AH$83)</f>
        <v>0</v>
      </c>
      <c r="M6" s="39">
        <f t="shared" ref="M6:M11" si="0">SUM(B6:L6)</f>
        <v>21165256.149190873</v>
      </c>
      <c r="AD6" s="14" t="s">
        <v>32</v>
      </c>
    </row>
    <row r="7" spans="1:33" x14ac:dyDescent="0.2">
      <c r="A7" s="14" t="s">
        <v>973</v>
      </c>
      <c r="B7" s="39">
        <f>SUM(TE!$L$47:'TE'!$L$83)</f>
        <v>0</v>
      </c>
      <c r="C7" s="39">
        <f>SUM(TE!$M$47:'TE'!$M$83)</f>
        <v>0</v>
      </c>
      <c r="D7" s="39">
        <f>SUM(TE!$N$47:'TE'!$N$83)</f>
        <v>0</v>
      </c>
      <c r="E7" s="39">
        <f>SUM(TE!$O$47:'TE'!$O$83)</f>
        <v>0</v>
      </c>
      <c r="F7" s="39">
        <f>SUM(TE!$P$47:'TE'!$P$83)</f>
        <v>0</v>
      </c>
      <c r="G7" s="39">
        <f>SUM(TE!$Q$47:'TE'!$Q$83)</f>
        <v>21862603.267243415</v>
      </c>
      <c r="H7" s="39">
        <f>SUM(TE!$R$47:'TE'!$R$83)</f>
        <v>0</v>
      </c>
      <c r="I7" s="39">
        <f>SUM(TE!$S$47:'TE'!$S$83)</f>
        <v>0</v>
      </c>
      <c r="J7" s="39">
        <f>SUM(TE!$T$47:'TE'!$T$83)</f>
        <v>0</v>
      </c>
      <c r="K7" s="39">
        <f>SUM(TE!$U$47:'TE'!$U$83)</f>
        <v>0</v>
      </c>
      <c r="L7" s="39">
        <f>SUM(TE!$V$47:'TE'!$V$83)</f>
        <v>0</v>
      </c>
      <c r="M7" s="39">
        <f t="shared" si="0"/>
        <v>21862603.267243415</v>
      </c>
      <c r="AD7" s="14" t="s">
        <v>88</v>
      </c>
    </row>
    <row r="8" spans="1:33" x14ac:dyDescent="0.2">
      <c r="A8" s="14" t="s">
        <v>976</v>
      </c>
      <c r="B8" s="3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3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3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3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3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3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3878878.7036982812</v>
      </c>
      <c r="H8" s="3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3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3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3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3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39">
        <f t="shared" si="0"/>
        <v>3878878.7036982812</v>
      </c>
      <c r="AD8" s="14" t="s">
        <v>89</v>
      </c>
    </row>
    <row r="9" spans="1:33" x14ac:dyDescent="0.2">
      <c r="A9" s="14" t="s">
        <v>977</v>
      </c>
      <c r="B9" s="3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3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3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3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3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3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3874291.6458584801</v>
      </c>
      <c r="H9" s="3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3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3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3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3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39">
        <f t="shared" si="0"/>
        <v>3874291.6458584801</v>
      </c>
      <c r="AD9" s="14" t="s">
        <v>45</v>
      </c>
    </row>
    <row r="10" spans="1:33" x14ac:dyDescent="0.2">
      <c r="A10" s="14" t="s">
        <v>974</v>
      </c>
      <c r="B10" s="39">
        <f>SUMIF(TE!$A$47:'TE'!$A$83,$A$2,TE!$X$47:'TE'!$X$83)</f>
        <v>0</v>
      </c>
      <c r="C10" s="39">
        <f>SUMIF(TE!$A$47:'TE'!$A$83,$A$2,TE!$Y$47:'TE'!$Y$83)</f>
        <v>0</v>
      </c>
      <c r="D10" s="39">
        <f>SUMIF(TE!$A$47:'TE'!$A$83,$A$2,TE!$Z$47:'TE'!$Z$83)</f>
        <v>0</v>
      </c>
      <c r="E10" s="39">
        <f>SUMIF(TE!$A$47:'TE'!$A$83,$A$2,TE!$AA$47:'TE'!$AA$83)</f>
        <v>0</v>
      </c>
      <c r="F10" s="39">
        <f>SUMIF(TE!$A$47:'TE'!$A$83,$A$2,TE!$AB$47:'TE'!$AB$83)</f>
        <v>0</v>
      </c>
      <c r="G10" s="39">
        <f>SUMIF(TE!$A$47:'TE'!$A$83,$A$2,TE!$AC$47:'TE'!$AC$83)</f>
        <v>3878878.7036982812</v>
      </c>
      <c r="H10" s="39">
        <f>SUMIF(TE!$A$47:'TE'!$A$83,$A$2,TE!$AD$47:'TE'!$AD$83)</f>
        <v>0</v>
      </c>
      <c r="I10" s="39">
        <f>SUMIF(TE!$A$47:'TE'!$A$83,$A$2,TE!$AE$47:'TE'!$AE$83)</f>
        <v>0</v>
      </c>
      <c r="J10" s="39">
        <f>SUMIF(TE!$A$47:'TE'!$A$83,$A$2,TE!$AF$47:'TE'!$AF$83)</f>
        <v>0</v>
      </c>
      <c r="K10" s="39">
        <f>SUMIF(TE!$A$47:'TE'!$A$83,$A$2,TE!$AG$47:'TE'!$AG$83)</f>
        <v>0</v>
      </c>
      <c r="L10" s="39">
        <f>SUMIF(TE!$A$47:'TE'!$A$83,$A$2,TE!$AH$47:'TE'!$AH$83)</f>
        <v>0</v>
      </c>
      <c r="M10" s="39">
        <f t="shared" si="0"/>
        <v>3878878.7036982812</v>
      </c>
      <c r="AD10" s="14" t="s">
        <v>90</v>
      </c>
    </row>
    <row r="11" spans="1:33" x14ac:dyDescent="0.2">
      <c r="A11" s="14" t="s">
        <v>975</v>
      </c>
      <c r="B11" s="39">
        <f>SUMIF(TE!$A$47:'TE'!$A$83,$A$2,TE!$L$47:'TE'!$L$83)</f>
        <v>0</v>
      </c>
      <c r="C11" s="39">
        <f>SUMIF(TE!$A$47:'TE'!$A$83,$A$2,TE!$M$47:'TE'!$M$83)</f>
        <v>0</v>
      </c>
      <c r="D11" s="39">
        <f>SUMIF(TE!$A$47:'TE'!$A$83,$A$2,TE!$N$47:'TE'!$N$83)</f>
        <v>0</v>
      </c>
      <c r="E11" s="39">
        <f>SUMIF(TE!$A$47:'TE'!$A$83,$A$2,TE!$O$47:'TE'!$O$83)</f>
        <v>0</v>
      </c>
      <c r="F11" s="39">
        <f>SUMIF(TE!$A$47:'TE'!$A$83,$A$2,TE!$P$47:'TE'!$P$83)</f>
        <v>0</v>
      </c>
      <c r="G11" s="39">
        <f>SUMIF(TE!$A$47:'TE'!$A$83,$A$2,TE!$Q$47:'TE'!$Q$83)</f>
        <v>3874291.6458584801</v>
      </c>
      <c r="H11" s="39">
        <f>SUMIF(TE!$A$47:'TE'!$A$83,$A$2,TE!$R$47:'TE'!$R$83)</f>
        <v>0</v>
      </c>
      <c r="I11" s="39">
        <f>SUMIF(TE!$A$47:'TE'!$A$83,$A$2,TE!$S$47:'TE'!$S$83)</f>
        <v>0</v>
      </c>
      <c r="J11" s="39">
        <f>SUMIF(TE!$A$47:'TE'!$A$83,$A$2,TE!$T$47:'TE'!$T$83)</f>
        <v>0</v>
      </c>
      <c r="K11" s="39">
        <f>SUMIF(TE!$A$47:'TE'!$A$83,$A$2,TE!$U$47:'TE'!$U$83)</f>
        <v>0</v>
      </c>
      <c r="L11" s="39">
        <f>SUMIF(TE!$A$47:'TE'!$A$83,$A$2,TE!$V$47:'TE'!$V$83)</f>
        <v>0</v>
      </c>
      <c r="M11" s="39">
        <f t="shared" si="0"/>
        <v>3874291.6458584801</v>
      </c>
    </row>
    <row r="13" spans="1:33" x14ac:dyDescent="0.2">
      <c r="A13" s="14" t="s">
        <v>979</v>
      </c>
      <c r="B13" s="57">
        <f t="shared" ref="B13:M13" si="1">IF($M$6&lt;&gt;0,(B$7-B$6)/$M$6,0)</f>
        <v>0</v>
      </c>
      <c r="C13" s="57">
        <f t="shared" si="1"/>
        <v>0</v>
      </c>
      <c r="D13" s="57">
        <f t="shared" si="1"/>
        <v>0</v>
      </c>
      <c r="E13" s="57">
        <f t="shared" si="1"/>
        <v>0</v>
      </c>
      <c r="F13" s="57">
        <f t="shared" si="1"/>
        <v>0</v>
      </c>
      <c r="G13" s="57">
        <f t="shared" si="1"/>
        <v>3.2947728727544888E-2</v>
      </c>
      <c r="H13" s="57">
        <f t="shared" si="1"/>
        <v>0</v>
      </c>
      <c r="I13" s="57">
        <f t="shared" si="1"/>
        <v>0</v>
      </c>
      <c r="J13" s="57">
        <f t="shared" si="1"/>
        <v>0</v>
      </c>
      <c r="K13" s="57">
        <f t="shared" si="1"/>
        <v>0</v>
      </c>
      <c r="L13" s="57">
        <f t="shared" si="1"/>
        <v>0</v>
      </c>
      <c r="M13" s="57">
        <f t="shared" si="1"/>
        <v>3.2947728727544888E-2</v>
      </c>
    </row>
    <row r="14" spans="1:33" x14ac:dyDescent="0.2">
      <c r="A14" s="14" t="s">
        <v>980</v>
      </c>
      <c r="B14" s="57">
        <f t="shared" ref="B14:M14" si="2">IF($M$10&lt;&gt;0,(B$9-B$8)/$M$10,0)</f>
        <v>0</v>
      </c>
      <c r="C14" s="57">
        <f t="shared" si="2"/>
        <v>0</v>
      </c>
      <c r="D14" s="57">
        <f t="shared" si="2"/>
        <v>0</v>
      </c>
      <c r="E14" s="57">
        <f t="shared" si="2"/>
        <v>0</v>
      </c>
      <c r="F14" s="57">
        <f t="shared" si="2"/>
        <v>0</v>
      </c>
      <c r="G14" s="57">
        <f t="shared" si="2"/>
        <v>-1.1825731584304458E-3</v>
      </c>
      <c r="H14" s="57">
        <f t="shared" si="2"/>
        <v>0</v>
      </c>
      <c r="I14" s="57">
        <f t="shared" si="2"/>
        <v>0</v>
      </c>
      <c r="J14" s="57">
        <f t="shared" si="2"/>
        <v>0</v>
      </c>
      <c r="K14" s="57">
        <f t="shared" si="2"/>
        <v>0</v>
      </c>
      <c r="L14" s="57">
        <f t="shared" si="2"/>
        <v>0</v>
      </c>
      <c r="M14" s="57">
        <f t="shared" si="2"/>
        <v>-1.1825731584304458E-3</v>
      </c>
    </row>
    <row r="15" spans="1:33" x14ac:dyDescent="0.2">
      <c r="A15" s="14" t="s">
        <v>981</v>
      </c>
      <c r="B15" s="57">
        <f t="shared" ref="B15:M15" si="3">IF($M$8&lt;&gt;0,(B$9-B$8)/$M$8,0)</f>
        <v>0</v>
      </c>
      <c r="C15" s="57">
        <f t="shared" si="3"/>
        <v>0</v>
      </c>
      <c r="D15" s="57">
        <f t="shared" si="3"/>
        <v>0</v>
      </c>
      <c r="E15" s="57">
        <f t="shared" si="3"/>
        <v>0</v>
      </c>
      <c r="F15" s="57">
        <f t="shared" si="3"/>
        <v>0</v>
      </c>
      <c r="G15" s="57">
        <f t="shared" si="3"/>
        <v>-1.1825731584304458E-3</v>
      </c>
      <c r="H15" s="57">
        <f t="shared" si="3"/>
        <v>0</v>
      </c>
      <c r="I15" s="57">
        <f t="shared" si="3"/>
        <v>0</v>
      </c>
      <c r="J15" s="57">
        <f t="shared" si="3"/>
        <v>0</v>
      </c>
      <c r="K15" s="57">
        <f t="shared" si="3"/>
        <v>0</v>
      </c>
      <c r="L15" s="57">
        <f t="shared" si="3"/>
        <v>0</v>
      </c>
      <c r="M15" s="57">
        <f t="shared" si="3"/>
        <v>-1.1825731584304458E-3</v>
      </c>
    </row>
  </sheetData>
  <dataValidations count="4">
    <dataValidation type="list" allowBlank="1" showInputMessage="1" showErrorMessage="1" sqref="A2 G2" xr:uid="{5FC76DDB-B910-4BAB-B784-2810CAFB1611}">
      <formula1>AA1:AA5</formula1>
    </dataValidation>
    <dataValidation type="list" allowBlank="1" showInputMessage="1" showErrorMessage="1" sqref="B2 C2" xr:uid="{1C636F3D-002F-41C4-BEE1-97A6DB3118CB}">
      <formula1>AB1:AB4</formula1>
    </dataValidation>
    <dataValidation type="list" allowBlank="1" showInputMessage="1" showErrorMessage="1" sqref="D2" xr:uid="{118C9064-0342-4C81-A18E-7275C54F4779}">
      <formula1>AD1:AD10</formula1>
    </dataValidation>
    <dataValidation type="list" allowBlank="1" showInputMessage="1" showErrorMessage="1" sqref="E2 F2" xr:uid="{1C2C46B2-82D1-479B-B581-6970839818A7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BD08-AE1D-4BCA-A774-38BEBC30266D}">
  <sheetPr codeName="Planilha26"/>
  <dimension ref="B1:U15"/>
  <sheetViews>
    <sheetView showGridLines="0" topLeftCell="K1" workbookViewId="0">
      <selection activeCell="U1" sqref="U1"/>
    </sheetView>
  </sheetViews>
  <sheetFormatPr defaultRowHeight="15" x14ac:dyDescent="0.25"/>
  <sheetData>
    <row r="1" spans="2:21" x14ac:dyDescent="0.25">
      <c r="B1" s="51" t="s">
        <v>593</v>
      </c>
      <c r="C1" s="51" t="s">
        <v>594</v>
      </c>
      <c r="D1" s="51" t="s">
        <v>595</v>
      </c>
      <c r="E1" s="51" t="s">
        <v>2</v>
      </c>
      <c r="F1" s="51" t="s">
        <v>596</v>
      </c>
      <c r="G1" s="51" t="s">
        <v>502</v>
      </c>
      <c r="H1" s="51" t="s">
        <v>3</v>
      </c>
      <c r="I1" s="51" t="s">
        <v>597</v>
      </c>
      <c r="J1" s="51" t="s">
        <v>5</v>
      </c>
      <c r="K1" s="51" t="s">
        <v>1</v>
      </c>
      <c r="L1" s="51" t="s">
        <v>598</v>
      </c>
      <c r="M1" s="51" t="s">
        <v>599</v>
      </c>
      <c r="N1" s="51" t="s">
        <v>600</v>
      </c>
      <c r="O1" s="51" t="s">
        <v>601</v>
      </c>
      <c r="P1" s="51" t="s">
        <v>602</v>
      </c>
      <c r="Q1" s="51" t="s">
        <v>603</v>
      </c>
      <c r="R1" s="51" t="s">
        <v>604</v>
      </c>
      <c r="S1" s="51" t="s">
        <v>605</v>
      </c>
      <c r="T1" s="51" t="s">
        <v>606</v>
      </c>
      <c r="U1" s="51" t="s">
        <v>607</v>
      </c>
    </row>
    <row r="2" spans="2:21" x14ac:dyDescent="0.25">
      <c r="B2" s="50" t="s">
        <v>578</v>
      </c>
      <c r="C2" s="50">
        <v>7349</v>
      </c>
      <c r="D2" s="50">
        <v>5343</v>
      </c>
      <c r="E2" s="50" t="s">
        <v>52</v>
      </c>
      <c r="F2" s="50">
        <v>1</v>
      </c>
      <c r="G2" s="50" t="s">
        <v>579</v>
      </c>
      <c r="H2" s="50" t="s">
        <v>46</v>
      </c>
      <c r="I2" s="50" t="s">
        <v>47</v>
      </c>
      <c r="J2" s="50" t="s">
        <v>528</v>
      </c>
      <c r="K2" s="50" t="s">
        <v>35</v>
      </c>
      <c r="L2" s="50">
        <v>0.15</v>
      </c>
      <c r="M2" s="50">
        <v>0.12</v>
      </c>
      <c r="N2" s="50">
        <v>0.09</v>
      </c>
      <c r="O2" s="50">
        <v>0.06</v>
      </c>
      <c r="P2" s="50">
        <v>0.03</v>
      </c>
      <c r="Q2" s="50">
        <v>0</v>
      </c>
      <c r="R2" s="50"/>
      <c r="S2" s="50"/>
      <c r="T2" s="50"/>
      <c r="U2" s="50">
        <v>3</v>
      </c>
    </row>
    <row r="3" spans="2:21" x14ac:dyDescent="0.25">
      <c r="B3" s="50" t="s">
        <v>580</v>
      </c>
      <c r="C3" s="50">
        <v>7350</v>
      </c>
      <c r="D3" s="50">
        <v>5343</v>
      </c>
      <c r="E3" s="50" t="s">
        <v>36</v>
      </c>
      <c r="F3" s="50">
        <v>1</v>
      </c>
      <c r="G3" s="50" t="s">
        <v>579</v>
      </c>
      <c r="H3" s="50" t="s">
        <v>46</v>
      </c>
      <c r="I3" s="50" t="s">
        <v>47</v>
      </c>
      <c r="J3" s="50" t="s">
        <v>528</v>
      </c>
      <c r="K3" s="50" t="s">
        <v>35</v>
      </c>
      <c r="L3" s="50">
        <v>0.15</v>
      </c>
      <c r="M3" s="50">
        <v>0.12</v>
      </c>
      <c r="N3" s="50">
        <v>0.09</v>
      </c>
      <c r="O3" s="50">
        <v>0.06</v>
      </c>
      <c r="P3" s="50">
        <v>0.03</v>
      </c>
      <c r="Q3" s="50">
        <v>0</v>
      </c>
      <c r="R3" s="50"/>
      <c r="S3" s="50"/>
      <c r="T3" s="50"/>
      <c r="U3" s="50">
        <v>3</v>
      </c>
    </row>
    <row r="4" spans="2:21" x14ac:dyDescent="0.25">
      <c r="B4" s="50" t="s">
        <v>581</v>
      </c>
      <c r="C4" s="50">
        <v>7351</v>
      </c>
      <c r="D4" s="50">
        <v>5343</v>
      </c>
      <c r="E4" s="50" t="s">
        <v>530</v>
      </c>
      <c r="F4" s="50">
        <v>1</v>
      </c>
      <c r="G4" s="50" t="s">
        <v>579</v>
      </c>
      <c r="H4" s="50" t="s">
        <v>46</v>
      </c>
      <c r="I4" s="50" t="s">
        <v>47</v>
      </c>
      <c r="J4" s="50" t="s">
        <v>528</v>
      </c>
      <c r="K4" s="50" t="s">
        <v>35</v>
      </c>
      <c r="L4" s="50">
        <v>0.15</v>
      </c>
      <c r="M4" s="50">
        <v>0.12</v>
      </c>
      <c r="N4" s="50">
        <v>0.09</v>
      </c>
      <c r="O4" s="50">
        <v>0.06</v>
      </c>
      <c r="P4" s="50">
        <v>0.03</v>
      </c>
      <c r="Q4" s="50">
        <v>0</v>
      </c>
      <c r="R4" s="50"/>
      <c r="S4" s="50"/>
      <c r="T4" s="50"/>
      <c r="U4" s="50">
        <v>3</v>
      </c>
    </row>
    <row r="5" spans="2:21" x14ac:dyDescent="0.25">
      <c r="B5" s="50" t="s">
        <v>582</v>
      </c>
      <c r="C5" s="50">
        <v>7352</v>
      </c>
      <c r="D5" s="50">
        <v>5343</v>
      </c>
      <c r="E5" s="50" t="s">
        <v>23</v>
      </c>
      <c r="F5" s="50">
        <v>1</v>
      </c>
      <c r="G5" s="50" t="s">
        <v>579</v>
      </c>
      <c r="H5" s="50" t="s">
        <v>46</v>
      </c>
      <c r="I5" s="50" t="s">
        <v>47</v>
      </c>
      <c r="J5" s="50" t="s">
        <v>528</v>
      </c>
      <c r="K5" s="50" t="s">
        <v>33</v>
      </c>
      <c r="L5" s="50">
        <v>0.15</v>
      </c>
      <c r="M5" s="50">
        <v>0.12</v>
      </c>
      <c r="N5" s="50">
        <v>0.09</v>
      </c>
      <c r="O5" s="50">
        <v>0.06</v>
      </c>
      <c r="P5" s="50">
        <v>0.03</v>
      </c>
      <c r="Q5" s="50">
        <v>0</v>
      </c>
      <c r="R5" s="50"/>
      <c r="S5" s="50"/>
      <c r="T5" s="50"/>
      <c r="U5" s="50">
        <v>3</v>
      </c>
    </row>
    <row r="6" spans="2:21" x14ac:dyDescent="0.25">
      <c r="B6" s="50" t="s">
        <v>583</v>
      </c>
      <c r="C6" s="50">
        <v>7353</v>
      </c>
      <c r="D6" s="50">
        <v>5343</v>
      </c>
      <c r="E6" s="50" t="s">
        <v>85</v>
      </c>
      <c r="F6" s="50">
        <v>1</v>
      </c>
      <c r="G6" s="50" t="s">
        <v>579</v>
      </c>
      <c r="H6" s="50" t="s">
        <v>46</v>
      </c>
      <c r="I6" s="50" t="s">
        <v>47</v>
      </c>
      <c r="J6" s="50" t="s">
        <v>528</v>
      </c>
      <c r="K6" s="50" t="s">
        <v>33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25">
      <c r="B7" s="50" t="s">
        <v>584</v>
      </c>
      <c r="C7" s="50">
        <v>7354</v>
      </c>
      <c r="D7" s="50">
        <v>5343</v>
      </c>
      <c r="E7" s="50" t="s">
        <v>23</v>
      </c>
      <c r="F7" s="50">
        <v>1</v>
      </c>
      <c r="G7" s="50" t="s">
        <v>579</v>
      </c>
      <c r="H7" s="50" t="s">
        <v>41</v>
      </c>
      <c r="I7" s="50" t="s">
        <v>88</v>
      </c>
      <c r="J7" s="50" t="s">
        <v>528</v>
      </c>
      <c r="K7" s="50" t="s">
        <v>40</v>
      </c>
      <c r="L7" s="50">
        <v>0.3</v>
      </c>
      <c r="M7" s="50">
        <v>0.24</v>
      </c>
      <c r="N7" s="50">
        <v>0.18</v>
      </c>
      <c r="O7" s="50">
        <v>0.12</v>
      </c>
      <c r="P7" s="50">
        <v>0.06</v>
      </c>
      <c r="Q7" s="50">
        <v>0</v>
      </c>
      <c r="R7" s="50"/>
      <c r="S7" s="50"/>
      <c r="T7" s="50"/>
      <c r="U7" s="50">
        <v>3</v>
      </c>
    </row>
    <row r="8" spans="2:21" x14ac:dyDescent="0.25">
      <c r="B8" s="50" t="s">
        <v>585</v>
      </c>
      <c r="C8" s="50">
        <v>7355</v>
      </c>
      <c r="D8" s="50">
        <v>5343</v>
      </c>
      <c r="E8" s="50" t="s">
        <v>529</v>
      </c>
      <c r="F8" s="50">
        <v>1</v>
      </c>
      <c r="G8" s="50" t="s">
        <v>579</v>
      </c>
      <c r="H8" s="50" t="s">
        <v>41</v>
      </c>
      <c r="I8" s="50" t="s">
        <v>88</v>
      </c>
      <c r="J8" s="50" t="s">
        <v>528</v>
      </c>
      <c r="K8" s="50" t="s">
        <v>40</v>
      </c>
      <c r="L8" s="50">
        <v>0.3</v>
      </c>
      <c r="M8" s="50">
        <v>0.24</v>
      </c>
      <c r="N8" s="50">
        <v>0.18</v>
      </c>
      <c r="O8" s="50">
        <v>0.12</v>
      </c>
      <c r="P8" s="50">
        <v>0.06</v>
      </c>
      <c r="Q8" s="50">
        <v>0</v>
      </c>
      <c r="R8" s="50"/>
      <c r="S8" s="50"/>
      <c r="T8" s="50"/>
      <c r="U8" s="50">
        <v>3</v>
      </c>
    </row>
    <row r="9" spans="2:21" x14ac:dyDescent="0.25">
      <c r="B9" s="50" t="s">
        <v>586</v>
      </c>
      <c r="C9" s="50">
        <v>7356</v>
      </c>
      <c r="D9" s="50">
        <v>5343</v>
      </c>
      <c r="E9" s="50" t="s">
        <v>52</v>
      </c>
      <c r="F9" s="50">
        <v>1</v>
      </c>
      <c r="G9" s="50" t="s">
        <v>579</v>
      </c>
      <c r="H9" s="50" t="s">
        <v>41</v>
      </c>
      <c r="I9" s="50" t="s">
        <v>25</v>
      </c>
      <c r="J9" s="50" t="s">
        <v>527</v>
      </c>
      <c r="K9" s="50" t="s">
        <v>35</v>
      </c>
      <c r="L9" s="50">
        <v>0.1</v>
      </c>
      <c r="M9" s="50">
        <v>0.08</v>
      </c>
      <c r="N9" s="50">
        <v>0.06</v>
      </c>
      <c r="O9" s="50">
        <v>0.04</v>
      </c>
      <c r="P9" s="50">
        <v>0.02</v>
      </c>
      <c r="Q9" s="50">
        <v>0</v>
      </c>
      <c r="R9" s="50"/>
      <c r="S9" s="50"/>
      <c r="T9" s="50"/>
      <c r="U9" s="50">
        <v>3</v>
      </c>
    </row>
    <row r="10" spans="2:21" x14ac:dyDescent="0.25">
      <c r="B10" s="50" t="s">
        <v>587</v>
      </c>
      <c r="C10" s="50">
        <v>7357</v>
      </c>
      <c r="D10" s="50">
        <v>5343</v>
      </c>
      <c r="E10" s="50" t="s">
        <v>36</v>
      </c>
      <c r="F10" s="50">
        <v>1</v>
      </c>
      <c r="G10" s="50" t="s">
        <v>579</v>
      </c>
      <c r="H10" s="50" t="s">
        <v>41</v>
      </c>
      <c r="I10" s="50" t="s">
        <v>25</v>
      </c>
      <c r="J10" s="50" t="s">
        <v>527</v>
      </c>
      <c r="K10" s="50" t="s">
        <v>35</v>
      </c>
      <c r="L10" s="50">
        <v>0.1</v>
      </c>
      <c r="M10" s="50">
        <v>0.08</v>
      </c>
      <c r="N10" s="50">
        <v>0.06</v>
      </c>
      <c r="O10" s="50">
        <v>0.04</v>
      </c>
      <c r="P10" s="50">
        <v>0.02</v>
      </c>
      <c r="Q10" s="50">
        <v>0</v>
      </c>
      <c r="R10" s="50"/>
      <c r="S10" s="50"/>
      <c r="T10" s="50"/>
      <c r="U10" s="50">
        <v>3</v>
      </c>
    </row>
    <row r="11" spans="2:21" x14ac:dyDescent="0.25">
      <c r="B11" s="50" t="s">
        <v>588</v>
      </c>
      <c r="C11" s="50">
        <v>7358</v>
      </c>
      <c r="D11" s="50">
        <v>5343</v>
      </c>
      <c r="E11" s="50" t="s">
        <v>23</v>
      </c>
      <c r="F11" s="50">
        <v>1</v>
      </c>
      <c r="G11" s="50" t="s">
        <v>579</v>
      </c>
      <c r="H11" s="50" t="s">
        <v>41</v>
      </c>
      <c r="I11" s="50" t="s">
        <v>25</v>
      </c>
      <c r="J11" s="50" t="s">
        <v>527</v>
      </c>
      <c r="K11" s="50" t="s">
        <v>35</v>
      </c>
      <c r="L11" s="50">
        <v>0.1</v>
      </c>
      <c r="M11" s="50">
        <v>0.08</v>
      </c>
      <c r="N11" s="50">
        <v>0.06</v>
      </c>
      <c r="O11" s="50">
        <v>0.04</v>
      </c>
      <c r="P11" s="50">
        <v>0.02</v>
      </c>
      <c r="Q11" s="50">
        <v>0</v>
      </c>
      <c r="R11" s="50"/>
      <c r="S11" s="50"/>
      <c r="T11" s="50"/>
      <c r="U11" s="50">
        <v>3</v>
      </c>
    </row>
    <row r="12" spans="2:21" x14ac:dyDescent="0.25">
      <c r="B12" s="50" t="s">
        <v>589</v>
      </c>
      <c r="C12" s="50">
        <v>7359</v>
      </c>
      <c r="D12" s="50">
        <v>5343</v>
      </c>
      <c r="E12" s="50" t="s">
        <v>23</v>
      </c>
      <c r="F12" s="50">
        <v>1</v>
      </c>
      <c r="G12" s="50" t="s">
        <v>579</v>
      </c>
      <c r="H12" s="50" t="s">
        <v>41</v>
      </c>
      <c r="I12" s="50" t="s">
        <v>25</v>
      </c>
      <c r="J12" s="50" t="s">
        <v>41</v>
      </c>
      <c r="K12" s="50" t="s">
        <v>40</v>
      </c>
      <c r="L12" s="50">
        <v>0.3</v>
      </c>
      <c r="M12" s="50">
        <v>0.24</v>
      </c>
      <c r="N12" s="50">
        <v>0.18</v>
      </c>
      <c r="O12" s="50">
        <v>0.12</v>
      </c>
      <c r="P12" s="50">
        <v>0.06</v>
      </c>
      <c r="Q12" s="50">
        <v>0</v>
      </c>
      <c r="R12" s="50"/>
      <c r="S12" s="50"/>
      <c r="T12" s="50"/>
      <c r="U12" s="50">
        <v>3</v>
      </c>
    </row>
    <row r="13" spans="2:21" x14ac:dyDescent="0.25">
      <c r="B13" s="50" t="s">
        <v>590</v>
      </c>
      <c r="C13" s="50">
        <v>7360</v>
      </c>
      <c r="D13" s="50">
        <v>5343</v>
      </c>
      <c r="E13" s="50" t="s">
        <v>85</v>
      </c>
      <c r="F13" s="50">
        <v>1</v>
      </c>
      <c r="G13" s="50" t="s">
        <v>579</v>
      </c>
      <c r="H13" s="50" t="s">
        <v>41</v>
      </c>
      <c r="I13" s="50" t="s">
        <v>25</v>
      </c>
      <c r="J13" s="50" t="s">
        <v>41</v>
      </c>
      <c r="K13" s="50" t="s">
        <v>40</v>
      </c>
      <c r="L13" s="50">
        <v>0.3</v>
      </c>
      <c r="M13" s="50">
        <v>0.24</v>
      </c>
      <c r="N13" s="50">
        <v>0.18</v>
      </c>
      <c r="O13" s="50">
        <v>0.12</v>
      </c>
      <c r="P13" s="50">
        <v>0.06</v>
      </c>
      <c r="Q13" s="50">
        <v>0</v>
      </c>
      <c r="R13" s="50"/>
      <c r="S13" s="50"/>
      <c r="T13" s="50"/>
      <c r="U13" s="50">
        <v>3</v>
      </c>
    </row>
    <row r="14" spans="2:21" x14ac:dyDescent="0.25">
      <c r="B14" s="50" t="s">
        <v>591</v>
      </c>
      <c r="C14" s="50">
        <v>7361</v>
      </c>
      <c r="D14" s="50">
        <v>5343</v>
      </c>
      <c r="E14" s="50" t="s">
        <v>23</v>
      </c>
      <c r="F14" s="50">
        <v>1</v>
      </c>
      <c r="G14" s="50" t="s">
        <v>579</v>
      </c>
      <c r="H14" s="50" t="s">
        <v>41</v>
      </c>
      <c r="I14" s="50" t="s">
        <v>89</v>
      </c>
      <c r="J14" s="50" t="s">
        <v>528</v>
      </c>
      <c r="K14" s="50" t="s">
        <v>40</v>
      </c>
      <c r="L14" s="50">
        <v>0.4</v>
      </c>
      <c r="M14" s="50">
        <v>0.32</v>
      </c>
      <c r="N14" s="50">
        <v>0.24</v>
      </c>
      <c r="O14" s="50">
        <v>0.16</v>
      </c>
      <c r="P14" s="50">
        <v>0.08</v>
      </c>
      <c r="Q14" s="50">
        <v>0</v>
      </c>
      <c r="R14" s="50"/>
      <c r="S14" s="50"/>
      <c r="T14" s="50"/>
      <c r="U14" s="50">
        <v>3</v>
      </c>
    </row>
    <row r="15" spans="2:21" x14ac:dyDescent="0.25">
      <c r="B15" s="50" t="s">
        <v>592</v>
      </c>
      <c r="C15" s="50">
        <v>7362</v>
      </c>
      <c r="D15" s="50">
        <v>5343</v>
      </c>
      <c r="E15" s="50" t="s">
        <v>529</v>
      </c>
      <c r="F15" s="50">
        <v>1</v>
      </c>
      <c r="G15" s="50" t="s">
        <v>579</v>
      </c>
      <c r="H15" s="50" t="s">
        <v>41</v>
      </c>
      <c r="I15" s="50" t="s">
        <v>89</v>
      </c>
      <c r="J15" s="50" t="s">
        <v>528</v>
      </c>
      <c r="K15" s="50" t="s">
        <v>40</v>
      </c>
      <c r="L15" s="50">
        <v>0.4</v>
      </c>
      <c r="M15" s="50">
        <v>0.32</v>
      </c>
      <c r="N15" s="50">
        <v>0.24</v>
      </c>
      <c r="O15" s="50">
        <v>0.16</v>
      </c>
      <c r="P15" s="50">
        <v>0.08</v>
      </c>
      <c r="Q15" s="50">
        <v>0</v>
      </c>
      <c r="R15" s="50"/>
      <c r="S15" s="50"/>
      <c r="T15" s="50"/>
      <c r="U15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C4CC-5FF7-48E8-B405-69114F9882C6}">
  <sheetPr codeName="Planilha27"/>
  <dimension ref="A1:L40"/>
  <sheetViews>
    <sheetView showGridLines="0" topLeftCell="A16" workbookViewId="0">
      <selection activeCell="G37" sqref="G37"/>
    </sheetView>
  </sheetViews>
  <sheetFormatPr defaultColWidth="9.140625" defaultRowHeight="11.25" x14ac:dyDescent="0.2"/>
  <cols>
    <col min="1" max="1" width="31.42578125" style="14" bestFit="1" customWidth="1"/>
    <col min="2" max="2" width="18.42578125" style="14" customWidth="1"/>
    <col min="3" max="6" width="11" style="14" customWidth="1"/>
    <col min="7" max="7" width="43.5703125" style="14" bestFit="1" customWidth="1"/>
    <col min="8" max="12" width="11" style="14" customWidth="1"/>
    <col min="13" max="16384" width="9.140625" style="14"/>
  </cols>
  <sheetData>
    <row r="1" spans="1:12" ht="12" thickBot="1" x14ac:dyDescent="0.25">
      <c r="A1" s="70" t="s">
        <v>997</v>
      </c>
      <c r="B1" s="70" t="s">
        <v>22</v>
      </c>
      <c r="C1" s="70" t="s">
        <v>996</v>
      </c>
      <c r="D1" s="70" t="s">
        <v>995</v>
      </c>
      <c r="E1" s="70" t="s">
        <v>33</v>
      </c>
      <c r="F1" s="70" t="s">
        <v>994</v>
      </c>
      <c r="G1" s="70" t="s">
        <v>993</v>
      </c>
      <c r="H1" s="70" t="s">
        <v>495</v>
      </c>
      <c r="I1" s="70" t="s">
        <v>35</v>
      </c>
      <c r="J1" s="70" t="s">
        <v>494</v>
      </c>
      <c r="K1" s="70" t="s">
        <v>493</v>
      </c>
      <c r="L1" s="70" t="s">
        <v>492</v>
      </c>
    </row>
    <row r="2" spans="1:12" x14ac:dyDescent="0.2">
      <c r="A2" s="66" t="s">
        <v>992</v>
      </c>
      <c r="B2" s="72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1595.0276136826456</v>
      </c>
      <c r="C2" s="72">
        <f t="shared" si="0"/>
        <v>1499.122157767868</v>
      </c>
      <c r="D2" s="72">
        <f t="shared" si="0"/>
        <v>1467.3534754960976</v>
      </c>
      <c r="E2" s="72">
        <f t="shared" si="0"/>
        <v>1595.0276136826456</v>
      </c>
      <c r="F2" s="72">
        <f t="shared" si="0"/>
        <v>876.93551252074803</v>
      </c>
      <c r="G2" s="72">
        <f t="shared" si="0"/>
        <v>957.25633184937442</v>
      </c>
      <c r="H2" s="72">
        <f t="shared" si="0"/>
        <v>0</v>
      </c>
      <c r="I2" s="72">
        <f t="shared" si="0"/>
        <v>3019.4113707377887</v>
      </c>
      <c r="J2" s="72">
        <f t="shared" si="0"/>
        <v>0</v>
      </c>
      <c r="K2" s="72">
        <f t="shared" si="0"/>
        <v>0</v>
      </c>
      <c r="L2" s="72">
        <f t="shared" si="0"/>
        <v>0</v>
      </c>
    </row>
    <row r="3" spans="1:12" ht="12" thickBot="1" x14ac:dyDescent="0.25">
      <c r="A3" s="64" t="s">
        <v>991</v>
      </c>
      <c r="B3" s="71">
        <v>26.61</v>
      </c>
      <c r="C3" s="71">
        <v>25.01</v>
      </c>
      <c r="D3" s="71">
        <v>24.48</v>
      </c>
      <c r="E3" s="71">
        <v>26.61</v>
      </c>
      <c r="F3" s="71">
        <v>14.63</v>
      </c>
      <c r="G3" s="71">
        <v>15.97</v>
      </c>
      <c r="H3" s="71">
        <v>0</v>
      </c>
      <c r="I3" s="71">
        <f>'TUSD BE'!$AC$6</f>
        <v>50.373132029875123</v>
      </c>
      <c r="J3" s="71">
        <v>0</v>
      </c>
      <c r="K3" s="71">
        <v>0</v>
      </c>
      <c r="L3" s="71">
        <v>0</v>
      </c>
    </row>
    <row r="5" spans="1:12" ht="12" thickBot="1" x14ac:dyDescent="0.25">
      <c r="A5" s="70" t="s">
        <v>990</v>
      </c>
      <c r="B5" s="70" t="s">
        <v>989</v>
      </c>
    </row>
    <row r="6" spans="1:12" x14ac:dyDescent="0.2">
      <c r="A6" s="66" t="s">
        <v>988</v>
      </c>
      <c r="B6" s="69">
        <v>8.1942000000000001E-2</v>
      </c>
    </row>
    <row r="7" spans="1:12" x14ac:dyDescent="0.2">
      <c r="A7" s="68" t="s">
        <v>987</v>
      </c>
      <c r="B7" s="67">
        <v>0</v>
      </c>
    </row>
    <row r="8" spans="1:12" x14ac:dyDescent="0.2">
      <c r="A8" s="66" t="s">
        <v>986</v>
      </c>
      <c r="B8" s="65">
        <v>47785171.07</v>
      </c>
    </row>
    <row r="9" spans="1:12" x14ac:dyDescent="0.2">
      <c r="A9" s="68" t="s">
        <v>985</v>
      </c>
      <c r="B9" s="67">
        <v>0.04</v>
      </c>
    </row>
    <row r="10" spans="1:12" x14ac:dyDescent="0.2">
      <c r="A10" s="66" t="s">
        <v>984</v>
      </c>
      <c r="B10" s="65">
        <v>25052847.16</v>
      </c>
    </row>
    <row r="11" spans="1:12" ht="12" thickBot="1" x14ac:dyDescent="0.25">
      <c r="A11" s="64" t="s">
        <v>983</v>
      </c>
      <c r="B11" s="63">
        <f>(1+$B$6)^(1/IF($B$9&lt;&gt;0,$B$9,1))*$B$6/IF((1+$B$6)^(1/IF($B$9&lt;&gt;0,$B$9,1))-1&lt;&gt;0,(1+$B$6)^(1/IF($B$9&lt;&gt;0,$B$9,1))-1,1)</f>
        <v>9.5237635612765312E-2</v>
      </c>
    </row>
    <row r="17" spans="1:11" ht="12" thickBot="1" x14ac:dyDescent="0.25">
      <c r="A17" s="14" t="s">
        <v>998</v>
      </c>
    </row>
    <row r="18" spans="1:11" ht="12.75" thickBot="1" x14ac:dyDescent="0.25">
      <c r="A18" s="74" t="s">
        <v>999</v>
      </c>
      <c r="B18" s="75" t="s">
        <v>1000</v>
      </c>
      <c r="C18" s="76"/>
      <c r="D18" s="76"/>
      <c r="E18" s="75" t="s">
        <v>1001</v>
      </c>
      <c r="G18" s="74" t="s">
        <v>999</v>
      </c>
      <c r="H18" s="75" t="s">
        <v>1000</v>
      </c>
      <c r="I18" s="76"/>
      <c r="J18" s="76"/>
      <c r="K18" s="75" t="s">
        <v>1001</v>
      </c>
    </row>
    <row r="19" spans="1:11" ht="15.75" thickBot="1" x14ac:dyDescent="0.25">
      <c r="A19" s="77"/>
      <c r="B19" s="78" t="s">
        <v>1002</v>
      </c>
      <c r="C19" s="78" t="s">
        <v>1003</v>
      </c>
      <c r="D19" s="78" t="s">
        <v>1004</v>
      </c>
      <c r="E19" s="79"/>
      <c r="G19" s="77"/>
      <c r="H19" s="78" t="s">
        <v>1002</v>
      </c>
      <c r="I19" s="78" t="s">
        <v>1003</v>
      </c>
      <c r="J19" s="78" t="s">
        <v>1004</v>
      </c>
      <c r="K19" s="79"/>
    </row>
    <row r="20" spans="1:11" ht="12.75" thickBot="1" x14ac:dyDescent="0.25">
      <c r="A20" s="80" t="s">
        <v>1005</v>
      </c>
      <c r="B20" s="81">
        <v>1.3487106326352E-3</v>
      </c>
      <c r="C20" s="81">
        <v>1.93015477203793E-3</v>
      </c>
      <c r="D20" s="81">
        <v>3.86030954407586E-3</v>
      </c>
      <c r="E20" s="81">
        <v>1.1592917171184301E-2</v>
      </c>
      <c r="G20" s="80" t="s">
        <v>1005</v>
      </c>
      <c r="H20" s="82">
        <f>B20*$B$40</f>
        <v>8.7070735376979567</v>
      </c>
      <c r="I20" s="82">
        <f t="shared" ref="I20:K31" si="1">C20*$B$40</f>
        <v>12.460789685061071</v>
      </c>
      <c r="J20" s="82">
        <f t="shared" si="1"/>
        <v>24.921579370122142</v>
      </c>
      <c r="K20" s="82">
        <f t="shared" si="1"/>
        <v>74.842134319590173</v>
      </c>
    </row>
    <row r="21" spans="1:11" ht="12.75" thickBot="1" x14ac:dyDescent="0.25">
      <c r="A21" s="80" t="s">
        <v>1006</v>
      </c>
      <c r="B21" s="81">
        <v>1.73833814872981E-3</v>
      </c>
      <c r="C21" s="81">
        <v>2.8952321580568998E-3</v>
      </c>
      <c r="D21" s="81">
        <v>3.86030954407586E-3</v>
      </c>
      <c r="E21" s="81">
        <v>1.93255247982928E-2</v>
      </c>
      <c r="G21" s="80" t="s">
        <v>1006</v>
      </c>
      <c r="H21" s="82">
        <f t="shared" ref="H21:H31" si="2">B21*$B$40</f>
        <v>11.222450337477344</v>
      </c>
      <c r="I21" s="82">
        <f t="shared" si="1"/>
        <v>18.691184527591638</v>
      </c>
      <c r="J21" s="82">
        <f t="shared" si="1"/>
        <v>24.921579370122142</v>
      </c>
      <c r="K21" s="82">
        <f t="shared" si="1"/>
        <v>124.76268926905858</v>
      </c>
    </row>
    <row r="22" spans="1:11" ht="12.75" thickBot="1" x14ac:dyDescent="0.25">
      <c r="A22" s="80" t="s">
        <v>1007</v>
      </c>
      <c r="B22" s="81">
        <v>1.73833814872981E-3</v>
      </c>
      <c r="C22" s="81">
        <v>2.8952321580568998E-3</v>
      </c>
      <c r="D22" s="81">
        <v>3.47667629745963E-3</v>
      </c>
      <c r="E22" s="81">
        <v>1.93255247982928E-2</v>
      </c>
      <c r="G22" s="80" t="s">
        <v>1007</v>
      </c>
      <c r="H22" s="82">
        <f t="shared" si="2"/>
        <v>11.222450337477344</v>
      </c>
      <c r="I22" s="82">
        <f t="shared" si="1"/>
        <v>18.691184527591638</v>
      </c>
      <c r="J22" s="82">
        <f t="shared" si="1"/>
        <v>22.444900674954752</v>
      </c>
      <c r="K22" s="82">
        <f t="shared" si="1"/>
        <v>124.76268926905858</v>
      </c>
    </row>
    <row r="23" spans="1:11" ht="12.75" thickBot="1" x14ac:dyDescent="0.25">
      <c r="A23" s="80" t="s">
        <v>1008</v>
      </c>
      <c r="B23" s="81">
        <v>1.54052725594332E-3</v>
      </c>
      <c r="C23" s="81">
        <v>2.12197139534605E-3</v>
      </c>
      <c r="D23" s="81">
        <v>6.3719084555165298E-3</v>
      </c>
      <c r="E23" s="81">
        <v>1.93255247982928E-2</v>
      </c>
      <c r="G23" s="80" t="s">
        <v>1008</v>
      </c>
      <c r="H23" s="82">
        <f t="shared" si="2"/>
        <v>9.9454128852816837</v>
      </c>
      <c r="I23" s="82">
        <f t="shared" si="1"/>
        <v>13.699129032644798</v>
      </c>
      <c r="J23" s="82">
        <f t="shared" si="1"/>
        <v>41.13608520254639</v>
      </c>
      <c r="K23" s="82">
        <f t="shared" si="1"/>
        <v>124.76268926905858</v>
      </c>
    </row>
    <row r="24" spans="1:11" ht="12.75" thickBot="1" x14ac:dyDescent="0.25">
      <c r="A24" s="80" t="s">
        <v>1009</v>
      </c>
      <c r="B24" s="81">
        <v>7.7266133576301098E-3</v>
      </c>
      <c r="C24" s="81">
        <v>1.1592917171184301E-2</v>
      </c>
      <c r="D24" s="81">
        <v>1.93255247982928E-2</v>
      </c>
      <c r="E24" s="81">
        <v>3.8651049596585697E-2</v>
      </c>
      <c r="G24" s="80" t="s">
        <v>1009</v>
      </c>
      <c r="H24" s="82">
        <f t="shared" si="2"/>
        <v>49.881856844856344</v>
      </c>
      <c r="I24" s="82">
        <f t="shared" si="1"/>
        <v>74.842134319590173</v>
      </c>
      <c r="J24" s="82">
        <f t="shared" si="1"/>
        <v>124.76268926905858</v>
      </c>
      <c r="K24" s="82">
        <f t="shared" si="1"/>
        <v>249.52537853811779</v>
      </c>
    </row>
    <row r="25" spans="1:11" ht="12.75" thickBot="1" x14ac:dyDescent="0.25">
      <c r="A25" s="80" t="s">
        <v>1010</v>
      </c>
      <c r="B25" s="81">
        <v>5.7544986992435002E-4</v>
      </c>
      <c r="C25" s="81">
        <v>5.7544986992435002E-4</v>
      </c>
      <c r="D25" s="81">
        <v>5.7544986992435002E-4</v>
      </c>
      <c r="E25" s="81">
        <v>1.15689400932708E-3</v>
      </c>
      <c r="G25" s="80" t="s">
        <v>1010</v>
      </c>
      <c r="H25" s="82">
        <f t="shared" si="2"/>
        <v>3.7150180427511152</v>
      </c>
      <c r="I25" s="82">
        <f t="shared" si="1"/>
        <v>3.7150180427511152</v>
      </c>
      <c r="J25" s="82">
        <f t="shared" si="1"/>
        <v>3.7150180427511152</v>
      </c>
      <c r="K25" s="82">
        <f t="shared" si="1"/>
        <v>7.4687341901142297</v>
      </c>
    </row>
    <row r="26" spans="1:11" ht="12.75" thickBot="1" x14ac:dyDescent="0.25">
      <c r="A26" s="80" t="s">
        <v>1011</v>
      </c>
      <c r="B26" s="81">
        <v>5.7544986992435002E-4</v>
      </c>
      <c r="C26" s="81">
        <v>5.7544986992435002E-4</v>
      </c>
      <c r="D26" s="81">
        <v>5.7544986992435002E-4</v>
      </c>
      <c r="E26" s="81">
        <v>1.15689400932708E-3</v>
      </c>
      <c r="G26" s="80" t="s">
        <v>1011</v>
      </c>
      <c r="H26" s="82">
        <f t="shared" si="2"/>
        <v>3.7150180427511152</v>
      </c>
      <c r="I26" s="82">
        <f t="shared" si="1"/>
        <v>3.7150180427511152</v>
      </c>
      <c r="J26" s="82">
        <f t="shared" si="1"/>
        <v>3.7150180427511152</v>
      </c>
      <c r="K26" s="82">
        <f t="shared" si="1"/>
        <v>7.4687341901142297</v>
      </c>
    </row>
    <row r="27" spans="1:11" ht="12.75" thickBot="1" x14ac:dyDescent="0.25">
      <c r="A27" s="80" t="s">
        <v>1012</v>
      </c>
      <c r="B27" s="81">
        <v>1.3487106326352E-3</v>
      </c>
      <c r="C27" s="81">
        <v>1.93015477203793E-3</v>
      </c>
      <c r="D27" s="81">
        <v>3.86030954407586E-3</v>
      </c>
      <c r="E27" s="81">
        <v>1.1592917171184301E-2</v>
      </c>
      <c r="G27" s="80" t="s">
        <v>1012</v>
      </c>
      <c r="H27" s="82">
        <f t="shared" si="2"/>
        <v>8.7070735376979567</v>
      </c>
      <c r="I27" s="82">
        <f t="shared" si="1"/>
        <v>12.460789685061071</v>
      </c>
      <c r="J27" s="82">
        <f t="shared" si="1"/>
        <v>24.921579370122142</v>
      </c>
      <c r="K27" s="82">
        <f t="shared" si="1"/>
        <v>74.842134319590173</v>
      </c>
    </row>
    <row r="28" spans="1:11" ht="12.75" thickBot="1" x14ac:dyDescent="0.25">
      <c r="A28" s="80" t="s">
        <v>1013</v>
      </c>
      <c r="B28" s="81">
        <v>7.7266133576301098E-3</v>
      </c>
      <c r="C28" s="81">
        <v>1.1592917171184301E-2</v>
      </c>
      <c r="D28" s="81">
        <v>1.93255247982928E-2</v>
      </c>
      <c r="E28" s="81">
        <v>3.8651049596585697E-2</v>
      </c>
      <c r="G28" s="80" t="s">
        <v>1013</v>
      </c>
      <c r="H28" s="82">
        <f t="shared" si="2"/>
        <v>49.881856844856344</v>
      </c>
      <c r="I28" s="82">
        <f t="shared" si="1"/>
        <v>74.842134319590173</v>
      </c>
      <c r="J28" s="82">
        <f t="shared" si="1"/>
        <v>124.76268926905858</v>
      </c>
      <c r="K28" s="82">
        <f t="shared" si="1"/>
        <v>249.52537853811779</v>
      </c>
    </row>
    <row r="29" spans="1:11" ht="12.75" thickBot="1" x14ac:dyDescent="0.25">
      <c r="A29" s="80" t="s">
        <v>1014</v>
      </c>
      <c r="B29" s="81">
        <v>7.7266133576301098E-3</v>
      </c>
      <c r="C29" s="81">
        <v>1.1592917171184301E-2</v>
      </c>
      <c r="D29" s="81">
        <v>1.93255247982928E-2</v>
      </c>
      <c r="E29" s="81">
        <v>3.8651049596585697E-2</v>
      </c>
      <c r="G29" s="80" t="s">
        <v>1014</v>
      </c>
      <c r="H29" s="82">
        <f t="shared" si="2"/>
        <v>49.881856844856344</v>
      </c>
      <c r="I29" s="82">
        <f t="shared" si="1"/>
        <v>74.842134319590173</v>
      </c>
      <c r="J29" s="82">
        <f t="shared" si="1"/>
        <v>124.76268926905858</v>
      </c>
      <c r="K29" s="82">
        <f t="shared" si="1"/>
        <v>249.52537853811779</v>
      </c>
    </row>
    <row r="30" spans="1:11" ht="12.75" thickBot="1" x14ac:dyDescent="0.25">
      <c r="A30" s="80" t="s">
        <v>1015</v>
      </c>
      <c r="B30" s="81">
        <v>1.3487106326352E-3</v>
      </c>
      <c r="C30" s="81">
        <v>1.93015477203793E-3</v>
      </c>
      <c r="D30" s="81">
        <v>3.86030954407586E-3</v>
      </c>
      <c r="E30" s="81">
        <v>1.1592917171184301E-2</v>
      </c>
      <c r="G30" s="80" t="s">
        <v>1015</v>
      </c>
      <c r="H30" s="82">
        <f t="shared" si="2"/>
        <v>8.7070735376979567</v>
      </c>
      <c r="I30" s="82">
        <f t="shared" si="1"/>
        <v>12.460789685061071</v>
      </c>
      <c r="J30" s="82">
        <f t="shared" si="1"/>
        <v>24.921579370122142</v>
      </c>
      <c r="K30" s="82">
        <f t="shared" si="1"/>
        <v>74.842134319590173</v>
      </c>
    </row>
    <row r="31" spans="1:11" ht="12.75" thickBot="1" x14ac:dyDescent="0.25">
      <c r="A31" s="80" t="s">
        <v>1016</v>
      </c>
      <c r="B31" s="81">
        <v>4.0461318979056003E-3</v>
      </c>
      <c r="C31" s="81">
        <v>5.7904643161137996E-3</v>
      </c>
      <c r="D31" s="81">
        <v>1.1580928632227599E-2</v>
      </c>
      <c r="E31" s="81">
        <v>3.4778751513553002E-2</v>
      </c>
      <c r="G31" s="80" t="s">
        <v>1016</v>
      </c>
      <c r="H31" s="82">
        <f t="shared" si="2"/>
        <v>26.121220613093872</v>
      </c>
      <c r="I31" s="82">
        <f t="shared" si="1"/>
        <v>37.382369055183275</v>
      </c>
      <c r="J31" s="82">
        <f t="shared" si="1"/>
        <v>74.764738110366551</v>
      </c>
      <c r="K31" s="82">
        <f t="shared" si="1"/>
        <v>224.52640295877117</v>
      </c>
    </row>
    <row r="32" spans="1:11" ht="12.75" thickBot="1" x14ac:dyDescent="0.25">
      <c r="A32" s="80" t="s">
        <v>1017</v>
      </c>
      <c r="B32" s="83" t="s">
        <v>1018</v>
      </c>
      <c r="C32" s="83" t="s">
        <v>1018</v>
      </c>
      <c r="D32" s="83" t="s">
        <v>1018</v>
      </c>
      <c r="E32" s="83" t="s">
        <v>1018</v>
      </c>
      <c r="G32" s="80" t="s">
        <v>1017</v>
      </c>
      <c r="H32" s="83" t="s">
        <v>1018</v>
      </c>
      <c r="I32" s="83" t="s">
        <v>1018</v>
      </c>
      <c r="J32" s="83" t="s">
        <v>1018</v>
      </c>
      <c r="K32" s="83" t="s">
        <v>1018</v>
      </c>
    </row>
    <row r="33" spans="1:11" ht="12.75" thickBot="1" x14ac:dyDescent="0.25">
      <c r="A33" s="80" t="s">
        <v>1019</v>
      </c>
      <c r="B33" s="83" t="s">
        <v>1018</v>
      </c>
      <c r="C33" s="83" t="s">
        <v>1018</v>
      </c>
      <c r="D33" s="83" t="s">
        <v>1018</v>
      </c>
      <c r="E33" s="83" t="s">
        <v>1018</v>
      </c>
      <c r="G33" s="80" t="s">
        <v>1019</v>
      </c>
      <c r="H33" s="83" t="s">
        <v>1018</v>
      </c>
      <c r="I33" s="83" t="s">
        <v>1018</v>
      </c>
      <c r="J33" s="83" t="s">
        <v>1018</v>
      </c>
      <c r="K33" s="83" t="s">
        <v>1018</v>
      </c>
    </row>
    <row r="34" spans="1:11" ht="12.75" thickBot="1" x14ac:dyDescent="0.25">
      <c r="A34" s="80" t="s">
        <v>1020</v>
      </c>
      <c r="B34" s="81">
        <v>1.3487106326352E-3</v>
      </c>
      <c r="C34" s="81">
        <v>1.93015477203793E-3</v>
      </c>
      <c r="D34" s="81">
        <v>3.86030954407586E-3</v>
      </c>
      <c r="E34" s="81">
        <v>1.1592917171184301E-2</v>
      </c>
      <c r="G34" s="80" t="s">
        <v>1020</v>
      </c>
      <c r="H34" s="82">
        <f>B34*$B$40</f>
        <v>8.7070735376979567</v>
      </c>
      <c r="I34" s="82">
        <f t="shared" ref="I34:K34" si="3">C34*$B$40</f>
        <v>12.460789685061071</v>
      </c>
      <c r="J34" s="82">
        <f t="shared" si="3"/>
        <v>24.921579370122142</v>
      </c>
      <c r="K34" s="82">
        <f t="shared" si="3"/>
        <v>74.842134319590173</v>
      </c>
    </row>
    <row r="35" spans="1:11" ht="12.75" thickBot="1" x14ac:dyDescent="0.25">
      <c r="A35" s="80" t="s">
        <v>1021</v>
      </c>
      <c r="B35" s="81"/>
      <c r="C35" s="81"/>
      <c r="D35" s="81"/>
      <c r="E35" s="81"/>
      <c r="G35" s="80" t="s">
        <v>1021</v>
      </c>
      <c r="H35" s="82">
        <f>B38*$B$40</f>
        <v>148.10565616350002</v>
      </c>
      <c r="I35" s="82">
        <f t="shared" ref="I35:K35" si="4">C38*$B$40</f>
        <v>222.1587102</v>
      </c>
      <c r="J35" s="82">
        <f t="shared" si="4"/>
        <v>370.39148205000004</v>
      </c>
      <c r="K35" s="82">
        <f t="shared" si="4"/>
        <v>4938.5141437050006</v>
      </c>
    </row>
    <row r="38" spans="1:11" ht="12.75" thickBot="1" x14ac:dyDescent="0.25">
      <c r="A38" s="84">
        <v>1000042</v>
      </c>
      <c r="B38" s="85">
        <v>2.2941309999999999E-2</v>
      </c>
      <c r="C38" s="85">
        <v>3.4411999999999998E-2</v>
      </c>
      <c r="D38" s="85">
        <v>5.7373E-2</v>
      </c>
      <c r="E38" s="85">
        <v>0.76496730000000002</v>
      </c>
    </row>
    <row r="40" spans="1:11" x14ac:dyDescent="0.2">
      <c r="A40" s="14" t="s">
        <v>1022</v>
      </c>
      <c r="B40" s="86">
        <v>6455.85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283E-6E07-4CAA-B5C0-A8EB344F68DE}">
  <dimension ref="B1:AR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30" t="s">
        <v>1060</v>
      </c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1"/>
      <c r="AH1" s="130" t="s">
        <v>1061</v>
      </c>
      <c r="AI1" s="130"/>
      <c r="AJ1" s="130"/>
      <c r="AK1" s="130"/>
      <c r="AL1" s="130"/>
      <c r="AM1" s="130"/>
      <c r="AN1" s="130"/>
      <c r="AO1" s="130"/>
      <c r="AP1" s="130"/>
      <c r="AQ1" s="130"/>
      <c r="AR1" s="130"/>
    </row>
    <row r="2" spans="2:44" ht="12" customHeight="1" x14ac:dyDescent="0.25">
      <c r="L2" s="132" t="s">
        <v>361</v>
      </c>
      <c r="M2" s="132"/>
      <c r="N2" s="132"/>
      <c r="O2" s="132"/>
      <c r="P2" s="132"/>
      <c r="Q2" s="132"/>
      <c r="R2" s="132"/>
      <c r="S2" s="133"/>
      <c r="T2" s="132" t="s">
        <v>370</v>
      </c>
      <c r="U2" s="132"/>
      <c r="V2" s="132"/>
      <c r="W2" s="132"/>
      <c r="X2" s="132"/>
      <c r="Y2" s="132"/>
      <c r="Z2" s="133"/>
      <c r="AA2" s="134" t="s">
        <v>378</v>
      </c>
      <c r="AB2" s="132" t="s">
        <v>25</v>
      </c>
      <c r="AC2" s="133"/>
      <c r="AD2" s="132" t="s">
        <v>1059</v>
      </c>
      <c r="AE2" s="132"/>
      <c r="AF2" s="132"/>
      <c r="AG2" s="133"/>
      <c r="AH2" s="132" t="s">
        <v>361</v>
      </c>
      <c r="AI2" s="132"/>
      <c r="AJ2" s="132"/>
      <c r="AK2" s="132"/>
      <c r="AL2" s="133"/>
      <c r="AM2" s="134" t="s">
        <v>392</v>
      </c>
      <c r="AN2" s="132" t="s">
        <v>370</v>
      </c>
      <c r="AO2" s="132"/>
      <c r="AP2" s="132"/>
      <c r="AQ2" s="133"/>
      <c r="AR2" s="135" t="s">
        <v>1059</v>
      </c>
    </row>
    <row r="3" spans="2:44" ht="12" customHeight="1" x14ac:dyDescent="0.25">
      <c r="B3" s="121" t="s">
        <v>61</v>
      </c>
      <c r="C3" s="122" t="s">
        <v>62</v>
      </c>
      <c r="D3" s="122" t="s">
        <v>63</v>
      </c>
      <c r="E3" s="122" t="s">
        <v>64</v>
      </c>
      <c r="F3" s="122" t="s">
        <v>65</v>
      </c>
      <c r="G3" s="122" t="s">
        <v>67</v>
      </c>
      <c r="H3" s="122" t="s">
        <v>68</v>
      </c>
      <c r="I3" s="122" t="s">
        <v>638</v>
      </c>
      <c r="J3" s="122" t="s">
        <v>1023</v>
      </c>
      <c r="K3" s="122" t="s">
        <v>1024</v>
      </c>
      <c r="L3" s="122" t="s">
        <v>1025</v>
      </c>
      <c r="M3" s="122" t="s">
        <v>1026</v>
      </c>
      <c r="N3" s="122" t="s">
        <v>1027</v>
      </c>
      <c r="O3" s="122" t="s">
        <v>1028</v>
      </c>
      <c r="P3" s="122" t="s">
        <v>1029</v>
      </c>
      <c r="Q3" s="122" t="s">
        <v>1030</v>
      </c>
      <c r="R3" s="122" t="s">
        <v>1031</v>
      </c>
      <c r="S3" s="122" t="s">
        <v>1032</v>
      </c>
      <c r="T3" s="122" t="s">
        <v>1033</v>
      </c>
      <c r="U3" s="122" t="s">
        <v>1034</v>
      </c>
      <c r="V3" s="122" t="s">
        <v>1035</v>
      </c>
      <c r="W3" s="122" t="s">
        <v>1036</v>
      </c>
      <c r="X3" s="122" t="s">
        <v>1037</v>
      </c>
      <c r="Y3" s="122" t="s">
        <v>1038</v>
      </c>
      <c r="Z3" s="122" t="s">
        <v>1039</v>
      </c>
      <c r="AA3" s="122" t="s">
        <v>1040</v>
      </c>
      <c r="AB3" s="122" t="s">
        <v>1041</v>
      </c>
      <c r="AC3" s="122" t="s">
        <v>1042</v>
      </c>
      <c r="AD3" s="122" t="s">
        <v>1043</v>
      </c>
      <c r="AE3" s="122" t="s">
        <v>1044</v>
      </c>
      <c r="AF3" s="122" t="s">
        <v>1045</v>
      </c>
      <c r="AG3" s="122" t="s">
        <v>1046</v>
      </c>
      <c r="AH3" s="122" t="s">
        <v>1047</v>
      </c>
      <c r="AI3" s="122" t="s">
        <v>1048</v>
      </c>
      <c r="AJ3" s="122" t="s">
        <v>1049</v>
      </c>
      <c r="AK3" s="122" t="s">
        <v>1050</v>
      </c>
      <c r="AL3" s="122" t="s">
        <v>1051</v>
      </c>
      <c r="AM3" s="122" t="s">
        <v>1052</v>
      </c>
      <c r="AN3" s="122" t="s">
        <v>1053</v>
      </c>
      <c r="AO3" s="122" t="s">
        <v>1054</v>
      </c>
      <c r="AP3" s="122" t="s">
        <v>1055</v>
      </c>
      <c r="AQ3" s="122" t="s">
        <v>1056</v>
      </c>
      <c r="AR3" s="123" t="s">
        <v>1057</v>
      </c>
    </row>
    <row r="4" spans="2:44" ht="12" customHeight="1" x14ac:dyDescent="0.25">
      <c r="B4" s="124" t="s">
        <v>35</v>
      </c>
      <c r="C4" s="125" t="s">
        <v>52</v>
      </c>
      <c r="D4" s="125" t="s">
        <v>25</v>
      </c>
      <c r="E4" s="125" t="s">
        <v>25</v>
      </c>
      <c r="F4" s="125" t="s">
        <v>78</v>
      </c>
      <c r="G4" s="125" t="s">
        <v>37</v>
      </c>
      <c r="H4" s="125" t="s">
        <v>71</v>
      </c>
      <c r="I4" s="125" t="s">
        <v>25</v>
      </c>
      <c r="J4" s="125">
        <v>15.33</v>
      </c>
      <c r="K4" s="125">
        <v>0</v>
      </c>
      <c r="L4" s="125">
        <v>0</v>
      </c>
      <c r="M4" s="125">
        <v>2.0979756195358101</v>
      </c>
      <c r="N4" s="125">
        <v>0</v>
      </c>
      <c r="O4" s="125">
        <v>0</v>
      </c>
      <c r="P4" s="125">
        <v>0</v>
      </c>
      <c r="Q4" s="125">
        <v>0</v>
      </c>
      <c r="R4" s="125">
        <v>0</v>
      </c>
      <c r="S4" s="125">
        <v>0</v>
      </c>
      <c r="T4" s="125">
        <v>0</v>
      </c>
      <c r="U4" s="125">
        <v>0</v>
      </c>
      <c r="V4" s="125">
        <v>0</v>
      </c>
      <c r="W4" s="125">
        <v>0</v>
      </c>
      <c r="X4" s="125">
        <v>0</v>
      </c>
      <c r="Y4" s="125">
        <v>0</v>
      </c>
      <c r="Z4" s="125">
        <v>0</v>
      </c>
      <c r="AA4" s="125">
        <v>0</v>
      </c>
      <c r="AB4" s="125">
        <v>0</v>
      </c>
      <c r="AC4" s="125">
        <v>0</v>
      </c>
      <c r="AD4" s="125">
        <v>13.2369231366834</v>
      </c>
      <c r="AE4" s="125">
        <v>0</v>
      </c>
      <c r="AF4" s="125">
        <v>0</v>
      </c>
      <c r="AG4" s="125">
        <v>0</v>
      </c>
      <c r="AH4" s="125">
        <v>0</v>
      </c>
      <c r="AI4" s="125">
        <v>0</v>
      </c>
      <c r="AJ4" s="125">
        <v>0</v>
      </c>
      <c r="AK4" s="125">
        <v>0</v>
      </c>
      <c r="AL4" s="125">
        <v>0</v>
      </c>
      <c r="AM4" s="125">
        <v>0</v>
      </c>
      <c r="AN4" s="125">
        <v>0</v>
      </c>
      <c r="AO4" s="125">
        <v>0</v>
      </c>
      <c r="AP4" s="125">
        <v>0</v>
      </c>
      <c r="AQ4" s="125">
        <v>0</v>
      </c>
      <c r="AR4" s="126">
        <v>0</v>
      </c>
    </row>
    <row r="5" spans="2:44" ht="12" customHeight="1" x14ac:dyDescent="0.25">
      <c r="B5" s="124" t="s">
        <v>35</v>
      </c>
      <c r="C5" s="125" t="s">
        <v>52</v>
      </c>
      <c r="D5" s="125" t="s">
        <v>25</v>
      </c>
      <c r="E5" s="125" t="s">
        <v>25</v>
      </c>
      <c r="F5" s="125" t="s">
        <v>78</v>
      </c>
      <c r="G5" s="125" t="s">
        <v>37</v>
      </c>
      <c r="H5" s="125" t="s">
        <v>74</v>
      </c>
      <c r="I5" s="125" t="s">
        <v>25</v>
      </c>
      <c r="J5" s="125">
        <v>64.42</v>
      </c>
      <c r="K5" s="125">
        <v>0</v>
      </c>
      <c r="L5" s="125">
        <v>0</v>
      </c>
      <c r="M5" s="125">
        <v>0</v>
      </c>
      <c r="N5" s="125">
        <v>0</v>
      </c>
      <c r="O5" s="125">
        <v>0</v>
      </c>
      <c r="P5" s="125">
        <v>0</v>
      </c>
      <c r="Q5" s="125">
        <v>0</v>
      </c>
      <c r="R5" s="125">
        <v>0</v>
      </c>
      <c r="S5" s="125">
        <v>0</v>
      </c>
      <c r="T5" s="125">
        <v>0</v>
      </c>
      <c r="U5" s="125">
        <v>0</v>
      </c>
      <c r="V5" s="125">
        <v>0</v>
      </c>
      <c r="W5" s="125">
        <v>0</v>
      </c>
      <c r="X5" s="125">
        <v>31.605661498194099</v>
      </c>
      <c r="Y5" s="125">
        <v>0</v>
      </c>
      <c r="Z5" s="125">
        <v>0</v>
      </c>
      <c r="AA5" s="125">
        <v>32.809428840104303</v>
      </c>
      <c r="AB5" s="125">
        <v>0</v>
      </c>
      <c r="AC5" s="125">
        <v>0</v>
      </c>
      <c r="AD5" s="125">
        <v>0</v>
      </c>
      <c r="AE5" s="125">
        <v>0</v>
      </c>
      <c r="AF5" s="125">
        <v>0</v>
      </c>
      <c r="AG5" s="125">
        <v>0</v>
      </c>
      <c r="AH5" s="125">
        <v>0</v>
      </c>
      <c r="AI5" s="125">
        <v>0</v>
      </c>
      <c r="AJ5" s="125">
        <v>0</v>
      </c>
      <c r="AK5" s="125">
        <v>0</v>
      </c>
      <c r="AL5" s="125">
        <v>0</v>
      </c>
      <c r="AM5" s="125">
        <v>0</v>
      </c>
      <c r="AN5" s="125">
        <v>0</v>
      </c>
      <c r="AO5" s="125">
        <v>0</v>
      </c>
      <c r="AP5" s="125">
        <v>0</v>
      </c>
      <c r="AQ5" s="125">
        <v>0</v>
      </c>
      <c r="AR5" s="126">
        <v>0</v>
      </c>
    </row>
    <row r="6" spans="2:44" ht="12" customHeight="1" x14ac:dyDescent="0.25">
      <c r="B6" s="124" t="s">
        <v>35</v>
      </c>
      <c r="C6" s="125" t="s">
        <v>52</v>
      </c>
      <c r="D6" s="125" t="s">
        <v>25</v>
      </c>
      <c r="E6" s="125" t="s">
        <v>25</v>
      </c>
      <c r="F6" s="125" t="s">
        <v>78</v>
      </c>
      <c r="G6" s="125" t="s">
        <v>38</v>
      </c>
      <c r="H6" s="125" t="s">
        <v>71</v>
      </c>
      <c r="I6" s="125" t="s">
        <v>25</v>
      </c>
      <c r="J6" s="125">
        <v>15.33</v>
      </c>
      <c r="K6" s="125">
        <v>0</v>
      </c>
      <c r="L6" s="125">
        <v>0</v>
      </c>
      <c r="M6" s="125">
        <v>2.0979756195358101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5">
        <v>0</v>
      </c>
      <c r="AB6" s="125">
        <v>0</v>
      </c>
      <c r="AC6" s="125">
        <v>0</v>
      </c>
      <c r="AD6" s="125">
        <v>13.2369231366834</v>
      </c>
      <c r="AE6" s="125">
        <v>0</v>
      </c>
      <c r="AF6" s="125">
        <v>0</v>
      </c>
      <c r="AG6" s="125">
        <v>0</v>
      </c>
      <c r="AH6" s="125">
        <v>0</v>
      </c>
      <c r="AI6" s="125">
        <v>0</v>
      </c>
      <c r="AJ6" s="125">
        <v>0</v>
      </c>
      <c r="AK6" s="125">
        <v>0</v>
      </c>
      <c r="AL6" s="125">
        <v>0</v>
      </c>
      <c r="AM6" s="125">
        <v>0</v>
      </c>
      <c r="AN6" s="125">
        <v>0</v>
      </c>
      <c r="AO6" s="125">
        <v>0</v>
      </c>
      <c r="AP6" s="125">
        <v>0</v>
      </c>
      <c r="AQ6" s="125">
        <v>0</v>
      </c>
      <c r="AR6" s="126">
        <v>0</v>
      </c>
    </row>
    <row r="7" spans="2:44" ht="12" customHeight="1" x14ac:dyDescent="0.25">
      <c r="B7" s="124" t="s">
        <v>35</v>
      </c>
      <c r="C7" s="125" t="s">
        <v>52</v>
      </c>
      <c r="D7" s="125" t="s">
        <v>25</v>
      </c>
      <c r="E7" s="125" t="s">
        <v>25</v>
      </c>
      <c r="F7" s="125" t="s">
        <v>78</v>
      </c>
      <c r="G7" s="125" t="s">
        <v>38</v>
      </c>
      <c r="H7" s="125" t="s">
        <v>74</v>
      </c>
      <c r="I7" s="125" t="s">
        <v>25</v>
      </c>
      <c r="J7" s="125">
        <v>51.54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32.054423426160398</v>
      </c>
      <c r="Y7" s="125">
        <v>0</v>
      </c>
      <c r="Z7" s="125">
        <v>0</v>
      </c>
      <c r="AA7" s="125">
        <v>19.487091853598699</v>
      </c>
      <c r="AB7" s="125">
        <v>0</v>
      </c>
      <c r="AC7" s="125">
        <v>0</v>
      </c>
      <c r="AD7" s="125">
        <v>0</v>
      </c>
      <c r="AE7" s="125">
        <v>0</v>
      </c>
      <c r="AF7" s="125">
        <v>0</v>
      </c>
      <c r="AG7" s="125">
        <v>0</v>
      </c>
      <c r="AH7" s="125">
        <v>0</v>
      </c>
      <c r="AI7" s="125">
        <v>0</v>
      </c>
      <c r="AJ7" s="125">
        <v>0</v>
      </c>
      <c r="AK7" s="125">
        <v>0</v>
      </c>
      <c r="AL7" s="125">
        <v>0</v>
      </c>
      <c r="AM7" s="125">
        <v>0</v>
      </c>
      <c r="AN7" s="125">
        <v>0</v>
      </c>
      <c r="AO7" s="125">
        <v>0</v>
      </c>
      <c r="AP7" s="125">
        <v>0</v>
      </c>
      <c r="AQ7" s="125">
        <v>0</v>
      </c>
      <c r="AR7" s="126">
        <v>0</v>
      </c>
    </row>
    <row r="8" spans="2:44" ht="12" customHeight="1" x14ac:dyDescent="0.25">
      <c r="B8" s="124" t="s">
        <v>35</v>
      </c>
      <c r="C8" s="125" t="s">
        <v>52</v>
      </c>
      <c r="D8" s="125" t="s">
        <v>25</v>
      </c>
      <c r="E8" s="125" t="s">
        <v>25</v>
      </c>
      <c r="F8" s="125" t="s">
        <v>25</v>
      </c>
      <c r="G8" s="125" t="s">
        <v>37</v>
      </c>
      <c r="H8" s="125" t="s">
        <v>71</v>
      </c>
      <c r="I8" s="125" t="s">
        <v>25</v>
      </c>
      <c r="J8" s="125">
        <v>102.72</v>
      </c>
      <c r="K8" s="125">
        <v>251.92</v>
      </c>
      <c r="L8" s="125">
        <v>0</v>
      </c>
      <c r="M8" s="125">
        <v>2.0979756195358101</v>
      </c>
      <c r="N8" s="125">
        <v>0</v>
      </c>
      <c r="O8" s="125">
        <v>0</v>
      </c>
      <c r="P8" s="125">
        <v>0</v>
      </c>
      <c r="Q8" s="125">
        <v>73.532091299300703</v>
      </c>
      <c r="R8" s="125">
        <v>13.849389397228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5">
        <v>0</v>
      </c>
      <c r="AB8" s="125">
        <v>0</v>
      </c>
      <c r="AC8" s="125">
        <v>0</v>
      </c>
      <c r="AD8" s="125">
        <v>13.2369231366834</v>
      </c>
      <c r="AE8" s="125">
        <v>0</v>
      </c>
      <c r="AF8" s="125">
        <v>0</v>
      </c>
      <c r="AG8" s="125">
        <v>0</v>
      </c>
      <c r="AH8" s="125">
        <v>0</v>
      </c>
      <c r="AI8" s="125">
        <v>0</v>
      </c>
      <c r="AJ8" s="125">
        <v>0</v>
      </c>
      <c r="AK8" s="125">
        <v>0</v>
      </c>
      <c r="AL8" s="125">
        <v>0</v>
      </c>
      <c r="AM8" s="125">
        <v>251.924495566877</v>
      </c>
      <c r="AN8" s="125">
        <v>0</v>
      </c>
      <c r="AO8" s="125">
        <v>0</v>
      </c>
      <c r="AP8" s="125">
        <v>0</v>
      </c>
      <c r="AQ8" s="125">
        <v>0</v>
      </c>
      <c r="AR8" s="126">
        <v>0</v>
      </c>
    </row>
    <row r="9" spans="2:44" ht="12" customHeight="1" x14ac:dyDescent="0.25">
      <c r="B9" s="124" t="s">
        <v>35</v>
      </c>
      <c r="C9" s="125" t="s">
        <v>52</v>
      </c>
      <c r="D9" s="125" t="s">
        <v>25</v>
      </c>
      <c r="E9" s="125" t="s">
        <v>25</v>
      </c>
      <c r="F9" s="125" t="s">
        <v>25</v>
      </c>
      <c r="G9" s="125" t="s">
        <v>37</v>
      </c>
      <c r="H9" s="125" t="s">
        <v>74</v>
      </c>
      <c r="I9" s="125" t="s">
        <v>25</v>
      </c>
      <c r="J9" s="125">
        <v>64.42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31.605661498194099</v>
      </c>
      <c r="Y9" s="125">
        <v>0</v>
      </c>
      <c r="Z9" s="125">
        <v>0</v>
      </c>
      <c r="AA9" s="125">
        <v>32.809428840104303</v>
      </c>
      <c r="AB9" s="125">
        <v>0</v>
      </c>
      <c r="AC9" s="125">
        <v>0</v>
      </c>
      <c r="AD9" s="125">
        <v>0</v>
      </c>
      <c r="AE9" s="125">
        <v>0</v>
      </c>
      <c r="AF9" s="125">
        <v>0</v>
      </c>
      <c r="AG9" s="125">
        <v>0</v>
      </c>
      <c r="AH9" s="125">
        <v>0</v>
      </c>
      <c r="AI9" s="125">
        <v>0</v>
      </c>
      <c r="AJ9" s="125">
        <v>0</v>
      </c>
      <c r="AK9" s="125">
        <v>0</v>
      </c>
      <c r="AL9" s="125">
        <v>0</v>
      </c>
      <c r="AM9" s="125">
        <v>0</v>
      </c>
      <c r="AN9" s="125">
        <v>0</v>
      </c>
      <c r="AO9" s="125">
        <v>0</v>
      </c>
      <c r="AP9" s="125">
        <v>0</v>
      </c>
      <c r="AQ9" s="125">
        <v>0</v>
      </c>
      <c r="AR9" s="126">
        <v>0</v>
      </c>
    </row>
    <row r="10" spans="2:44" ht="12" customHeight="1" x14ac:dyDescent="0.25">
      <c r="B10" s="124" t="s">
        <v>35</v>
      </c>
      <c r="C10" s="125" t="s">
        <v>52</v>
      </c>
      <c r="D10" s="125" t="s">
        <v>25</v>
      </c>
      <c r="E10" s="125" t="s">
        <v>25</v>
      </c>
      <c r="F10" s="125" t="s">
        <v>25</v>
      </c>
      <c r="G10" s="125" t="s">
        <v>38</v>
      </c>
      <c r="H10" s="125" t="s">
        <v>71</v>
      </c>
      <c r="I10" s="125" t="s">
        <v>25</v>
      </c>
      <c r="J10" s="125">
        <v>102.72</v>
      </c>
      <c r="K10" s="125">
        <v>251.92</v>
      </c>
      <c r="L10" s="125">
        <v>0</v>
      </c>
      <c r="M10" s="125">
        <v>2.0979756195358101</v>
      </c>
      <c r="N10" s="125">
        <v>0</v>
      </c>
      <c r="O10" s="125">
        <v>0</v>
      </c>
      <c r="P10" s="125">
        <v>0</v>
      </c>
      <c r="Q10" s="125">
        <v>73.532091299300703</v>
      </c>
      <c r="R10" s="125">
        <v>13.849389397228</v>
      </c>
      <c r="S10" s="125">
        <v>0</v>
      </c>
      <c r="T10" s="125">
        <v>0</v>
      </c>
      <c r="U10" s="125">
        <v>0</v>
      </c>
      <c r="V10" s="125">
        <v>0</v>
      </c>
      <c r="W10" s="125">
        <v>0</v>
      </c>
      <c r="X10" s="125">
        <v>0</v>
      </c>
      <c r="Y10" s="125">
        <v>0</v>
      </c>
      <c r="Z10" s="125">
        <v>0</v>
      </c>
      <c r="AA10" s="125">
        <v>0</v>
      </c>
      <c r="AB10" s="125">
        <v>0</v>
      </c>
      <c r="AC10" s="125">
        <v>0</v>
      </c>
      <c r="AD10" s="125">
        <v>13.2369231366834</v>
      </c>
      <c r="AE10" s="125">
        <v>0</v>
      </c>
      <c r="AF10" s="125">
        <v>0</v>
      </c>
      <c r="AG10" s="125">
        <v>0</v>
      </c>
      <c r="AH10" s="125">
        <v>0</v>
      </c>
      <c r="AI10" s="125">
        <v>0</v>
      </c>
      <c r="AJ10" s="125">
        <v>0</v>
      </c>
      <c r="AK10" s="125">
        <v>0</v>
      </c>
      <c r="AL10" s="125">
        <v>0</v>
      </c>
      <c r="AM10" s="125">
        <v>251.924495566877</v>
      </c>
      <c r="AN10" s="125">
        <v>0</v>
      </c>
      <c r="AO10" s="125">
        <v>0</v>
      </c>
      <c r="AP10" s="125">
        <v>0</v>
      </c>
      <c r="AQ10" s="125">
        <v>0</v>
      </c>
      <c r="AR10" s="126">
        <v>0</v>
      </c>
    </row>
    <row r="11" spans="2:44" ht="12" customHeight="1" x14ac:dyDescent="0.25">
      <c r="B11" s="124" t="s">
        <v>35</v>
      </c>
      <c r="C11" s="125" t="s">
        <v>52</v>
      </c>
      <c r="D11" s="125" t="s">
        <v>25</v>
      </c>
      <c r="E11" s="125" t="s">
        <v>25</v>
      </c>
      <c r="F11" s="125" t="s">
        <v>25</v>
      </c>
      <c r="G11" s="125" t="s">
        <v>38</v>
      </c>
      <c r="H11" s="125" t="s">
        <v>74</v>
      </c>
      <c r="I11" s="125" t="s">
        <v>25</v>
      </c>
      <c r="J11" s="125">
        <v>51.54</v>
      </c>
      <c r="K11" s="125">
        <v>0</v>
      </c>
      <c r="L11" s="125">
        <v>0</v>
      </c>
      <c r="M11" s="125">
        <v>0</v>
      </c>
      <c r="N11" s="125">
        <v>0</v>
      </c>
      <c r="O11" s="125">
        <v>0</v>
      </c>
      <c r="P11" s="125">
        <v>0</v>
      </c>
      <c r="Q11" s="125">
        <v>0</v>
      </c>
      <c r="R11" s="125">
        <v>0</v>
      </c>
      <c r="S11" s="125">
        <v>0</v>
      </c>
      <c r="T11" s="125">
        <v>0</v>
      </c>
      <c r="U11" s="125">
        <v>0</v>
      </c>
      <c r="V11" s="125">
        <v>0</v>
      </c>
      <c r="W11" s="125">
        <v>0</v>
      </c>
      <c r="X11" s="125">
        <v>32.054423426160398</v>
      </c>
      <c r="Y11" s="125">
        <v>0</v>
      </c>
      <c r="Z11" s="125">
        <v>0</v>
      </c>
      <c r="AA11" s="125">
        <v>19.487091853598699</v>
      </c>
      <c r="AB11" s="125">
        <v>0</v>
      </c>
      <c r="AC11" s="125">
        <v>0</v>
      </c>
      <c r="AD11" s="125">
        <v>0</v>
      </c>
      <c r="AE11" s="125">
        <v>0</v>
      </c>
      <c r="AF11" s="125">
        <v>0</v>
      </c>
      <c r="AG11" s="125">
        <v>0</v>
      </c>
      <c r="AH11" s="125">
        <v>0</v>
      </c>
      <c r="AI11" s="125">
        <v>0</v>
      </c>
      <c r="AJ11" s="125">
        <v>0</v>
      </c>
      <c r="AK11" s="125">
        <v>0</v>
      </c>
      <c r="AL11" s="125">
        <v>0</v>
      </c>
      <c r="AM11" s="125">
        <v>0</v>
      </c>
      <c r="AN11" s="125">
        <v>0</v>
      </c>
      <c r="AO11" s="125">
        <v>0</v>
      </c>
      <c r="AP11" s="125">
        <v>0</v>
      </c>
      <c r="AQ11" s="125">
        <v>0</v>
      </c>
      <c r="AR11" s="126">
        <v>0</v>
      </c>
    </row>
    <row r="12" spans="2:44" ht="12" customHeight="1" x14ac:dyDescent="0.25">
      <c r="B12" s="124" t="s">
        <v>35</v>
      </c>
      <c r="C12" s="125" t="s">
        <v>79</v>
      </c>
      <c r="D12" s="125" t="s">
        <v>25</v>
      </c>
      <c r="E12" s="125" t="s">
        <v>25</v>
      </c>
      <c r="F12" s="125" t="s">
        <v>25</v>
      </c>
      <c r="G12" s="125" t="s">
        <v>25</v>
      </c>
      <c r="H12" s="125" t="s">
        <v>74</v>
      </c>
      <c r="I12" s="125" t="s">
        <v>25</v>
      </c>
      <c r="J12" s="125">
        <v>7.66</v>
      </c>
      <c r="K12" s="125">
        <v>0</v>
      </c>
      <c r="L12" s="125">
        <v>0</v>
      </c>
      <c r="M12" s="125">
        <v>2.0585824002342101E-2</v>
      </c>
      <c r="N12" s="125">
        <v>0</v>
      </c>
      <c r="O12" s="125">
        <v>0</v>
      </c>
      <c r="P12" s="125">
        <v>0</v>
      </c>
      <c r="Q12" s="125">
        <v>0</v>
      </c>
      <c r="R12" s="125">
        <v>0</v>
      </c>
      <c r="S12" s="125">
        <v>0</v>
      </c>
      <c r="T12" s="125">
        <v>0</v>
      </c>
      <c r="U12" s="125">
        <v>0</v>
      </c>
      <c r="V12" s="125">
        <v>0</v>
      </c>
      <c r="W12" s="125">
        <v>0</v>
      </c>
      <c r="X12" s="125">
        <v>0</v>
      </c>
      <c r="Y12" s="125">
        <v>0</v>
      </c>
      <c r="Z12" s="125">
        <v>0</v>
      </c>
      <c r="AA12" s="125">
        <v>7.6403988003418801</v>
      </c>
      <c r="AB12" s="125">
        <v>0</v>
      </c>
      <c r="AC12" s="125">
        <v>0</v>
      </c>
      <c r="AD12" s="125">
        <v>0</v>
      </c>
      <c r="AE12" s="125">
        <v>0</v>
      </c>
      <c r="AF12" s="125">
        <v>0</v>
      </c>
      <c r="AG12" s="125">
        <v>0</v>
      </c>
      <c r="AH12" s="125">
        <v>0</v>
      </c>
      <c r="AI12" s="125">
        <v>0</v>
      </c>
      <c r="AJ12" s="125">
        <v>0</v>
      </c>
      <c r="AK12" s="125">
        <v>0</v>
      </c>
      <c r="AL12" s="125">
        <v>0</v>
      </c>
      <c r="AM12" s="125">
        <v>0</v>
      </c>
      <c r="AN12" s="125">
        <v>0</v>
      </c>
      <c r="AO12" s="125">
        <v>0</v>
      </c>
      <c r="AP12" s="125">
        <v>0</v>
      </c>
      <c r="AQ12" s="125">
        <v>0</v>
      </c>
      <c r="AR12" s="126">
        <v>0</v>
      </c>
    </row>
    <row r="13" spans="2:44" ht="12" customHeight="1" x14ac:dyDescent="0.25">
      <c r="B13" s="124" t="s">
        <v>35</v>
      </c>
      <c r="C13" s="125" t="s">
        <v>36</v>
      </c>
      <c r="D13" s="125" t="s">
        <v>25</v>
      </c>
      <c r="E13" s="125" t="s">
        <v>25</v>
      </c>
      <c r="F13" s="125" t="s">
        <v>78</v>
      </c>
      <c r="G13" s="125" t="s">
        <v>37</v>
      </c>
      <c r="H13" s="125" t="s">
        <v>71</v>
      </c>
      <c r="I13" s="125" t="s">
        <v>25</v>
      </c>
      <c r="J13" s="125">
        <v>1565.24</v>
      </c>
      <c r="K13" s="125">
        <v>0</v>
      </c>
      <c r="L13" s="125">
        <v>0</v>
      </c>
      <c r="M13" s="125">
        <v>2.0979756195358101</v>
      </c>
      <c r="N13" s="125">
        <v>0</v>
      </c>
      <c r="O13" s="125">
        <v>0</v>
      </c>
      <c r="P13" s="125">
        <v>0</v>
      </c>
      <c r="Q13" s="125">
        <v>0</v>
      </c>
      <c r="R13" s="125">
        <v>0</v>
      </c>
      <c r="S13" s="125">
        <v>0</v>
      </c>
      <c r="T13" s="125">
        <v>0</v>
      </c>
      <c r="U13" s="125">
        <v>0</v>
      </c>
      <c r="V13" s="125">
        <v>0</v>
      </c>
      <c r="W13" s="125">
        <v>0</v>
      </c>
      <c r="X13" s="125">
        <v>760.84379444334195</v>
      </c>
      <c r="Y13" s="125">
        <v>0</v>
      </c>
      <c r="Z13" s="125">
        <v>0</v>
      </c>
      <c r="AA13" s="125">
        <v>789.06568335640497</v>
      </c>
      <c r="AB13" s="125">
        <v>0</v>
      </c>
      <c r="AC13" s="125">
        <v>0</v>
      </c>
      <c r="AD13" s="125">
        <v>13.2369231366834</v>
      </c>
      <c r="AE13" s="125">
        <v>0</v>
      </c>
      <c r="AF13" s="125">
        <v>0</v>
      </c>
      <c r="AG13" s="125">
        <v>0</v>
      </c>
      <c r="AH13" s="125">
        <v>0</v>
      </c>
      <c r="AI13" s="125">
        <v>0</v>
      </c>
      <c r="AJ13" s="125">
        <v>0</v>
      </c>
      <c r="AK13" s="125">
        <v>0</v>
      </c>
      <c r="AL13" s="125">
        <v>0</v>
      </c>
      <c r="AM13" s="125">
        <v>0</v>
      </c>
      <c r="AN13" s="125">
        <v>0</v>
      </c>
      <c r="AO13" s="125">
        <v>0</v>
      </c>
      <c r="AP13" s="125">
        <v>0</v>
      </c>
      <c r="AQ13" s="125">
        <v>0</v>
      </c>
      <c r="AR13" s="126">
        <v>0</v>
      </c>
    </row>
    <row r="14" spans="2:44" ht="12" customHeight="1" x14ac:dyDescent="0.25">
      <c r="B14" s="124" t="s">
        <v>35</v>
      </c>
      <c r="C14" s="125" t="s">
        <v>36</v>
      </c>
      <c r="D14" s="125" t="s">
        <v>25</v>
      </c>
      <c r="E14" s="125" t="s">
        <v>25</v>
      </c>
      <c r="F14" s="125" t="s">
        <v>78</v>
      </c>
      <c r="G14" s="125" t="s">
        <v>25</v>
      </c>
      <c r="H14" s="125" t="s">
        <v>74</v>
      </c>
      <c r="I14" s="125" t="s">
        <v>25</v>
      </c>
      <c r="J14" s="125">
        <v>51.54</v>
      </c>
      <c r="K14" s="125">
        <v>0</v>
      </c>
      <c r="L14" s="125">
        <v>0</v>
      </c>
      <c r="M14" s="125">
        <v>0</v>
      </c>
      <c r="N14" s="125">
        <v>0</v>
      </c>
      <c r="O14" s="125">
        <v>0</v>
      </c>
      <c r="P14" s="125">
        <v>0</v>
      </c>
      <c r="Q14" s="125">
        <v>0</v>
      </c>
      <c r="R14" s="125">
        <v>0</v>
      </c>
      <c r="S14" s="125">
        <v>0</v>
      </c>
      <c r="T14" s="125">
        <v>0</v>
      </c>
      <c r="U14" s="125">
        <v>0</v>
      </c>
      <c r="V14" s="125">
        <v>0</v>
      </c>
      <c r="W14" s="125">
        <v>0</v>
      </c>
      <c r="X14" s="125">
        <v>32.054423426160398</v>
      </c>
      <c r="Y14" s="125">
        <v>0</v>
      </c>
      <c r="Z14" s="125">
        <v>0</v>
      </c>
      <c r="AA14" s="125">
        <v>19.487091853598699</v>
      </c>
      <c r="AB14" s="125">
        <v>0</v>
      </c>
      <c r="AC14" s="125">
        <v>0</v>
      </c>
      <c r="AD14" s="125">
        <v>0</v>
      </c>
      <c r="AE14" s="125">
        <v>0</v>
      </c>
      <c r="AF14" s="125">
        <v>0</v>
      </c>
      <c r="AG14" s="125">
        <v>0</v>
      </c>
      <c r="AH14" s="125">
        <v>0</v>
      </c>
      <c r="AI14" s="125">
        <v>0</v>
      </c>
      <c r="AJ14" s="125">
        <v>0</v>
      </c>
      <c r="AK14" s="125">
        <v>0</v>
      </c>
      <c r="AL14" s="125">
        <v>0</v>
      </c>
      <c r="AM14" s="125">
        <v>0</v>
      </c>
      <c r="AN14" s="125">
        <v>0</v>
      </c>
      <c r="AO14" s="125">
        <v>0</v>
      </c>
      <c r="AP14" s="125">
        <v>0</v>
      </c>
      <c r="AQ14" s="125">
        <v>0</v>
      </c>
      <c r="AR14" s="126">
        <v>0</v>
      </c>
    </row>
    <row r="15" spans="2:44" ht="12" customHeight="1" x14ac:dyDescent="0.25">
      <c r="B15" s="124" t="s">
        <v>35</v>
      </c>
      <c r="C15" s="125" t="s">
        <v>36</v>
      </c>
      <c r="D15" s="125" t="s">
        <v>25</v>
      </c>
      <c r="E15" s="125" t="s">
        <v>25</v>
      </c>
      <c r="F15" s="125" t="s">
        <v>78</v>
      </c>
      <c r="G15" s="125" t="s">
        <v>38</v>
      </c>
      <c r="H15" s="125" t="s">
        <v>71</v>
      </c>
      <c r="I15" s="125" t="s">
        <v>25</v>
      </c>
      <c r="J15" s="125">
        <v>15.33</v>
      </c>
      <c r="K15" s="125">
        <v>0</v>
      </c>
      <c r="L15" s="125">
        <v>0</v>
      </c>
      <c r="M15" s="125">
        <v>2.0979756195358101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5">
        <v>0</v>
      </c>
      <c r="AB15" s="125">
        <v>0</v>
      </c>
      <c r="AC15" s="125">
        <v>0</v>
      </c>
      <c r="AD15" s="125">
        <v>13.2369231366834</v>
      </c>
      <c r="AE15" s="125">
        <v>0</v>
      </c>
      <c r="AF15" s="125">
        <v>0</v>
      </c>
      <c r="AG15" s="125">
        <v>0</v>
      </c>
      <c r="AH15" s="125">
        <v>0</v>
      </c>
      <c r="AI15" s="125">
        <v>0</v>
      </c>
      <c r="AJ15" s="125">
        <v>0</v>
      </c>
      <c r="AK15" s="125">
        <v>0</v>
      </c>
      <c r="AL15" s="125">
        <v>0</v>
      </c>
      <c r="AM15" s="125">
        <v>0</v>
      </c>
      <c r="AN15" s="125">
        <v>0</v>
      </c>
      <c r="AO15" s="125">
        <v>0</v>
      </c>
      <c r="AP15" s="125">
        <v>0</v>
      </c>
      <c r="AQ15" s="125">
        <v>0</v>
      </c>
      <c r="AR15" s="126">
        <v>0</v>
      </c>
    </row>
    <row r="16" spans="2:44" ht="12" customHeight="1" x14ac:dyDescent="0.25">
      <c r="B16" s="124" t="s">
        <v>35</v>
      </c>
      <c r="C16" s="125" t="s">
        <v>36</v>
      </c>
      <c r="D16" s="125" t="s">
        <v>25</v>
      </c>
      <c r="E16" s="125" t="s">
        <v>25</v>
      </c>
      <c r="F16" s="125" t="s">
        <v>25</v>
      </c>
      <c r="G16" s="125" t="s">
        <v>37</v>
      </c>
      <c r="H16" s="125" t="s">
        <v>71</v>
      </c>
      <c r="I16" s="125" t="s">
        <v>25</v>
      </c>
      <c r="J16" s="125">
        <v>1652.63</v>
      </c>
      <c r="K16" s="125">
        <v>251.92</v>
      </c>
      <c r="L16" s="125">
        <v>0</v>
      </c>
      <c r="M16" s="125">
        <v>2.0979756195358101</v>
      </c>
      <c r="N16" s="125">
        <v>0</v>
      </c>
      <c r="O16" s="125">
        <v>0</v>
      </c>
      <c r="P16" s="125">
        <v>0</v>
      </c>
      <c r="Q16" s="125">
        <v>73.532091299300703</v>
      </c>
      <c r="R16" s="125">
        <v>13.849389397228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760.84379444334195</v>
      </c>
      <c r="Y16" s="125">
        <v>0</v>
      </c>
      <c r="Z16" s="125">
        <v>0</v>
      </c>
      <c r="AA16" s="125">
        <v>789.06568335640497</v>
      </c>
      <c r="AB16" s="125">
        <v>0</v>
      </c>
      <c r="AC16" s="125">
        <v>0</v>
      </c>
      <c r="AD16" s="125">
        <v>13.2369231366834</v>
      </c>
      <c r="AE16" s="125">
        <v>0</v>
      </c>
      <c r="AF16" s="125">
        <v>0</v>
      </c>
      <c r="AG16" s="125">
        <v>0</v>
      </c>
      <c r="AH16" s="125">
        <v>0</v>
      </c>
      <c r="AI16" s="125">
        <v>0</v>
      </c>
      <c r="AJ16" s="125">
        <v>0</v>
      </c>
      <c r="AK16" s="125">
        <v>0</v>
      </c>
      <c r="AL16" s="125">
        <v>0</v>
      </c>
      <c r="AM16" s="125">
        <v>251.924495566877</v>
      </c>
      <c r="AN16" s="125">
        <v>0</v>
      </c>
      <c r="AO16" s="125">
        <v>0</v>
      </c>
      <c r="AP16" s="125">
        <v>0</v>
      </c>
      <c r="AQ16" s="125">
        <v>0</v>
      </c>
      <c r="AR16" s="126">
        <v>0</v>
      </c>
    </row>
    <row r="17" spans="2:44" ht="12" customHeight="1" x14ac:dyDescent="0.25">
      <c r="B17" s="124" t="s">
        <v>35</v>
      </c>
      <c r="C17" s="125" t="s">
        <v>36</v>
      </c>
      <c r="D17" s="125" t="s">
        <v>25</v>
      </c>
      <c r="E17" s="125" t="s">
        <v>25</v>
      </c>
      <c r="F17" s="125" t="s">
        <v>25</v>
      </c>
      <c r="G17" s="125" t="s">
        <v>25</v>
      </c>
      <c r="H17" s="125" t="s">
        <v>74</v>
      </c>
      <c r="I17" s="125" t="s">
        <v>25</v>
      </c>
      <c r="J17" s="125">
        <v>51.54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32.054423426160398</v>
      </c>
      <c r="Y17" s="125">
        <v>0</v>
      </c>
      <c r="Z17" s="125">
        <v>0</v>
      </c>
      <c r="AA17" s="125">
        <v>19.487091853598699</v>
      </c>
      <c r="AB17" s="125">
        <v>0</v>
      </c>
      <c r="AC17" s="125">
        <v>0</v>
      </c>
      <c r="AD17" s="125">
        <v>0</v>
      </c>
      <c r="AE17" s="125">
        <v>0</v>
      </c>
      <c r="AF17" s="125">
        <v>0</v>
      </c>
      <c r="AG17" s="125">
        <v>0</v>
      </c>
      <c r="AH17" s="125">
        <v>0</v>
      </c>
      <c r="AI17" s="125">
        <v>0</v>
      </c>
      <c r="AJ17" s="125">
        <v>0</v>
      </c>
      <c r="AK17" s="125">
        <v>0</v>
      </c>
      <c r="AL17" s="125">
        <v>0</v>
      </c>
      <c r="AM17" s="125">
        <v>0</v>
      </c>
      <c r="AN17" s="125">
        <v>0</v>
      </c>
      <c r="AO17" s="125">
        <v>0</v>
      </c>
      <c r="AP17" s="125">
        <v>0</v>
      </c>
      <c r="AQ17" s="125">
        <v>0</v>
      </c>
      <c r="AR17" s="126">
        <v>0</v>
      </c>
    </row>
    <row r="18" spans="2:44" ht="12" customHeight="1" x14ac:dyDescent="0.25">
      <c r="B18" s="124" t="s">
        <v>35</v>
      </c>
      <c r="C18" s="125" t="s">
        <v>36</v>
      </c>
      <c r="D18" s="125" t="s">
        <v>25</v>
      </c>
      <c r="E18" s="125" t="s">
        <v>25</v>
      </c>
      <c r="F18" s="125" t="s">
        <v>25</v>
      </c>
      <c r="G18" s="125" t="s">
        <v>38</v>
      </c>
      <c r="H18" s="125" t="s">
        <v>71</v>
      </c>
      <c r="I18" s="125" t="s">
        <v>25</v>
      </c>
      <c r="J18" s="125">
        <v>102.72</v>
      </c>
      <c r="K18" s="125">
        <v>251.92</v>
      </c>
      <c r="L18" s="125">
        <v>0</v>
      </c>
      <c r="M18" s="125">
        <v>2.0979756195358101</v>
      </c>
      <c r="N18" s="125">
        <v>0</v>
      </c>
      <c r="O18" s="125">
        <v>0</v>
      </c>
      <c r="P18" s="125">
        <v>0</v>
      </c>
      <c r="Q18" s="125">
        <v>73.532091299300703</v>
      </c>
      <c r="R18" s="125">
        <v>13.849389397228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5">
        <v>0</v>
      </c>
      <c r="AB18" s="125">
        <v>0</v>
      </c>
      <c r="AC18" s="125">
        <v>0</v>
      </c>
      <c r="AD18" s="125">
        <v>13.2369231366834</v>
      </c>
      <c r="AE18" s="125">
        <v>0</v>
      </c>
      <c r="AF18" s="125">
        <v>0</v>
      </c>
      <c r="AG18" s="125">
        <v>0</v>
      </c>
      <c r="AH18" s="125">
        <v>0</v>
      </c>
      <c r="AI18" s="125">
        <v>0</v>
      </c>
      <c r="AJ18" s="125">
        <v>0</v>
      </c>
      <c r="AK18" s="125">
        <v>0</v>
      </c>
      <c r="AL18" s="125">
        <v>0</v>
      </c>
      <c r="AM18" s="125">
        <v>251.924495566877</v>
      </c>
      <c r="AN18" s="125">
        <v>0</v>
      </c>
      <c r="AO18" s="125">
        <v>0</v>
      </c>
      <c r="AP18" s="125">
        <v>0</v>
      </c>
      <c r="AQ18" s="125">
        <v>0</v>
      </c>
      <c r="AR18" s="126">
        <v>0</v>
      </c>
    </row>
    <row r="19" spans="2:44" ht="12" customHeight="1" x14ac:dyDescent="0.25">
      <c r="B19" s="124" t="s">
        <v>80</v>
      </c>
      <c r="C19" s="125" t="s">
        <v>79</v>
      </c>
      <c r="D19" s="125" t="s">
        <v>25</v>
      </c>
      <c r="E19" s="125" t="s">
        <v>25</v>
      </c>
      <c r="F19" s="125" t="s">
        <v>81</v>
      </c>
      <c r="G19" s="125" t="s">
        <v>25</v>
      </c>
      <c r="H19" s="125" t="s">
        <v>74</v>
      </c>
      <c r="I19" s="125" t="s">
        <v>25</v>
      </c>
      <c r="J19" s="125">
        <v>4.55</v>
      </c>
      <c r="K19" s="125">
        <v>0</v>
      </c>
      <c r="L19" s="125">
        <v>0</v>
      </c>
      <c r="M19" s="125">
        <v>1.2255746382789701E-2</v>
      </c>
      <c r="N19" s="125">
        <v>0</v>
      </c>
      <c r="O19" s="125">
        <v>0</v>
      </c>
      <c r="P19" s="125">
        <v>0</v>
      </c>
      <c r="Q19" s="125">
        <v>0</v>
      </c>
      <c r="R19" s="125">
        <v>0</v>
      </c>
      <c r="S19" s="125">
        <v>0</v>
      </c>
      <c r="T19" s="125">
        <v>0</v>
      </c>
      <c r="U19" s="125">
        <v>0</v>
      </c>
      <c r="V19" s="125">
        <v>0</v>
      </c>
      <c r="W19" s="125">
        <v>0</v>
      </c>
      <c r="X19" s="125">
        <v>0</v>
      </c>
      <c r="Y19" s="125">
        <v>0</v>
      </c>
      <c r="Z19" s="125">
        <v>0</v>
      </c>
      <c r="AA19" s="125">
        <v>4.5334551068551097</v>
      </c>
      <c r="AB19" s="125">
        <v>0</v>
      </c>
      <c r="AC19" s="125">
        <v>0</v>
      </c>
      <c r="AD19" s="125">
        <v>0</v>
      </c>
      <c r="AE19" s="125">
        <v>0</v>
      </c>
      <c r="AF19" s="125">
        <v>0</v>
      </c>
      <c r="AG19" s="125">
        <v>0</v>
      </c>
      <c r="AH19" s="125">
        <v>0</v>
      </c>
      <c r="AI19" s="125">
        <v>0</v>
      </c>
      <c r="AJ19" s="125">
        <v>0</v>
      </c>
      <c r="AK19" s="125">
        <v>0</v>
      </c>
      <c r="AL19" s="125">
        <v>0</v>
      </c>
      <c r="AM19" s="125">
        <v>0</v>
      </c>
      <c r="AN19" s="125">
        <v>0</v>
      </c>
      <c r="AO19" s="125">
        <v>0</v>
      </c>
      <c r="AP19" s="125">
        <v>0</v>
      </c>
      <c r="AQ19" s="125">
        <v>0</v>
      </c>
      <c r="AR19" s="126">
        <v>0</v>
      </c>
    </row>
    <row r="20" spans="2:44" ht="12" customHeight="1" x14ac:dyDescent="0.25">
      <c r="B20" s="124" t="s">
        <v>80</v>
      </c>
      <c r="C20" s="125" t="s">
        <v>79</v>
      </c>
      <c r="D20" s="125" t="s">
        <v>25</v>
      </c>
      <c r="E20" s="125" t="s">
        <v>25</v>
      </c>
      <c r="F20" s="125" t="s">
        <v>82</v>
      </c>
      <c r="G20" s="125" t="s">
        <v>25</v>
      </c>
      <c r="H20" s="125" t="s">
        <v>74</v>
      </c>
      <c r="I20" s="125" t="s">
        <v>25</v>
      </c>
      <c r="J20" s="125">
        <v>11.8</v>
      </c>
      <c r="K20" s="125">
        <v>0</v>
      </c>
      <c r="L20" s="125">
        <v>0</v>
      </c>
      <c r="M20" s="125">
        <v>1.2255746382789701E-2</v>
      </c>
      <c r="N20" s="125">
        <v>0</v>
      </c>
      <c r="O20" s="125">
        <v>0</v>
      </c>
      <c r="P20" s="125">
        <v>0</v>
      </c>
      <c r="Q20" s="125">
        <v>0</v>
      </c>
      <c r="R20" s="125">
        <v>0</v>
      </c>
      <c r="S20" s="125">
        <v>0</v>
      </c>
      <c r="T20" s="125">
        <v>0</v>
      </c>
      <c r="U20" s="125">
        <v>0</v>
      </c>
      <c r="V20" s="125">
        <v>0</v>
      </c>
      <c r="W20" s="125">
        <v>0</v>
      </c>
      <c r="X20" s="125">
        <v>0</v>
      </c>
      <c r="Y20" s="125">
        <v>0</v>
      </c>
      <c r="Z20" s="125">
        <v>0</v>
      </c>
      <c r="AA20" s="125">
        <v>11.790470101814799</v>
      </c>
      <c r="AB20" s="125">
        <v>0</v>
      </c>
      <c r="AC20" s="125">
        <v>0</v>
      </c>
      <c r="AD20" s="125">
        <v>0</v>
      </c>
      <c r="AE20" s="125">
        <v>0</v>
      </c>
      <c r="AF20" s="125">
        <v>0</v>
      </c>
      <c r="AG20" s="125">
        <v>0</v>
      </c>
      <c r="AH20" s="125">
        <v>0</v>
      </c>
      <c r="AI20" s="125">
        <v>0</v>
      </c>
      <c r="AJ20" s="125">
        <v>0</v>
      </c>
      <c r="AK20" s="125">
        <v>0</v>
      </c>
      <c r="AL20" s="125">
        <v>0</v>
      </c>
      <c r="AM20" s="125">
        <v>0</v>
      </c>
      <c r="AN20" s="125">
        <v>0</v>
      </c>
      <c r="AO20" s="125">
        <v>0</v>
      </c>
      <c r="AP20" s="125">
        <v>0</v>
      </c>
      <c r="AQ20" s="125">
        <v>0</v>
      </c>
      <c r="AR20" s="126">
        <v>0</v>
      </c>
    </row>
    <row r="21" spans="2:44" ht="12" customHeight="1" x14ac:dyDescent="0.25">
      <c r="B21" s="124" t="s">
        <v>22</v>
      </c>
      <c r="C21" s="125" t="s">
        <v>85</v>
      </c>
      <c r="D21" s="125" t="s">
        <v>24</v>
      </c>
      <c r="E21" s="125" t="s">
        <v>24</v>
      </c>
      <c r="F21" s="125" t="s">
        <v>25</v>
      </c>
      <c r="G21" s="125" t="s">
        <v>37</v>
      </c>
      <c r="H21" s="125" t="s">
        <v>71</v>
      </c>
      <c r="I21" s="125" t="s">
        <v>25</v>
      </c>
      <c r="J21" s="125">
        <v>1019.14</v>
      </c>
      <c r="K21" s="125">
        <v>251.92</v>
      </c>
      <c r="L21" s="125">
        <v>0</v>
      </c>
      <c r="M21" s="125">
        <v>2.3730294380749699</v>
      </c>
      <c r="N21" s="125">
        <v>0</v>
      </c>
      <c r="O21" s="125">
        <v>0</v>
      </c>
      <c r="P21" s="125">
        <v>0</v>
      </c>
      <c r="Q21" s="125">
        <v>87.538203927738905</v>
      </c>
      <c r="R21" s="125">
        <v>13.849389397228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362.47142010302099</v>
      </c>
      <c r="Y21" s="125">
        <v>0</v>
      </c>
      <c r="Z21" s="125">
        <v>0</v>
      </c>
      <c r="AA21" s="125">
        <v>523.04887402945803</v>
      </c>
      <c r="AB21" s="125">
        <v>0</v>
      </c>
      <c r="AC21" s="125">
        <v>0</v>
      </c>
      <c r="AD21" s="125">
        <v>29.862706514537201</v>
      </c>
      <c r="AE21" s="125">
        <v>0</v>
      </c>
      <c r="AF21" s="125">
        <v>0</v>
      </c>
      <c r="AG21" s="125">
        <v>0</v>
      </c>
      <c r="AH21" s="125">
        <v>0</v>
      </c>
      <c r="AI21" s="125">
        <v>0</v>
      </c>
      <c r="AJ21" s="125">
        <v>0</v>
      </c>
      <c r="AK21" s="125">
        <v>0</v>
      </c>
      <c r="AL21" s="125">
        <v>0</v>
      </c>
      <c r="AM21" s="125">
        <v>251.924495566877</v>
      </c>
      <c r="AN21" s="125">
        <v>0</v>
      </c>
      <c r="AO21" s="125">
        <v>0</v>
      </c>
      <c r="AP21" s="125">
        <v>0</v>
      </c>
      <c r="AQ21" s="125">
        <v>0</v>
      </c>
      <c r="AR21" s="126">
        <v>0</v>
      </c>
    </row>
    <row r="22" spans="2:44" ht="12" customHeight="1" x14ac:dyDescent="0.25">
      <c r="B22" s="124" t="s">
        <v>22</v>
      </c>
      <c r="C22" s="125" t="s">
        <v>85</v>
      </c>
      <c r="D22" s="125" t="s">
        <v>24</v>
      </c>
      <c r="E22" s="125" t="s">
        <v>24</v>
      </c>
      <c r="F22" s="125" t="s">
        <v>25</v>
      </c>
      <c r="G22" s="125" t="s">
        <v>507</v>
      </c>
      <c r="H22" s="125" t="s">
        <v>71</v>
      </c>
      <c r="I22" s="125" t="s">
        <v>25</v>
      </c>
      <c r="J22" s="125">
        <v>664.97</v>
      </c>
      <c r="K22" s="125">
        <v>251.92</v>
      </c>
      <c r="L22" s="125">
        <v>0</v>
      </c>
      <c r="M22" s="125">
        <v>2.3730294380749699</v>
      </c>
      <c r="N22" s="125">
        <v>0</v>
      </c>
      <c r="O22" s="125">
        <v>0</v>
      </c>
      <c r="P22" s="125">
        <v>0</v>
      </c>
      <c r="Q22" s="125">
        <v>87.538203927738905</v>
      </c>
      <c r="R22" s="125">
        <v>13.849389397228</v>
      </c>
      <c r="S22" s="125">
        <v>0</v>
      </c>
      <c r="T22" s="125">
        <v>0</v>
      </c>
      <c r="U22" s="125">
        <v>0</v>
      </c>
      <c r="V22" s="125">
        <v>0</v>
      </c>
      <c r="W22" s="125">
        <v>0</v>
      </c>
      <c r="X22" s="125">
        <v>217.52131736992399</v>
      </c>
      <c r="Y22" s="125">
        <v>0</v>
      </c>
      <c r="Z22" s="125">
        <v>0</v>
      </c>
      <c r="AA22" s="125">
        <v>313.82934110104298</v>
      </c>
      <c r="AB22" s="125">
        <v>0</v>
      </c>
      <c r="AC22" s="125">
        <v>0</v>
      </c>
      <c r="AD22" s="125">
        <v>29.862706514537201</v>
      </c>
      <c r="AE22" s="125">
        <v>0</v>
      </c>
      <c r="AF22" s="125">
        <v>0</v>
      </c>
      <c r="AG22" s="125">
        <v>0</v>
      </c>
      <c r="AH22" s="125">
        <v>0</v>
      </c>
      <c r="AI22" s="125">
        <v>0</v>
      </c>
      <c r="AJ22" s="125">
        <v>0</v>
      </c>
      <c r="AK22" s="125">
        <v>0</v>
      </c>
      <c r="AL22" s="125">
        <v>0</v>
      </c>
      <c r="AM22" s="125">
        <v>251.924495566877</v>
      </c>
      <c r="AN22" s="125">
        <v>0</v>
      </c>
      <c r="AO22" s="125">
        <v>0</v>
      </c>
      <c r="AP22" s="125">
        <v>0</v>
      </c>
      <c r="AQ22" s="125">
        <v>0</v>
      </c>
      <c r="AR22" s="126">
        <v>0</v>
      </c>
    </row>
    <row r="23" spans="2:44" ht="12" customHeight="1" x14ac:dyDescent="0.25">
      <c r="B23" s="124" t="s">
        <v>22</v>
      </c>
      <c r="C23" s="125" t="s">
        <v>85</v>
      </c>
      <c r="D23" s="125" t="s">
        <v>24</v>
      </c>
      <c r="E23" s="125" t="s">
        <v>24</v>
      </c>
      <c r="F23" s="125" t="s">
        <v>25</v>
      </c>
      <c r="G23" s="125" t="s">
        <v>38</v>
      </c>
      <c r="H23" s="125" t="s">
        <v>71</v>
      </c>
      <c r="I23" s="125" t="s">
        <v>25</v>
      </c>
      <c r="J23" s="125">
        <v>310.74</v>
      </c>
      <c r="K23" s="125">
        <v>251.92</v>
      </c>
      <c r="L23" s="125">
        <v>0</v>
      </c>
      <c r="M23" s="125">
        <v>2.3730294380749699</v>
      </c>
      <c r="N23" s="125">
        <v>0</v>
      </c>
      <c r="O23" s="125">
        <v>0</v>
      </c>
      <c r="P23" s="125">
        <v>0</v>
      </c>
      <c r="Q23" s="125">
        <v>87.538203927738905</v>
      </c>
      <c r="R23" s="125">
        <v>13.849389397228</v>
      </c>
      <c r="S23" s="125">
        <v>0</v>
      </c>
      <c r="T23" s="125">
        <v>0</v>
      </c>
      <c r="U23" s="125">
        <v>0</v>
      </c>
      <c r="V23" s="125">
        <v>0</v>
      </c>
      <c r="W23" s="125">
        <v>0</v>
      </c>
      <c r="X23" s="125">
        <v>72.507105789974702</v>
      </c>
      <c r="Y23" s="125">
        <v>0</v>
      </c>
      <c r="Z23" s="125">
        <v>0</v>
      </c>
      <c r="AA23" s="125">
        <v>104.609724755786</v>
      </c>
      <c r="AB23" s="125">
        <v>0</v>
      </c>
      <c r="AC23" s="125">
        <v>0</v>
      </c>
      <c r="AD23" s="125">
        <v>29.862706514537201</v>
      </c>
      <c r="AE23" s="125">
        <v>0</v>
      </c>
      <c r="AF23" s="125">
        <v>0</v>
      </c>
      <c r="AG23" s="125">
        <v>0</v>
      </c>
      <c r="AH23" s="125">
        <v>0</v>
      </c>
      <c r="AI23" s="125">
        <v>0</v>
      </c>
      <c r="AJ23" s="125">
        <v>0</v>
      </c>
      <c r="AK23" s="125">
        <v>0</v>
      </c>
      <c r="AL23" s="125">
        <v>0</v>
      </c>
      <c r="AM23" s="125">
        <v>251.924495566877</v>
      </c>
      <c r="AN23" s="125">
        <v>0</v>
      </c>
      <c r="AO23" s="125">
        <v>0</v>
      </c>
      <c r="AP23" s="125">
        <v>0</v>
      </c>
      <c r="AQ23" s="125">
        <v>0</v>
      </c>
      <c r="AR23" s="126">
        <v>0</v>
      </c>
    </row>
    <row r="24" spans="2:44" ht="12" customHeight="1" x14ac:dyDescent="0.25">
      <c r="B24" s="124" t="s">
        <v>22</v>
      </c>
      <c r="C24" s="125" t="s">
        <v>23</v>
      </c>
      <c r="D24" s="125" t="s">
        <v>24</v>
      </c>
      <c r="E24" s="125" t="s">
        <v>1058</v>
      </c>
      <c r="F24" s="125" t="s">
        <v>25</v>
      </c>
      <c r="G24" s="125" t="s">
        <v>25</v>
      </c>
      <c r="H24" s="125" t="s">
        <v>71</v>
      </c>
      <c r="I24" s="125" t="s">
        <v>25</v>
      </c>
      <c r="J24" s="125">
        <v>386.47</v>
      </c>
      <c r="K24" s="125">
        <v>251.92</v>
      </c>
      <c r="L24" s="125">
        <v>0</v>
      </c>
      <c r="M24" s="125">
        <v>2.3730294380749699</v>
      </c>
      <c r="N24" s="125">
        <v>0</v>
      </c>
      <c r="O24" s="125">
        <v>0</v>
      </c>
      <c r="P24" s="125">
        <v>0</v>
      </c>
      <c r="Q24" s="125">
        <v>0</v>
      </c>
      <c r="R24" s="125">
        <v>0</v>
      </c>
      <c r="S24" s="125">
        <v>0</v>
      </c>
      <c r="T24" s="125">
        <v>0</v>
      </c>
      <c r="U24" s="125">
        <v>0</v>
      </c>
      <c r="V24" s="125">
        <v>0</v>
      </c>
      <c r="W24" s="125">
        <v>0</v>
      </c>
      <c r="X24" s="125">
        <v>145.01421157994901</v>
      </c>
      <c r="Y24" s="125">
        <v>0</v>
      </c>
      <c r="Z24" s="125">
        <v>0</v>
      </c>
      <c r="AA24" s="125">
        <v>209.219449511573</v>
      </c>
      <c r="AB24" s="125">
        <v>0</v>
      </c>
      <c r="AC24" s="125">
        <v>0</v>
      </c>
      <c r="AD24" s="125">
        <v>29.862706514537201</v>
      </c>
      <c r="AE24" s="125">
        <v>0</v>
      </c>
      <c r="AF24" s="125">
        <v>0</v>
      </c>
      <c r="AG24" s="125">
        <v>0</v>
      </c>
      <c r="AH24" s="125">
        <v>0</v>
      </c>
      <c r="AI24" s="125">
        <v>0</v>
      </c>
      <c r="AJ24" s="125">
        <v>0</v>
      </c>
      <c r="AK24" s="125">
        <v>0</v>
      </c>
      <c r="AL24" s="125">
        <v>0</v>
      </c>
      <c r="AM24" s="125">
        <v>251.924495566877</v>
      </c>
      <c r="AN24" s="125">
        <v>0</v>
      </c>
      <c r="AO24" s="125">
        <v>0</v>
      </c>
      <c r="AP24" s="125">
        <v>0</v>
      </c>
      <c r="AQ24" s="125">
        <v>0</v>
      </c>
      <c r="AR24" s="126">
        <v>0</v>
      </c>
    </row>
    <row r="25" spans="2:44" ht="12" customHeight="1" x14ac:dyDescent="0.25">
      <c r="B25" s="124" t="s">
        <v>22</v>
      </c>
      <c r="C25" s="125" t="s">
        <v>23</v>
      </c>
      <c r="D25" s="125" t="s">
        <v>24</v>
      </c>
      <c r="E25" s="125" t="s">
        <v>24</v>
      </c>
      <c r="F25" s="125" t="s">
        <v>25</v>
      </c>
      <c r="G25" s="125" t="s">
        <v>25</v>
      </c>
      <c r="H25" s="125" t="s">
        <v>71</v>
      </c>
      <c r="I25" s="125" t="s">
        <v>25</v>
      </c>
      <c r="J25" s="125">
        <v>487.86</v>
      </c>
      <c r="K25" s="125">
        <v>251.92</v>
      </c>
      <c r="L25" s="125">
        <v>0</v>
      </c>
      <c r="M25" s="125">
        <v>2.3730294380749699</v>
      </c>
      <c r="N25" s="125">
        <v>0</v>
      </c>
      <c r="O25" s="125">
        <v>0</v>
      </c>
      <c r="P25" s="125">
        <v>0</v>
      </c>
      <c r="Q25" s="125">
        <v>87.538203927738905</v>
      </c>
      <c r="R25" s="125">
        <v>13.849389397228</v>
      </c>
      <c r="S25" s="125">
        <v>0</v>
      </c>
      <c r="T25" s="125">
        <v>0</v>
      </c>
      <c r="U25" s="125">
        <v>0</v>
      </c>
      <c r="V25" s="125">
        <v>0</v>
      </c>
      <c r="W25" s="125">
        <v>0</v>
      </c>
      <c r="X25" s="125">
        <v>145.01421157994901</v>
      </c>
      <c r="Y25" s="125">
        <v>0</v>
      </c>
      <c r="Z25" s="125">
        <v>0</v>
      </c>
      <c r="AA25" s="125">
        <v>209.219449511573</v>
      </c>
      <c r="AB25" s="125">
        <v>0</v>
      </c>
      <c r="AC25" s="125">
        <v>0</v>
      </c>
      <c r="AD25" s="125">
        <v>29.862706514537201</v>
      </c>
      <c r="AE25" s="125">
        <v>0</v>
      </c>
      <c r="AF25" s="125">
        <v>0</v>
      </c>
      <c r="AG25" s="125">
        <v>0</v>
      </c>
      <c r="AH25" s="125">
        <v>0</v>
      </c>
      <c r="AI25" s="125">
        <v>0</v>
      </c>
      <c r="AJ25" s="125">
        <v>0</v>
      </c>
      <c r="AK25" s="125">
        <v>0</v>
      </c>
      <c r="AL25" s="125">
        <v>0</v>
      </c>
      <c r="AM25" s="125">
        <v>251.924495566877</v>
      </c>
      <c r="AN25" s="125">
        <v>0</v>
      </c>
      <c r="AO25" s="125">
        <v>0</v>
      </c>
      <c r="AP25" s="125">
        <v>0</v>
      </c>
      <c r="AQ25" s="125">
        <v>0</v>
      </c>
      <c r="AR25" s="126">
        <v>0</v>
      </c>
    </row>
    <row r="26" spans="2:44" ht="12" customHeight="1" x14ac:dyDescent="0.25">
      <c r="B26" s="124" t="s">
        <v>22</v>
      </c>
      <c r="C26" s="125" t="s">
        <v>87</v>
      </c>
      <c r="D26" s="125" t="s">
        <v>24</v>
      </c>
      <c r="E26" s="125" t="s">
        <v>1058</v>
      </c>
      <c r="F26" s="125" t="s">
        <v>25</v>
      </c>
      <c r="G26" s="125" t="s">
        <v>25</v>
      </c>
      <c r="H26" s="125" t="s">
        <v>71</v>
      </c>
      <c r="I26" s="125" t="s">
        <v>25</v>
      </c>
      <c r="J26" s="125">
        <v>386.47</v>
      </c>
      <c r="K26" s="125">
        <v>251.92</v>
      </c>
      <c r="L26" s="125">
        <v>0</v>
      </c>
      <c r="M26" s="125">
        <v>2.3730294380749699</v>
      </c>
      <c r="N26" s="125">
        <v>0</v>
      </c>
      <c r="O26" s="125">
        <v>0</v>
      </c>
      <c r="P26" s="125">
        <v>0</v>
      </c>
      <c r="Q26" s="125">
        <v>0</v>
      </c>
      <c r="R26" s="125">
        <v>0</v>
      </c>
      <c r="S26" s="125">
        <v>0</v>
      </c>
      <c r="T26" s="125">
        <v>0</v>
      </c>
      <c r="U26" s="125">
        <v>0</v>
      </c>
      <c r="V26" s="125">
        <v>0</v>
      </c>
      <c r="W26" s="125">
        <v>0</v>
      </c>
      <c r="X26" s="125">
        <v>145.01421157994901</v>
      </c>
      <c r="Y26" s="125">
        <v>0</v>
      </c>
      <c r="Z26" s="125">
        <v>0</v>
      </c>
      <c r="AA26" s="125">
        <v>209.219449511573</v>
      </c>
      <c r="AB26" s="125">
        <v>0</v>
      </c>
      <c r="AC26" s="125">
        <v>0</v>
      </c>
      <c r="AD26" s="125">
        <v>29.862706514537201</v>
      </c>
      <c r="AE26" s="125">
        <v>0</v>
      </c>
      <c r="AF26" s="125">
        <v>0</v>
      </c>
      <c r="AG26" s="125">
        <v>0</v>
      </c>
      <c r="AH26" s="125">
        <v>0</v>
      </c>
      <c r="AI26" s="125">
        <v>0</v>
      </c>
      <c r="AJ26" s="125">
        <v>0</v>
      </c>
      <c r="AK26" s="125">
        <v>0</v>
      </c>
      <c r="AL26" s="125">
        <v>0</v>
      </c>
      <c r="AM26" s="125">
        <v>251.924495566877</v>
      </c>
      <c r="AN26" s="125">
        <v>0</v>
      </c>
      <c r="AO26" s="125">
        <v>0</v>
      </c>
      <c r="AP26" s="125">
        <v>0</v>
      </c>
      <c r="AQ26" s="125">
        <v>0</v>
      </c>
      <c r="AR26" s="126">
        <v>0</v>
      </c>
    </row>
    <row r="27" spans="2:44" ht="12" customHeight="1" x14ac:dyDescent="0.25">
      <c r="B27" s="124" t="s">
        <v>22</v>
      </c>
      <c r="C27" s="125" t="s">
        <v>87</v>
      </c>
      <c r="D27" s="125" t="s">
        <v>24</v>
      </c>
      <c r="E27" s="125" t="s">
        <v>24</v>
      </c>
      <c r="F27" s="125" t="s">
        <v>25</v>
      </c>
      <c r="G27" s="125" t="s">
        <v>25</v>
      </c>
      <c r="H27" s="125" t="s">
        <v>71</v>
      </c>
      <c r="I27" s="125" t="s">
        <v>25</v>
      </c>
      <c r="J27" s="125">
        <v>487.86</v>
      </c>
      <c r="K27" s="125">
        <v>251.92</v>
      </c>
      <c r="L27" s="125">
        <v>0</v>
      </c>
      <c r="M27" s="125">
        <v>2.3730294380749699</v>
      </c>
      <c r="N27" s="125">
        <v>0</v>
      </c>
      <c r="O27" s="125">
        <v>0</v>
      </c>
      <c r="P27" s="125">
        <v>0</v>
      </c>
      <c r="Q27" s="125">
        <v>87.538203927738905</v>
      </c>
      <c r="R27" s="125">
        <v>13.849389397228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145.01421157994901</v>
      </c>
      <c r="Y27" s="125">
        <v>0</v>
      </c>
      <c r="Z27" s="125">
        <v>0</v>
      </c>
      <c r="AA27" s="125">
        <v>209.219449511573</v>
      </c>
      <c r="AB27" s="125">
        <v>0</v>
      </c>
      <c r="AC27" s="125">
        <v>0</v>
      </c>
      <c r="AD27" s="125">
        <v>29.862706514537201</v>
      </c>
      <c r="AE27" s="125">
        <v>0</v>
      </c>
      <c r="AF27" s="125">
        <v>0</v>
      </c>
      <c r="AG27" s="125">
        <v>0</v>
      </c>
      <c r="AH27" s="125">
        <v>0</v>
      </c>
      <c r="AI27" s="125">
        <v>0</v>
      </c>
      <c r="AJ27" s="125">
        <v>0</v>
      </c>
      <c r="AK27" s="125">
        <v>0</v>
      </c>
      <c r="AL27" s="125">
        <v>0</v>
      </c>
      <c r="AM27" s="125">
        <v>251.924495566877</v>
      </c>
      <c r="AN27" s="125">
        <v>0</v>
      </c>
      <c r="AO27" s="125">
        <v>0</v>
      </c>
      <c r="AP27" s="125">
        <v>0</v>
      </c>
      <c r="AQ27" s="125">
        <v>0</v>
      </c>
      <c r="AR27" s="126">
        <v>0</v>
      </c>
    </row>
    <row r="28" spans="2:44" ht="12" customHeight="1" x14ac:dyDescent="0.25">
      <c r="B28" s="124" t="s">
        <v>40</v>
      </c>
      <c r="C28" s="125" t="s">
        <v>85</v>
      </c>
      <c r="D28" s="125" t="s">
        <v>41</v>
      </c>
      <c r="E28" s="125" t="s">
        <v>88</v>
      </c>
      <c r="F28" s="125" t="s">
        <v>25</v>
      </c>
      <c r="G28" s="125" t="s">
        <v>37</v>
      </c>
      <c r="H28" s="125" t="s">
        <v>71</v>
      </c>
      <c r="I28" s="125" t="s">
        <v>25</v>
      </c>
      <c r="J28" s="125">
        <v>991.28</v>
      </c>
      <c r="K28" s="125">
        <v>236.81</v>
      </c>
      <c r="L28" s="125">
        <v>0</v>
      </c>
      <c r="M28" s="125">
        <v>2.2306476717904702</v>
      </c>
      <c r="N28" s="125">
        <v>0</v>
      </c>
      <c r="O28" s="125">
        <v>0</v>
      </c>
      <c r="P28" s="125">
        <v>0</v>
      </c>
      <c r="Q28" s="125">
        <v>82.285911692074606</v>
      </c>
      <c r="R28" s="125">
        <v>13.0184260333943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354.34241832214701</v>
      </c>
      <c r="Y28" s="125">
        <v>0</v>
      </c>
      <c r="Z28" s="125">
        <v>0</v>
      </c>
      <c r="AA28" s="125">
        <v>511.33249142994703</v>
      </c>
      <c r="AB28" s="125">
        <v>0</v>
      </c>
      <c r="AC28" s="125">
        <v>0</v>
      </c>
      <c r="AD28" s="125">
        <v>28.070944123665001</v>
      </c>
      <c r="AE28" s="125">
        <v>0</v>
      </c>
      <c r="AF28" s="125">
        <v>0</v>
      </c>
      <c r="AG28" s="125">
        <v>0</v>
      </c>
      <c r="AH28" s="125">
        <v>0</v>
      </c>
      <c r="AI28" s="125">
        <v>0</v>
      </c>
      <c r="AJ28" s="125">
        <v>0</v>
      </c>
      <c r="AK28" s="125">
        <v>0</v>
      </c>
      <c r="AL28" s="125">
        <v>0</v>
      </c>
      <c r="AM28" s="125">
        <v>236.80902583286499</v>
      </c>
      <c r="AN28" s="125">
        <v>0</v>
      </c>
      <c r="AO28" s="125">
        <v>0</v>
      </c>
      <c r="AP28" s="125">
        <v>0</v>
      </c>
      <c r="AQ28" s="125">
        <v>0</v>
      </c>
      <c r="AR28" s="126">
        <v>0</v>
      </c>
    </row>
    <row r="29" spans="2:44" ht="12" customHeight="1" x14ac:dyDescent="0.25">
      <c r="B29" s="124" t="s">
        <v>40</v>
      </c>
      <c r="C29" s="125" t="s">
        <v>85</v>
      </c>
      <c r="D29" s="125" t="s">
        <v>41</v>
      </c>
      <c r="E29" s="125" t="s">
        <v>88</v>
      </c>
      <c r="F29" s="125" t="s">
        <v>25</v>
      </c>
      <c r="G29" s="125" t="s">
        <v>507</v>
      </c>
      <c r="H29" s="125" t="s">
        <v>71</v>
      </c>
      <c r="I29" s="125" t="s">
        <v>25</v>
      </c>
      <c r="J29" s="125">
        <v>645.01</v>
      </c>
      <c r="K29" s="125">
        <v>236.81</v>
      </c>
      <c r="L29" s="125">
        <v>0</v>
      </c>
      <c r="M29" s="125">
        <v>2.2306476717904702</v>
      </c>
      <c r="N29" s="125">
        <v>0</v>
      </c>
      <c r="O29" s="125">
        <v>0</v>
      </c>
      <c r="P29" s="125">
        <v>0</v>
      </c>
      <c r="Q29" s="125">
        <v>82.285911692074606</v>
      </c>
      <c r="R29" s="125">
        <v>13.0184260333943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212.605450993288</v>
      </c>
      <c r="Y29" s="125">
        <v>0</v>
      </c>
      <c r="Z29" s="125">
        <v>0</v>
      </c>
      <c r="AA29" s="125">
        <v>306.79954190506697</v>
      </c>
      <c r="AB29" s="125">
        <v>0</v>
      </c>
      <c r="AC29" s="125">
        <v>0</v>
      </c>
      <c r="AD29" s="125">
        <v>28.070944123665001</v>
      </c>
      <c r="AE29" s="125">
        <v>0</v>
      </c>
      <c r="AF29" s="125">
        <v>0</v>
      </c>
      <c r="AG29" s="125">
        <v>0</v>
      </c>
      <c r="AH29" s="125">
        <v>0</v>
      </c>
      <c r="AI29" s="125">
        <v>0</v>
      </c>
      <c r="AJ29" s="125">
        <v>0</v>
      </c>
      <c r="AK29" s="125">
        <v>0</v>
      </c>
      <c r="AL29" s="125">
        <v>0</v>
      </c>
      <c r="AM29" s="125">
        <v>236.80902583286499</v>
      </c>
      <c r="AN29" s="125">
        <v>0</v>
      </c>
      <c r="AO29" s="125">
        <v>0</v>
      </c>
      <c r="AP29" s="125">
        <v>0</v>
      </c>
      <c r="AQ29" s="125">
        <v>0</v>
      </c>
      <c r="AR29" s="126">
        <v>0</v>
      </c>
    </row>
    <row r="30" spans="2:44" ht="12" customHeight="1" x14ac:dyDescent="0.25">
      <c r="B30" s="124" t="s">
        <v>40</v>
      </c>
      <c r="C30" s="125" t="s">
        <v>85</v>
      </c>
      <c r="D30" s="125" t="s">
        <v>41</v>
      </c>
      <c r="E30" s="125" t="s">
        <v>88</v>
      </c>
      <c r="F30" s="125" t="s">
        <v>25</v>
      </c>
      <c r="G30" s="125" t="s">
        <v>38</v>
      </c>
      <c r="H30" s="125" t="s">
        <v>71</v>
      </c>
      <c r="I30" s="125" t="s">
        <v>25</v>
      </c>
      <c r="J30" s="125">
        <v>298.74</v>
      </c>
      <c r="K30" s="125">
        <v>236.81</v>
      </c>
      <c r="L30" s="125">
        <v>0</v>
      </c>
      <c r="M30" s="125">
        <v>2.2306476717904702</v>
      </c>
      <c r="N30" s="125">
        <v>0</v>
      </c>
      <c r="O30" s="125">
        <v>0</v>
      </c>
      <c r="P30" s="125">
        <v>0</v>
      </c>
      <c r="Q30" s="125">
        <v>82.285911692074606</v>
      </c>
      <c r="R30" s="125">
        <v>13.0184260333943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70.868483664429405</v>
      </c>
      <c r="Y30" s="125">
        <v>0</v>
      </c>
      <c r="Z30" s="125">
        <v>0</v>
      </c>
      <c r="AA30" s="125">
        <v>102.266435556524</v>
      </c>
      <c r="AB30" s="125">
        <v>0</v>
      </c>
      <c r="AC30" s="125">
        <v>0</v>
      </c>
      <c r="AD30" s="125">
        <v>28.070944123665001</v>
      </c>
      <c r="AE30" s="125">
        <v>0</v>
      </c>
      <c r="AF30" s="125">
        <v>0</v>
      </c>
      <c r="AG30" s="125">
        <v>0</v>
      </c>
      <c r="AH30" s="125">
        <v>0</v>
      </c>
      <c r="AI30" s="125">
        <v>0</v>
      </c>
      <c r="AJ30" s="125">
        <v>0</v>
      </c>
      <c r="AK30" s="125">
        <v>0</v>
      </c>
      <c r="AL30" s="125">
        <v>0</v>
      </c>
      <c r="AM30" s="125">
        <v>236.80902583286499</v>
      </c>
      <c r="AN30" s="125">
        <v>0</v>
      </c>
      <c r="AO30" s="125">
        <v>0</v>
      </c>
      <c r="AP30" s="125">
        <v>0</v>
      </c>
      <c r="AQ30" s="125">
        <v>0</v>
      </c>
      <c r="AR30" s="126">
        <v>0</v>
      </c>
    </row>
    <row r="31" spans="2:44" ht="12" customHeight="1" x14ac:dyDescent="0.25">
      <c r="B31" s="124" t="s">
        <v>40</v>
      </c>
      <c r="C31" s="125" t="s">
        <v>85</v>
      </c>
      <c r="D31" s="125" t="s">
        <v>41</v>
      </c>
      <c r="E31" s="125" t="s">
        <v>25</v>
      </c>
      <c r="F31" s="125" t="s">
        <v>25</v>
      </c>
      <c r="G31" s="125" t="s">
        <v>37</v>
      </c>
      <c r="H31" s="125" t="s">
        <v>71</v>
      </c>
      <c r="I31" s="125" t="s">
        <v>25</v>
      </c>
      <c r="J31" s="125">
        <v>991.28</v>
      </c>
      <c r="K31" s="125">
        <v>236.81</v>
      </c>
      <c r="L31" s="125">
        <v>0</v>
      </c>
      <c r="M31" s="125">
        <v>2.2306476717904702</v>
      </c>
      <c r="N31" s="125">
        <v>0</v>
      </c>
      <c r="O31" s="125">
        <v>0</v>
      </c>
      <c r="P31" s="125">
        <v>0</v>
      </c>
      <c r="Q31" s="125">
        <v>82.285911692074606</v>
      </c>
      <c r="R31" s="125">
        <v>13.0184260333943</v>
      </c>
      <c r="S31" s="125">
        <v>0</v>
      </c>
      <c r="T31" s="125">
        <v>0</v>
      </c>
      <c r="U31" s="125">
        <v>0</v>
      </c>
      <c r="V31" s="125">
        <v>0</v>
      </c>
      <c r="W31" s="125">
        <v>0</v>
      </c>
      <c r="X31" s="125">
        <v>354.34241832214701</v>
      </c>
      <c r="Y31" s="125">
        <v>0</v>
      </c>
      <c r="Z31" s="125">
        <v>0</v>
      </c>
      <c r="AA31" s="125">
        <v>511.33249142994703</v>
      </c>
      <c r="AB31" s="125">
        <v>0</v>
      </c>
      <c r="AC31" s="125">
        <v>0</v>
      </c>
      <c r="AD31" s="125">
        <v>28.070944123665001</v>
      </c>
      <c r="AE31" s="125">
        <v>0</v>
      </c>
      <c r="AF31" s="125">
        <v>0</v>
      </c>
      <c r="AG31" s="125">
        <v>0</v>
      </c>
      <c r="AH31" s="125">
        <v>0</v>
      </c>
      <c r="AI31" s="125">
        <v>0</v>
      </c>
      <c r="AJ31" s="125">
        <v>0</v>
      </c>
      <c r="AK31" s="125">
        <v>0</v>
      </c>
      <c r="AL31" s="125">
        <v>0</v>
      </c>
      <c r="AM31" s="125">
        <v>236.80902583286499</v>
      </c>
      <c r="AN31" s="125">
        <v>0</v>
      </c>
      <c r="AO31" s="125">
        <v>0</v>
      </c>
      <c r="AP31" s="125">
        <v>0</v>
      </c>
      <c r="AQ31" s="125">
        <v>0</v>
      </c>
      <c r="AR31" s="126">
        <v>0</v>
      </c>
    </row>
    <row r="32" spans="2:44" ht="12" customHeight="1" x14ac:dyDescent="0.25">
      <c r="B32" s="124" t="s">
        <v>40</v>
      </c>
      <c r="C32" s="125" t="s">
        <v>85</v>
      </c>
      <c r="D32" s="125" t="s">
        <v>41</v>
      </c>
      <c r="E32" s="125" t="s">
        <v>25</v>
      </c>
      <c r="F32" s="125" t="s">
        <v>25</v>
      </c>
      <c r="G32" s="125" t="s">
        <v>507</v>
      </c>
      <c r="H32" s="125" t="s">
        <v>71</v>
      </c>
      <c r="I32" s="125" t="s">
        <v>25</v>
      </c>
      <c r="J32" s="125">
        <v>645.01</v>
      </c>
      <c r="K32" s="125">
        <v>236.81</v>
      </c>
      <c r="L32" s="125">
        <v>0</v>
      </c>
      <c r="M32" s="125">
        <v>2.2306476717904702</v>
      </c>
      <c r="N32" s="125">
        <v>0</v>
      </c>
      <c r="O32" s="125">
        <v>0</v>
      </c>
      <c r="P32" s="125">
        <v>0</v>
      </c>
      <c r="Q32" s="125">
        <v>82.285911692074606</v>
      </c>
      <c r="R32" s="125">
        <v>13.0184260333943</v>
      </c>
      <c r="S32" s="125">
        <v>0</v>
      </c>
      <c r="T32" s="125">
        <v>0</v>
      </c>
      <c r="U32" s="125">
        <v>0</v>
      </c>
      <c r="V32" s="125">
        <v>0</v>
      </c>
      <c r="W32" s="125">
        <v>0</v>
      </c>
      <c r="X32" s="125">
        <v>212.605450993288</v>
      </c>
      <c r="Y32" s="125">
        <v>0</v>
      </c>
      <c r="Z32" s="125">
        <v>0</v>
      </c>
      <c r="AA32" s="125">
        <v>306.79954190506697</v>
      </c>
      <c r="AB32" s="125">
        <v>0</v>
      </c>
      <c r="AC32" s="125">
        <v>0</v>
      </c>
      <c r="AD32" s="125">
        <v>28.070944123665001</v>
      </c>
      <c r="AE32" s="125">
        <v>0</v>
      </c>
      <c r="AF32" s="125">
        <v>0</v>
      </c>
      <c r="AG32" s="125">
        <v>0</v>
      </c>
      <c r="AH32" s="125">
        <v>0</v>
      </c>
      <c r="AI32" s="125">
        <v>0</v>
      </c>
      <c r="AJ32" s="125">
        <v>0</v>
      </c>
      <c r="AK32" s="125">
        <v>0</v>
      </c>
      <c r="AL32" s="125">
        <v>0</v>
      </c>
      <c r="AM32" s="125">
        <v>236.80902583286499</v>
      </c>
      <c r="AN32" s="125">
        <v>0</v>
      </c>
      <c r="AO32" s="125">
        <v>0</v>
      </c>
      <c r="AP32" s="125">
        <v>0</v>
      </c>
      <c r="AQ32" s="125">
        <v>0</v>
      </c>
      <c r="AR32" s="126">
        <v>0</v>
      </c>
    </row>
    <row r="33" spans="2:44" ht="12" customHeight="1" x14ac:dyDescent="0.25">
      <c r="B33" s="124" t="s">
        <v>40</v>
      </c>
      <c r="C33" s="125" t="s">
        <v>85</v>
      </c>
      <c r="D33" s="125" t="s">
        <v>41</v>
      </c>
      <c r="E33" s="125" t="s">
        <v>25</v>
      </c>
      <c r="F33" s="125" t="s">
        <v>25</v>
      </c>
      <c r="G33" s="125" t="s">
        <v>38</v>
      </c>
      <c r="H33" s="125" t="s">
        <v>71</v>
      </c>
      <c r="I33" s="125" t="s">
        <v>25</v>
      </c>
      <c r="J33" s="125">
        <v>298.74</v>
      </c>
      <c r="K33" s="125">
        <v>236.81</v>
      </c>
      <c r="L33" s="125">
        <v>0</v>
      </c>
      <c r="M33" s="125">
        <v>2.2306476717904702</v>
      </c>
      <c r="N33" s="125">
        <v>0</v>
      </c>
      <c r="O33" s="125">
        <v>0</v>
      </c>
      <c r="P33" s="125">
        <v>0</v>
      </c>
      <c r="Q33" s="125">
        <v>82.285911692074606</v>
      </c>
      <c r="R33" s="125">
        <v>13.0184260333943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70.868483664429405</v>
      </c>
      <c r="Y33" s="125">
        <v>0</v>
      </c>
      <c r="Z33" s="125">
        <v>0</v>
      </c>
      <c r="AA33" s="125">
        <v>102.266435556524</v>
      </c>
      <c r="AB33" s="125">
        <v>0</v>
      </c>
      <c r="AC33" s="125">
        <v>0</v>
      </c>
      <c r="AD33" s="125">
        <v>28.070944123665001</v>
      </c>
      <c r="AE33" s="125">
        <v>0</v>
      </c>
      <c r="AF33" s="125">
        <v>0</v>
      </c>
      <c r="AG33" s="125">
        <v>0</v>
      </c>
      <c r="AH33" s="125">
        <v>0</v>
      </c>
      <c r="AI33" s="125">
        <v>0</v>
      </c>
      <c r="AJ33" s="125">
        <v>0</v>
      </c>
      <c r="AK33" s="125">
        <v>0</v>
      </c>
      <c r="AL33" s="125">
        <v>0</v>
      </c>
      <c r="AM33" s="125">
        <v>236.80902583286499</v>
      </c>
      <c r="AN33" s="125">
        <v>0</v>
      </c>
      <c r="AO33" s="125">
        <v>0</v>
      </c>
      <c r="AP33" s="125">
        <v>0</v>
      </c>
      <c r="AQ33" s="125">
        <v>0</v>
      </c>
      <c r="AR33" s="126">
        <v>0</v>
      </c>
    </row>
    <row r="34" spans="2:44" ht="12" customHeight="1" x14ac:dyDescent="0.25">
      <c r="B34" s="124" t="s">
        <v>40</v>
      </c>
      <c r="C34" s="125" t="s">
        <v>85</v>
      </c>
      <c r="D34" s="125" t="s">
        <v>41</v>
      </c>
      <c r="E34" s="125" t="s">
        <v>89</v>
      </c>
      <c r="F34" s="125" t="s">
        <v>25</v>
      </c>
      <c r="G34" s="125" t="s">
        <v>37</v>
      </c>
      <c r="H34" s="125" t="s">
        <v>71</v>
      </c>
      <c r="I34" s="125" t="s">
        <v>25</v>
      </c>
      <c r="J34" s="125">
        <v>970.19</v>
      </c>
      <c r="K34" s="125">
        <v>231.77</v>
      </c>
      <c r="L34" s="125">
        <v>0</v>
      </c>
      <c r="M34" s="125">
        <v>2.1831870830289701</v>
      </c>
      <c r="N34" s="125">
        <v>0</v>
      </c>
      <c r="O34" s="125">
        <v>0</v>
      </c>
      <c r="P34" s="125">
        <v>0</v>
      </c>
      <c r="Q34" s="125">
        <v>80.535147613519797</v>
      </c>
      <c r="R34" s="125">
        <v>12.7414382454497</v>
      </c>
      <c r="S34" s="125">
        <v>0</v>
      </c>
      <c r="T34" s="125">
        <v>0</v>
      </c>
      <c r="U34" s="125">
        <v>0</v>
      </c>
      <c r="V34" s="125">
        <v>0</v>
      </c>
      <c r="W34" s="125">
        <v>0</v>
      </c>
      <c r="X34" s="125">
        <v>346.803217932314</v>
      </c>
      <c r="Y34" s="125">
        <v>0</v>
      </c>
      <c r="Z34" s="125">
        <v>0</v>
      </c>
      <c r="AA34" s="125">
        <v>500.45307671867101</v>
      </c>
      <c r="AB34" s="125">
        <v>0</v>
      </c>
      <c r="AC34" s="125">
        <v>0</v>
      </c>
      <c r="AD34" s="125">
        <v>27.4736899933743</v>
      </c>
      <c r="AE34" s="125">
        <v>0</v>
      </c>
      <c r="AF34" s="125">
        <v>0</v>
      </c>
      <c r="AG34" s="125">
        <v>0</v>
      </c>
      <c r="AH34" s="125">
        <v>0</v>
      </c>
      <c r="AI34" s="125">
        <v>0</v>
      </c>
      <c r="AJ34" s="125">
        <v>0</v>
      </c>
      <c r="AK34" s="125">
        <v>0</v>
      </c>
      <c r="AL34" s="125">
        <v>0</v>
      </c>
      <c r="AM34" s="125">
        <v>231.770535921527</v>
      </c>
      <c r="AN34" s="125">
        <v>0</v>
      </c>
      <c r="AO34" s="125">
        <v>0</v>
      </c>
      <c r="AP34" s="125">
        <v>0</v>
      </c>
      <c r="AQ34" s="125">
        <v>0</v>
      </c>
      <c r="AR34" s="126">
        <v>0</v>
      </c>
    </row>
    <row r="35" spans="2:44" ht="12" customHeight="1" x14ac:dyDescent="0.25">
      <c r="B35" s="124" t="s">
        <v>40</v>
      </c>
      <c r="C35" s="125" t="s">
        <v>85</v>
      </c>
      <c r="D35" s="125" t="s">
        <v>41</v>
      </c>
      <c r="E35" s="125" t="s">
        <v>89</v>
      </c>
      <c r="F35" s="125" t="s">
        <v>25</v>
      </c>
      <c r="G35" s="125" t="s">
        <v>507</v>
      </c>
      <c r="H35" s="125" t="s">
        <v>71</v>
      </c>
      <c r="I35" s="125" t="s">
        <v>25</v>
      </c>
      <c r="J35" s="125">
        <v>631.29</v>
      </c>
      <c r="K35" s="125">
        <v>231.77</v>
      </c>
      <c r="L35" s="125">
        <v>0</v>
      </c>
      <c r="M35" s="125">
        <v>2.1831870830289701</v>
      </c>
      <c r="N35" s="125">
        <v>0</v>
      </c>
      <c r="O35" s="125">
        <v>0</v>
      </c>
      <c r="P35" s="125">
        <v>0</v>
      </c>
      <c r="Q35" s="125">
        <v>80.535147613519797</v>
      </c>
      <c r="R35" s="125">
        <v>12.7414382454497</v>
      </c>
      <c r="S35" s="125">
        <v>0</v>
      </c>
      <c r="T35" s="125">
        <v>0</v>
      </c>
      <c r="U35" s="125">
        <v>0</v>
      </c>
      <c r="V35" s="125">
        <v>0</v>
      </c>
      <c r="W35" s="125">
        <v>0</v>
      </c>
      <c r="X35" s="125">
        <v>208.081930759389</v>
      </c>
      <c r="Y35" s="125">
        <v>0</v>
      </c>
      <c r="Z35" s="125">
        <v>0</v>
      </c>
      <c r="AA35" s="125">
        <v>300.27189207729998</v>
      </c>
      <c r="AB35" s="125">
        <v>0</v>
      </c>
      <c r="AC35" s="125">
        <v>0</v>
      </c>
      <c r="AD35" s="125">
        <v>27.4736899933743</v>
      </c>
      <c r="AE35" s="125">
        <v>0</v>
      </c>
      <c r="AF35" s="125">
        <v>0</v>
      </c>
      <c r="AG35" s="125">
        <v>0</v>
      </c>
      <c r="AH35" s="125">
        <v>0</v>
      </c>
      <c r="AI35" s="125">
        <v>0</v>
      </c>
      <c r="AJ35" s="125">
        <v>0</v>
      </c>
      <c r="AK35" s="125">
        <v>0</v>
      </c>
      <c r="AL35" s="125">
        <v>0</v>
      </c>
      <c r="AM35" s="125">
        <v>231.770535921527</v>
      </c>
      <c r="AN35" s="125">
        <v>0</v>
      </c>
      <c r="AO35" s="125">
        <v>0</v>
      </c>
      <c r="AP35" s="125">
        <v>0</v>
      </c>
      <c r="AQ35" s="125">
        <v>0</v>
      </c>
      <c r="AR35" s="126">
        <v>0</v>
      </c>
    </row>
    <row r="36" spans="2:44" ht="12" customHeight="1" x14ac:dyDescent="0.25">
      <c r="B36" s="124" t="s">
        <v>40</v>
      </c>
      <c r="C36" s="125" t="s">
        <v>85</v>
      </c>
      <c r="D36" s="125" t="s">
        <v>41</v>
      </c>
      <c r="E36" s="125" t="s">
        <v>89</v>
      </c>
      <c r="F36" s="125" t="s">
        <v>25</v>
      </c>
      <c r="G36" s="125" t="s">
        <v>38</v>
      </c>
      <c r="H36" s="125" t="s">
        <v>71</v>
      </c>
      <c r="I36" s="125" t="s">
        <v>25</v>
      </c>
      <c r="J36" s="125">
        <v>292.38</v>
      </c>
      <c r="K36" s="125">
        <v>231.77</v>
      </c>
      <c r="L36" s="125">
        <v>0</v>
      </c>
      <c r="M36" s="125">
        <v>2.1831870830289701</v>
      </c>
      <c r="N36" s="125">
        <v>0</v>
      </c>
      <c r="O36" s="125">
        <v>0</v>
      </c>
      <c r="P36" s="125">
        <v>0</v>
      </c>
      <c r="Q36" s="125">
        <v>80.535147613519797</v>
      </c>
      <c r="R36" s="125">
        <v>12.7414382454497</v>
      </c>
      <c r="S36" s="125">
        <v>0</v>
      </c>
      <c r="T36" s="125">
        <v>0</v>
      </c>
      <c r="U36" s="125">
        <v>0</v>
      </c>
      <c r="V36" s="125">
        <v>0</v>
      </c>
      <c r="W36" s="125">
        <v>0</v>
      </c>
      <c r="X36" s="125">
        <v>69.3606435864628</v>
      </c>
      <c r="Y36" s="125">
        <v>0</v>
      </c>
      <c r="Z36" s="125">
        <v>0</v>
      </c>
      <c r="AA36" s="125">
        <v>100.090553948939</v>
      </c>
      <c r="AB36" s="125">
        <v>0</v>
      </c>
      <c r="AC36" s="125">
        <v>0</v>
      </c>
      <c r="AD36" s="125">
        <v>27.4736899933743</v>
      </c>
      <c r="AE36" s="125">
        <v>0</v>
      </c>
      <c r="AF36" s="125">
        <v>0</v>
      </c>
      <c r="AG36" s="125">
        <v>0</v>
      </c>
      <c r="AH36" s="125">
        <v>0</v>
      </c>
      <c r="AI36" s="125">
        <v>0</v>
      </c>
      <c r="AJ36" s="125">
        <v>0</v>
      </c>
      <c r="AK36" s="125">
        <v>0</v>
      </c>
      <c r="AL36" s="125">
        <v>0</v>
      </c>
      <c r="AM36" s="125">
        <v>231.770535921527</v>
      </c>
      <c r="AN36" s="125">
        <v>0</v>
      </c>
      <c r="AO36" s="125">
        <v>0</v>
      </c>
      <c r="AP36" s="125">
        <v>0</v>
      </c>
      <c r="AQ36" s="125">
        <v>0</v>
      </c>
      <c r="AR36" s="126">
        <v>0</v>
      </c>
    </row>
    <row r="37" spans="2:44" ht="12" customHeight="1" x14ac:dyDescent="0.25">
      <c r="B37" s="124" t="s">
        <v>40</v>
      </c>
      <c r="C37" s="125" t="s">
        <v>23</v>
      </c>
      <c r="D37" s="125" t="s">
        <v>41</v>
      </c>
      <c r="E37" s="125" t="s">
        <v>88</v>
      </c>
      <c r="F37" s="125" t="s">
        <v>25</v>
      </c>
      <c r="G37" s="125" t="s">
        <v>25</v>
      </c>
      <c r="H37" s="125" t="s">
        <v>71</v>
      </c>
      <c r="I37" s="125" t="s">
        <v>25</v>
      </c>
      <c r="J37" s="125">
        <v>458.59</v>
      </c>
      <c r="K37" s="125">
        <v>236.81</v>
      </c>
      <c r="L37" s="125">
        <v>0</v>
      </c>
      <c r="M37" s="125">
        <v>2.2306476717904702</v>
      </c>
      <c r="N37" s="125">
        <v>0</v>
      </c>
      <c r="O37" s="125">
        <v>0</v>
      </c>
      <c r="P37" s="125">
        <v>0</v>
      </c>
      <c r="Q37" s="125">
        <v>82.285911692074606</v>
      </c>
      <c r="R37" s="125">
        <v>13.0184260333943</v>
      </c>
      <c r="S37" s="125">
        <v>0</v>
      </c>
      <c r="T37" s="125">
        <v>0</v>
      </c>
      <c r="U37" s="125">
        <v>0</v>
      </c>
      <c r="V37" s="125">
        <v>0</v>
      </c>
      <c r="W37" s="125">
        <v>0</v>
      </c>
      <c r="X37" s="125">
        <v>136.31335888515201</v>
      </c>
      <c r="Y37" s="125">
        <v>0</v>
      </c>
      <c r="Z37" s="125">
        <v>0</v>
      </c>
      <c r="AA37" s="125">
        <v>196.666282540878</v>
      </c>
      <c r="AB37" s="125">
        <v>0</v>
      </c>
      <c r="AC37" s="125">
        <v>0</v>
      </c>
      <c r="AD37" s="125">
        <v>28.070944123665001</v>
      </c>
      <c r="AE37" s="125">
        <v>0</v>
      </c>
      <c r="AF37" s="125">
        <v>0</v>
      </c>
      <c r="AG37" s="125">
        <v>0</v>
      </c>
      <c r="AH37" s="125">
        <v>0</v>
      </c>
      <c r="AI37" s="125">
        <v>0</v>
      </c>
      <c r="AJ37" s="125">
        <v>0</v>
      </c>
      <c r="AK37" s="125">
        <v>0</v>
      </c>
      <c r="AL37" s="125">
        <v>0</v>
      </c>
      <c r="AM37" s="125">
        <v>236.80902583286499</v>
      </c>
      <c r="AN37" s="125">
        <v>0</v>
      </c>
      <c r="AO37" s="125">
        <v>0</v>
      </c>
      <c r="AP37" s="125">
        <v>0</v>
      </c>
      <c r="AQ37" s="125">
        <v>0</v>
      </c>
      <c r="AR37" s="126">
        <v>0</v>
      </c>
    </row>
    <row r="38" spans="2:44" ht="12" customHeight="1" x14ac:dyDescent="0.25">
      <c r="B38" s="124" t="s">
        <v>40</v>
      </c>
      <c r="C38" s="125" t="s">
        <v>23</v>
      </c>
      <c r="D38" s="125" t="s">
        <v>41</v>
      </c>
      <c r="E38" s="125" t="s">
        <v>25</v>
      </c>
      <c r="F38" s="125" t="s">
        <v>25</v>
      </c>
      <c r="G38" s="125" t="s">
        <v>25</v>
      </c>
      <c r="H38" s="125" t="s">
        <v>71</v>
      </c>
      <c r="I38" s="125" t="s">
        <v>25</v>
      </c>
      <c r="J38" s="125">
        <v>458.59</v>
      </c>
      <c r="K38" s="125">
        <v>236.81</v>
      </c>
      <c r="L38" s="125">
        <v>0</v>
      </c>
      <c r="M38" s="125">
        <v>2.2306476717904702</v>
      </c>
      <c r="N38" s="125">
        <v>0</v>
      </c>
      <c r="O38" s="125">
        <v>0</v>
      </c>
      <c r="P38" s="125">
        <v>0</v>
      </c>
      <c r="Q38" s="125">
        <v>82.285911692074606</v>
      </c>
      <c r="R38" s="125">
        <v>13.0184260333943</v>
      </c>
      <c r="S38" s="125">
        <v>0</v>
      </c>
      <c r="T38" s="125">
        <v>0</v>
      </c>
      <c r="U38" s="125">
        <v>0</v>
      </c>
      <c r="V38" s="125">
        <v>0</v>
      </c>
      <c r="W38" s="125">
        <v>0</v>
      </c>
      <c r="X38" s="125">
        <v>136.31335888515201</v>
      </c>
      <c r="Y38" s="125">
        <v>0</v>
      </c>
      <c r="Z38" s="125">
        <v>0</v>
      </c>
      <c r="AA38" s="125">
        <v>196.666282540878</v>
      </c>
      <c r="AB38" s="125">
        <v>0</v>
      </c>
      <c r="AC38" s="125">
        <v>0</v>
      </c>
      <c r="AD38" s="125">
        <v>28.070944123665001</v>
      </c>
      <c r="AE38" s="125">
        <v>0</v>
      </c>
      <c r="AF38" s="125">
        <v>0</v>
      </c>
      <c r="AG38" s="125">
        <v>0</v>
      </c>
      <c r="AH38" s="125">
        <v>0</v>
      </c>
      <c r="AI38" s="125">
        <v>0</v>
      </c>
      <c r="AJ38" s="125">
        <v>0</v>
      </c>
      <c r="AK38" s="125">
        <v>0</v>
      </c>
      <c r="AL38" s="125">
        <v>0</v>
      </c>
      <c r="AM38" s="125">
        <v>236.80902583286499</v>
      </c>
      <c r="AN38" s="125">
        <v>0</v>
      </c>
      <c r="AO38" s="125">
        <v>0</v>
      </c>
      <c r="AP38" s="125">
        <v>0</v>
      </c>
      <c r="AQ38" s="125">
        <v>0</v>
      </c>
      <c r="AR38" s="126">
        <v>0</v>
      </c>
    </row>
    <row r="39" spans="2:44" ht="12" customHeight="1" x14ac:dyDescent="0.25">
      <c r="B39" s="124" t="s">
        <v>40</v>
      </c>
      <c r="C39" s="125" t="s">
        <v>23</v>
      </c>
      <c r="D39" s="125" t="s">
        <v>41</v>
      </c>
      <c r="E39" s="125" t="s">
        <v>89</v>
      </c>
      <c r="F39" s="125" t="s">
        <v>25</v>
      </c>
      <c r="G39" s="125" t="s">
        <v>25</v>
      </c>
      <c r="H39" s="125" t="s">
        <v>71</v>
      </c>
      <c r="I39" s="125" t="s">
        <v>25</v>
      </c>
      <c r="J39" s="125">
        <v>448.83</v>
      </c>
      <c r="K39" s="125">
        <v>231.77</v>
      </c>
      <c r="L39" s="125">
        <v>0</v>
      </c>
      <c r="M39" s="125">
        <v>2.1831870830289701</v>
      </c>
      <c r="N39" s="125">
        <v>0</v>
      </c>
      <c r="O39" s="125">
        <v>0</v>
      </c>
      <c r="P39" s="125">
        <v>0</v>
      </c>
      <c r="Q39" s="125">
        <v>80.535147613519797</v>
      </c>
      <c r="R39" s="125">
        <v>12.7414382454497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133.41307465355399</v>
      </c>
      <c r="Y39" s="125">
        <v>0</v>
      </c>
      <c r="Z39" s="125">
        <v>0</v>
      </c>
      <c r="AA39" s="125">
        <v>192.48189355064699</v>
      </c>
      <c r="AB39" s="125">
        <v>0</v>
      </c>
      <c r="AC39" s="125">
        <v>0</v>
      </c>
      <c r="AD39" s="125">
        <v>27.4736899933743</v>
      </c>
      <c r="AE39" s="125">
        <v>0</v>
      </c>
      <c r="AF39" s="125">
        <v>0</v>
      </c>
      <c r="AG39" s="125">
        <v>0</v>
      </c>
      <c r="AH39" s="125">
        <v>0</v>
      </c>
      <c r="AI39" s="125">
        <v>0</v>
      </c>
      <c r="AJ39" s="125">
        <v>0</v>
      </c>
      <c r="AK39" s="125">
        <v>0</v>
      </c>
      <c r="AL39" s="125">
        <v>0</v>
      </c>
      <c r="AM39" s="125">
        <v>231.770535921527</v>
      </c>
      <c r="AN39" s="125">
        <v>0</v>
      </c>
      <c r="AO39" s="125">
        <v>0</v>
      </c>
      <c r="AP39" s="125">
        <v>0</v>
      </c>
      <c r="AQ39" s="125">
        <v>0</v>
      </c>
      <c r="AR39" s="126">
        <v>0</v>
      </c>
    </row>
    <row r="40" spans="2:44" ht="12" customHeight="1" x14ac:dyDescent="0.25">
      <c r="B40" s="124" t="s">
        <v>40</v>
      </c>
      <c r="C40" s="125" t="s">
        <v>87</v>
      </c>
      <c r="D40" s="125" t="s">
        <v>41</v>
      </c>
      <c r="E40" s="125" t="s">
        <v>88</v>
      </c>
      <c r="F40" s="125" t="s">
        <v>25</v>
      </c>
      <c r="G40" s="125" t="s">
        <v>25</v>
      </c>
      <c r="H40" s="125" t="s">
        <v>71</v>
      </c>
      <c r="I40" s="125" t="s">
        <v>25</v>
      </c>
      <c r="J40" s="125">
        <v>458.59</v>
      </c>
      <c r="K40" s="125">
        <v>236.81</v>
      </c>
      <c r="L40" s="125">
        <v>0</v>
      </c>
      <c r="M40" s="125">
        <v>2.2306476717904702</v>
      </c>
      <c r="N40" s="125">
        <v>0</v>
      </c>
      <c r="O40" s="125">
        <v>0</v>
      </c>
      <c r="P40" s="125">
        <v>0</v>
      </c>
      <c r="Q40" s="125">
        <v>82.285911692074606</v>
      </c>
      <c r="R40" s="125">
        <v>13.0184260333943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136.31335888515201</v>
      </c>
      <c r="Y40" s="125">
        <v>0</v>
      </c>
      <c r="Z40" s="125">
        <v>0</v>
      </c>
      <c r="AA40" s="125">
        <v>196.666282540878</v>
      </c>
      <c r="AB40" s="125">
        <v>0</v>
      </c>
      <c r="AC40" s="125">
        <v>0</v>
      </c>
      <c r="AD40" s="125">
        <v>28.070944123665001</v>
      </c>
      <c r="AE40" s="125">
        <v>0</v>
      </c>
      <c r="AF40" s="125">
        <v>0</v>
      </c>
      <c r="AG40" s="125">
        <v>0</v>
      </c>
      <c r="AH40" s="125">
        <v>0</v>
      </c>
      <c r="AI40" s="125">
        <v>0</v>
      </c>
      <c r="AJ40" s="125">
        <v>0</v>
      </c>
      <c r="AK40" s="125">
        <v>0</v>
      </c>
      <c r="AL40" s="125">
        <v>0</v>
      </c>
      <c r="AM40" s="125">
        <v>236.80902583286499</v>
      </c>
      <c r="AN40" s="125">
        <v>0</v>
      </c>
      <c r="AO40" s="125">
        <v>0</v>
      </c>
      <c r="AP40" s="125">
        <v>0</v>
      </c>
      <c r="AQ40" s="125">
        <v>0</v>
      </c>
      <c r="AR40" s="126">
        <v>0</v>
      </c>
    </row>
    <row r="41" spans="2:44" ht="12" customHeight="1" x14ac:dyDescent="0.25">
      <c r="B41" s="124" t="s">
        <v>40</v>
      </c>
      <c r="C41" s="125" t="s">
        <v>87</v>
      </c>
      <c r="D41" s="125" t="s">
        <v>41</v>
      </c>
      <c r="E41" s="125" t="s">
        <v>25</v>
      </c>
      <c r="F41" s="125" t="s">
        <v>25</v>
      </c>
      <c r="G41" s="125" t="s">
        <v>25</v>
      </c>
      <c r="H41" s="125" t="s">
        <v>71</v>
      </c>
      <c r="I41" s="125" t="s">
        <v>25</v>
      </c>
      <c r="J41" s="125">
        <v>458.59</v>
      </c>
      <c r="K41" s="125">
        <v>236.81</v>
      </c>
      <c r="L41" s="125">
        <v>0</v>
      </c>
      <c r="M41" s="125">
        <v>2.2306476717904702</v>
      </c>
      <c r="N41" s="125">
        <v>0</v>
      </c>
      <c r="O41" s="125">
        <v>0</v>
      </c>
      <c r="P41" s="125">
        <v>0</v>
      </c>
      <c r="Q41" s="125">
        <v>82.285911692074606</v>
      </c>
      <c r="R41" s="125">
        <v>13.0184260333943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136.31335888515201</v>
      </c>
      <c r="Y41" s="125">
        <v>0</v>
      </c>
      <c r="Z41" s="125">
        <v>0</v>
      </c>
      <c r="AA41" s="125">
        <v>196.666282540878</v>
      </c>
      <c r="AB41" s="125">
        <v>0</v>
      </c>
      <c r="AC41" s="125">
        <v>0</v>
      </c>
      <c r="AD41" s="125">
        <v>28.070944123665001</v>
      </c>
      <c r="AE41" s="125">
        <v>0</v>
      </c>
      <c r="AF41" s="125">
        <v>0</v>
      </c>
      <c r="AG41" s="125">
        <v>0</v>
      </c>
      <c r="AH41" s="125">
        <v>0</v>
      </c>
      <c r="AI41" s="125">
        <v>0</v>
      </c>
      <c r="AJ41" s="125">
        <v>0</v>
      </c>
      <c r="AK41" s="125">
        <v>0</v>
      </c>
      <c r="AL41" s="125">
        <v>0</v>
      </c>
      <c r="AM41" s="125">
        <v>236.80902583286499</v>
      </c>
      <c r="AN41" s="125">
        <v>0</v>
      </c>
      <c r="AO41" s="125">
        <v>0</v>
      </c>
      <c r="AP41" s="125">
        <v>0</v>
      </c>
      <c r="AQ41" s="125">
        <v>0</v>
      </c>
      <c r="AR41" s="126">
        <v>0</v>
      </c>
    </row>
    <row r="42" spans="2:44" ht="12" customHeight="1" x14ac:dyDescent="0.25">
      <c r="B42" s="124" t="s">
        <v>40</v>
      </c>
      <c r="C42" s="125" t="s">
        <v>87</v>
      </c>
      <c r="D42" s="125" t="s">
        <v>41</v>
      </c>
      <c r="E42" s="125" t="s">
        <v>89</v>
      </c>
      <c r="F42" s="125" t="s">
        <v>25</v>
      </c>
      <c r="G42" s="125" t="s">
        <v>25</v>
      </c>
      <c r="H42" s="125" t="s">
        <v>71</v>
      </c>
      <c r="I42" s="125" t="s">
        <v>25</v>
      </c>
      <c r="J42" s="125">
        <v>448.83</v>
      </c>
      <c r="K42" s="125">
        <v>231.77</v>
      </c>
      <c r="L42" s="125">
        <v>0</v>
      </c>
      <c r="M42" s="125">
        <v>2.1831870830289701</v>
      </c>
      <c r="N42" s="125">
        <v>0</v>
      </c>
      <c r="O42" s="125">
        <v>0</v>
      </c>
      <c r="P42" s="125">
        <v>0</v>
      </c>
      <c r="Q42" s="125">
        <v>80.535147613519797</v>
      </c>
      <c r="R42" s="125">
        <v>12.7414382454497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133.41307465355399</v>
      </c>
      <c r="Y42" s="125">
        <v>0</v>
      </c>
      <c r="Z42" s="125">
        <v>0</v>
      </c>
      <c r="AA42" s="125">
        <v>192.48189355064699</v>
      </c>
      <c r="AB42" s="125">
        <v>0</v>
      </c>
      <c r="AC42" s="125">
        <v>0</v>
      </c>
      <c r="AD42" s="125">
        <v>27.4736899933743</v>
      </c>
      <c r="AE42" s="125">
        <v>0</v>
      </c>
      <c r="AF42" s="125">
        <v>0</v>
      </c>
      <c r="AG42" s="125">
        <v>0</v>
      </c>
      <c r="AH42" s="125">
        <v>0</v>
      </c>
      <c r="AI42" s="125">
        <v>0</v>
      </c>
      <c r="AJ42" s="125">
        <v>0</v>
      </c>
      <c r="AK42" s="125">
        <v>0</v>
      </c>
      <c r="AL42" s="125">
        <v>0</v>
      </c>
      <c r="AM42" s="125">
        <v>231.770535921527</v>
      </c>
      <c r="AN42" s="125">
        <v>0</v>
      </c>
      <c r="AO42" s="125">
        <v>0</v>
      </c>
      <c r="AP42" s="125">
        <v>0</v>
      </c>
      <c r="AQ42" s="125">
        <v>0</v>
      </c>
      <c r="AR42" s="126">
        <v>0</v>
      </c>
    </row>
    <row r="43" spans="2:44" ht="12" customHeight="1" x14ac:dyDescent="0.25">
      <c r="B43" s="124" t="s">
        <v>33</v>
      </c>
      <c r="C43" s="125" t="s">
        <v>85</v>
      </c>
      <c r="D43" s="125" t="s">
        <v>25</v>
      </c>
      <c r="E43" s="125" t="s">
        <v>25</v>
      </c>
      <c r="F43" s="125" t="s">
        <v>25</v>
      </c>
      <c r="G43" s="125" t="s">
        <v>37</v>
      </c>
      <c r="H43" s="125" t="s">
        <v>71</v>
      </c>
      <c r="I43" s="125" t="s">
        <v>25</v>
      </c>
      <c r="J43" s="125">
        <v>1196.26</v>
      </c>
      <c r="K43" s="125">
        <v>251.92</v>
      </c>
      <c r="L43" s="125">
        <v>0</v>
      </c>
      <c r="M43" s="125">
        <v>2.3730294380749699</v>
      </c>
      <c r="N43" s="125">
        <v>0</v>
      </c>
      <c r="O43" s="125">
        <v>0</v>
      </c>
      <c r="P43" s="125">
        <v>0</v>
      </c>
      <c r="Q43" s="125">
        <v>87.538203927738905</v>
      </c>
      <c r="R43" s="125">
        <v>13.849389397228</v>
      </c>
      <c r="S43" s="125">
        <v>0</v>
      </c>
      <c r="T43" s="125">
        <v>0</v>
      </c>
      <c r="U43" s="125">
        <v>0</v>
      </c>
      <c r="V43" s="125">
        <v>0</v>
      </c>
      <c r="W43" s="125">
        <v>0</v>
      </c>
      <c r="X43" s="125">
        <v>434.978525892996</v>
      </c>
      <c r="Y43" s="125">
        <v>0</v>
      </c>
      <c r="Z43" s="125">
        <v>0</v>
      </c>
      <c r="AA43" s="125">
        <v>627.65859878524395</v>
      </c>
      <c r="AB43" s="125">
        <v>0</v>
      </c>
      <c r="AC43" s="125">
        <v>0</v>
      </c>
      <c r="AD43" s="125">
        <v>29.862706514537201</v>
      </c>
      <c r="AE43" s="125">
        <v>0</v>
      </c>
      <c r="AF43" s="125">
        <v>0</v>
      </c>
      <c r="AG43" s="125">
        <v>0</v>
      </c>
      <c r="AH43" s="125">
        <v>0</v>
      </c>
      <c r="AI43" s="125">
        <v>0</v>
      </c>
      <c r="AJ43" s="125">
        <v>0</v>
      </c>
      <c r="AK43" s="125">
        <v>0</v>
      </c>
      <c r="AL43" s="125">
        <v>0</v>
      </c>
      <c r="AM43" s="125">
        <v>251.924495566877</v>
      </c>
      <c r="AN43" s="125">
        <v>0</v>
      </c>
      <c r="AO43" s="125">
        <v>0</v>
      </c>
      <c r="AP43" s="125">
        <v>0</v>
      </c>
      <c r="AQ43" s="125">
        <v>0</v>
      </c>
      <c r="AR43" s="126">
        <v>0</v>
      </c>
    </row>
    <row r="44" spans="2:44" ht="12" customHeight="1" x14ac:dyDescent="0.25">
      <c r="B44" s="124" t="s">
        <v>33</v>
      </c>
      <c r="C44" s="125" t="s">
        <v>85</v>
      </c>
      <c r="D44" s="125" t="s">
        <v>25</v>
      </c>
      <c r="E44" s="125" t="s">
        <v>25</v>
      </c>
      <c r="F44" s="125" t="s">
        <v>25</v>
      </c>
      <c r="G44" s="125" t="s">
        <v>507</v>
      </c>
      <c r="H44" s="125" t="s">
        <v>71</v>
      </c>
      <c r="I44" s="125" t="s">
        <v>25</v>
      </c>
      <c r="J44" s="125">
        <v>771.21</v>
      </c>
      <c r="K44" s="125">
        <v>251.92</v>
      </c>
      <c r="L44" s="125">
        <v>0</v>
      </c>
      <c r="M44" s="125">
        <v>2.3730294380749699</v>
      </c>
      <c r="N44" s="125">
        <v>0</v>
      </c>
      <c r="O44" s="125">
        <v>0</v>
      </c>
      <c r="P44" s="125">
        <v>0</v>
      </c>
      <c r="Q44" s="125">
        <v>87.538203927738905</v>
      </c>
      <c r="R44" s="125">
        <v>13.849389397228</v>
      </c>
      <c r="S44" s="125">
        <v>0</v>
      </c>
      <c r="T44" s="125">
        <v>0</v>
      </c>
      <c r="U44" s="125">
        <v>0</v>
      </c>
      <c r="V44" s="125">
        <v>0</v>
      </c>
      <c r="W44" s="125">
        <v>0</v>
      </c>
      <c r="X44" s="125">
        <v>260.98711553579801</v>
      </c>
      <c r="Y44" s="125">
        <v>0</v>
      </c>
      <c r="Z44" s="125">
        <v>0</v>
      </c>
      <c r="AA44" s="125">
        <v>376.595092537673</v>
      </c>
      <c r="AB44" s="125">
        <v>0</v>
      </c>
      <c r="AC44" s="125">
        <v>0</v>
      </c>
      <c r="AD44" s="125">
        <v>29.862706514537201</v>
      </c>
      <c r="AE44" s="125">
        <v>0</v>
      </c>
      <c r="AF44" s="125">
        <v>0</v>
      </c>
      <c r="AG44" s="125">
        <v>0</v>
      </c>
      <c r="AH44" s="125">
        <v>0</v>
      </c>
      <c r="AI44" s="125">
        <v>0</v>
      </c>
      <c r="AJ44" s="125">
        <v>0</v>
      </c>
      <c r="AK44" s="125">
        <v>0</v>
      </c>
      <c r="AL44" s="125">
        <v>0</v>
      </c>
      <c r="AM44" s="125">
        <v>251.924495566877</v>
      </c>
      <c r="AN44" s="125">
        <v>0</v>
      </c>
      <c r="AO44" s="125">
        <v>0</v>
      </c>
      <c r="AP44" s="125">
        <v>0</v>
      </c>
      <c r="AQ44" s="125">
        <v>0</v>
      </c>
      <c r="AR44" s="126">
        <v>0</v>
      </c>
    </row>
    <row r="45" spans="2:44" ht="12" customHeight="1" x14ac:dyDescent="0.25">
      <c r="B45" s="124" t="s">
        <v>33</v>
      </c>
      <c r="C45" s="125" t="s">
        <v>85</v>
      </c>
      <c r="D45" s="125" t="s">
        <v>25</v>
      </c>
      <c r="E45" s="125" t="s">
        <v>25</v>
      </c>
      <c r="F45" s="125" t="s">
        <v>25</v>
      </c>
      <c r="G45" s="125" t="s">
        <v>38</v>
      </c>
      <c r="H45" s="125" t="s">
        <v>71</v>
      </c>
      <c r="I45" s="125" t="s">
        <v>25</v>
      </c>
      <c r="J45" s="125">
        <v>346.15</v>
      </c>
      <c r="K45" s="125">
        <v>251.92</v>
      </c>
      <c r="L45" s="125">
        <v>0</v>
      </c>
      <c r="M45" s="125">
        <v>2.3730294380749699</v>
      </c>
      <c r="N45" s="125">
        <v>0</v>
      </c>
      <c r="O45" s="125">
        <v>0</v>
      </c>
      <c r="P45" s="125">
        <v>0</v>
      </c>
      <c r="Q45" s="125">
        <v>87.538203927738905</v>
      </c>
      <c r="R45" s="125">
        <v>13.849389397228</v>
      </c>
      <c r="S45" s="125">
        <v>0</v>
      </c>
      <c r="T45" s="125">
        <v>0</v>
      </c>
      <c r="U45" s="125">
        <v>0</v>
      </c>
      <c r="V45" s="125">
        <v>0</v>
      </c>
      <c r="W45" s="125">
        <v>0</v>
      </c>
      <c r="X45" s="125">
        <v>86.995705178599195</v>
      </c>
      <c r="Y45" s="125">
        <v>0</v>
      </c>
      <c r="Z45" s="125">
        <v>0</v>
      </c>
      <c r="AA45" s="125">
        <v>125.531753123786</v>
      </c>
      <c r="AB45" s="125">
        <v>0</v>
      </c>
      <c r="AC45" s="125">
        <v>0</v>
      </c>
      <c r="AD45" s="125">
        <v>29.862706514537201</v>
      </c>
      <c r="AE45" s="125">
        <v>0</v>
      </c>
      <c r="AF45" s="125">
        <v>0</v>
      </c>
      <c r="AG45" s="125">
        <v>0</v>
      </c>
      <c r="AH45" s="125">
        <v>0</v>
      </c>
      <c r="AI45" s="125">
        <v>0</v>
      </c>
      <c r="AJ45" s="125">
        <v>0</v>
      </c>
      <c r="AK45" s="125">
        <v>0</v>
      </c>
      <c r="AL45" s="125">
        <v>0</v>
      </c>
      <c r="AM45" s="125">
        <v>251.924495566877</v>
      </c>
      <c r="AN45" s="125">
        <v>0</v>
      </c>
      <c r="AO45" s="125">
        <v>0</v>
      </c>
      <c r="AP45" s="125">
        <v>0</v>
      </c>
      <c r="AQ45" s="125">
        <v>0</v>
      </c>
      <c r="AR45" s="126">
        <v>0</v>
      </c>
    </row>
    <row r="46" spans="2:44" ht="12" customHeight="1" x14ac:dyDescent="0.25">
      <c r="B46" s="124" t="s">
        <v>33</v>
      </c>
      <c r="C46" s="125" t="s">
        <v>23</v>
      </c>
      <c r="D46" s="125" t="s">
        <v>25</v>
      </c>
      <c r="E46" s="125" t="s">
        <v>25</v>
      </c>
      <c r="F46" s="125" t="s">
        <v>25</v>
      </c>
      <c r="G46" s="125" t="s">
        <v>25</v>
      </c>
      <c r="H46" s="125" t="s">
        <v>71</v>
      </c>
      <c r="I46" s="125" t="s">
        <v>25</v>
      </c>
      <c r="J46" s="125">
        <v>487.86</v>
      </c>
      <c r="K46" s="125">
        <v>251.92</v>
      </c>
      <c r="L46" s="125">
        <v>0</v>
      </c>
      <c r="M46" s="125">
        <v>2.3730294380749699</v>
      </c>
      <c r="N46" s="125">
        <v>0</v>
      </c>
      <c r="O46" s="125">
        <v>0</v>
      </c>
      <c r="P46" s="125">
        <v>0</v>
      </c>
      <c r="Q46" s="125">
        <v>87.538203927738905</v>
      </c>
      <c r="R46" s="125">
        <v>13.849389397228</v>
      </c>
      <c r="S46" s="125">
        <v>0</v>
      </c>
      <c r="T46" s="125">
        <v>0</v>
      </c>
      <c r="U46" s="125">
        <v>0</v>
      </c>
      <c r="V46" s="125">
        <v>0</v>
      </c>
      <c r="W46" s="125">
        <v>0</v>
      </c>
      <c r="X46" s="125">
        <v>145.01421157994901</v>
      </c>
      <c r="Y46" s="125">
        <v>0</v>
      </c>
      <c r="Z46" s="125">
        <v>0</v>
      </c>
      <c r="AA46" s="125">
        <v>209.219449511573</v>
      </c>
      <c r="AB46" s="125">
        <v>0</v>
      </c>
      <c r="AC46" s="125">
        <v>0</v>
      </c>
      <c r="AD46" s="125">
        <v>29.862706514537201</v>
      </c>
      <c r="AE46" s="125">
        <v>0</v>
      </c>
      <c r="AF46" s="125">
        <v>0</v>
      </c>
      <c r="AG46" s="125">
        <v>0</v>
      </c>
      <c r="AH46" s="125">
        <v>0</v>
      </c>
      <c r="AI46" s="125">
        <v>0</v>
      </c>
      <c r="AJ46" s="125">
        <v>0</v>
      </c>
      <c r="AK46" s="125">
        <v>0</v>
      </c>
      <c r="AL46" s="125">
        <v>0</v>
      </c>
      <c r="AM46" s="125">
        <v>251.924495566877</v>
      </c>
      <c r="AN46" s="125">
        <v>0</v>
      </c>
      <c r="AO46" s="125">
        <v>0</v>
      </c>
      <c r="AP46" s="125">
        <v>0</v>
      </c>
      <c r="AQ46" s="125">
        <v>0</v>
      </c>
      <c r="AR46" s="126">
        <v>0</v>
      </c>
    </row>
    <row r="47" spans="2:44" ht="12" customHeight="1" x14ac:dyDescent="0.25">
      <c r="B47" s="124" t="s">
        <v>33</v>
      </c>
      <c r="C47" s="125" t="s">
        <v>87</v>
      </c>
      <c r="D47" s="125" t="s">
        <v>25</v>
      </c>
      <c r="E47" s="125" t="s">
        <v>25</v>
      </c>
      <c r="F47" s="125" t="s">
        <v>25</v>
      </c>
      <c r="G47" s="125" t="s">
        <v>25</v>
      </c>
      <c r="H47" s="125" t="s">
        <v>71</v>
      </c>
      <c r="I47" s="125" t="s">
        <v>25</v>
      </c>
      <c r="J47" s="125">
        <v>487.86</v>
      </c>
      <c r="K47" s="125">
        <v>251.92</v>
      </c>
      <c r="L47" s="125">
        <v>0</v>
      </c>
      <c r="M47" s="125">
        <v>2.3730294380749699</v>
      </c>
      <c r="N47" s="125">
        <v>0</v>
      </c>
      <c r="O47" s="125">
        <v>0</v>
      </c>
      <c r="P47" s="125">
        <v>0</v>
      </c>
      <c r="Q47" s="125">
        <v>87.538203927738905</v>
      </c>
      <c r="R47" s="125">
        <v>13.849389397228</v>
      </c>
      <c r="S47" s="125">
        <v>0</v>
      </c>
      <c r="T47" s="125">
        <v>0</v>
      </c>
      <c r="U47" s="125">
        <v>0</v>
      </c>
      <c r="V47" s="125">
        <v>0</v>
      </c>
      <c r="W47" s="125">
        <v>0</v>
      </c>
      <c r="X47" s="125">
        <v>145.01421157994901</v>
      </c>
      <c r="Y47" s="125">
        <v>0</v>
      </c>
      <c r="Z47" s="125">
        <v>0</v>
      </c>
      <c r="AA47" s="125">
        <v>209.219449511573</v>
      </c>
      <c r="AB47" s="125">
        <v>0</v>
      </c>
      <c r="AC47" s="125">
        <v>0</v>
      </c>
      <c r="AD47" s="125">
        <v>29.862706514537201</v>
      </c>
      <c r="AE47" s="125">
        <v>0</v>
      </c>
      <c r="AF47" s="125">
        <v>0</v>
      </c>
      <c r="AG47" s="125">
        <v>0</v>
      </c>
      <c r="AH47" s="125">
        <v>0</v>
      </c>
      <c r="AI47" s="125">
        <v>0</v>
      </c>
      <c r="AJ47" s="125">
        <v>0</v>
      </c>
      <c r="AK47" s="125">
        <v>0</v>
      </c>
      <c r="AL47" s="125">
        <v>0</v>
      </c>
      <c r="AM47" s="125">
        <v>251.924495566877</v>
      </c>
      <c r="AN47" s="125">
        <v>0</v>
      </c>
      <c r="AO47" s="125">
        <v>0</v>
      </c>
      <c r="AP47" s="125">
        <v>0</v>
      </c>
      <c r="AQ47" s="125">
        <v>0</v>
      </c>
      <c r="AR47" s="126">
        <v>0</v>
      </c>
    </row>
    <row r="48" spans="2:44" ht="12" customHeight="1" x14ac:dyDescent="0.25">
      <c r="B48" s="124" t="s">
        <v>43</v>
      </c>
      <c r="C48" s="125" t="s">
        <v>23</v>
      </c>
      <c r="D48" s="125" t="s">
        <v>44</v>
      </c>
      <c r="E48" s="125" t="s">
        <v>45</v>
      </c>
      <c r="F48" s="125" t="s">
        <v>25</v>
      </c>
      <c r="G48" s="125" t="s">
        <v>25</v>
      </c>
      <c r="H48" s="125" t="s">
        <v>71</v>
      </c>
      <c r="I48" s="125" t="s">
        <v>25</v>
      </c>
      <c r="J48" s="125">
        <v>268.32</v>
      </c>
      <c r="K48" s="125">
        <v>138.56</v>
      </c>
      <c r="L48" s="125">
        <v>0</v>
      </c>
      <c r="M48" s="125">
        <v>1.30516619094123</v>
      </c>
      <c r="N48" s="125">
        <v>0</v>
      </c>
      <c r="O48" s="125">
        <v>0</v>
      </c>
      <c r="P48" s="125">
        <v>0</v>
      </c>
      <c r="Q48" s="125">
        <v>48.146012160256397</v>
      </c>
      <c r="R48" s="125">
        <v>7.6171641684753899</v>
      </c>
      <c r="S48" s="125">
        <v>0</v>
      </c>
      <c r="T48" s="125">
        <v>0</v>
      </c>
      <c r="U48" s="125">
        <v>0</v>
      </c>
      <c r="V48" s="125">
        <v>0</v>
      </c>
      <c r="W48" s="125">
        <v>0</v>
      </c>
      <c r="X48" s="125">
        <v>79.7578163689722</v>
      </c>
      <c r="Y48" s="125">
        <v>0</v>
      </c>
      <c r="Z48" s="125">
        <v>0</v>
      </c>
      <c r="AA48" s="125">
        <v>115.070697231365</v>
      </c>
      <c r="AB48" s="125">
        <v>0</v>
      </c>
      <c r="AC48" s="125">
        <v>0</v>
      </c>
      <c r="AD48" s="125">
        <v>16.424488582995501</v>
      </c>
      <c r="AE48" s="125">
        <v>0</v>
      </c>
      <c r="AF48" s="125">
        <v>0</v>
      </c>
      <c r="AG48" s="125">
        <v>0</v>
      </c>
      <c r="AH48" s="125">
        <v>0</v>
      </c>
      <c r="AI48" s="125">
        <v>0</v>
      </c>
      <c r="AJ48" s="125">
        <v>0</v>
      </c>
      <c r="AK48" s="125">
        <v>0</v>
      </c>
      <c r="AL48" s="125">
        <v>0</v>
      </c>
      <c r="AM48" s="125">
        <v>138.55847256178299</v>
      </c>
      <c r="AN48" s="125">
        <v>0</v>
      </c>
      <c r="AO48" s="125">
        <v>0</v>
      </c>
      <c r="AP48" s="125">
        <v>0</v>
      </c>
      <c r="AQ48" s="125">
        <v>0</v>
      </c>
      <c r="AR48" s="126">
        <v>0</v>
      </c>
    </row>
    <row r="49" spans="2:44" ht="12" customHeight="1" x14ac:dyDescent="0.25">
      <c r="B49" s="127" t="s">
        <v>43</v>
      </c>
      <c r="C49" s="128" t="s">
        <v>23</v>
      </c>
      <c r="D49" s="128" t="s">
        <v>44</v>
      </c>
      <c r="E49" s="128" t="s">
        <v>90</v>
      </c>
      <c r="F49" s="128" t="s">
        <v>25</v>
      </c>
      <c r="G49" s="128" t="s">
        <v>25</v>
      </c>
      <c r="H49" s="128" t="s">
        <v>71</v>
      </c>
      <c r="I49" s="128" t="s">
        <v>25</v>
      </c>
      <c r="J49" s="128">
        <v>292.70999999999998</v>
      </c>
      <c r="K49" s="128">
        <v>151.15</v>
      </c>
      <c r="L49" s="128">
        <v>0</v>
      </c>
      <c r="M49" s="128">
        <v>1.4238176628449799</v>
      </c>
      <c r="N49" s="128">
        <v>0</v>
      </c>
      <c r="O49" s="128">
        <v>0</v>
      </c>
      <c r="P49" s="128">
        <v>0</v>
      </c>
      <c r="Q49" s="128">
        <v>52.522922356643399</v>
      </c>
      <c r="R49" s="128">
        <v>8.3096336383367806</v>
      </c>
      <c r="S49" s="128">
        <v>0</v>
      </c>
      <c r="T49" s="128">
        <v>0</v>
      </c>
      <c r="U49" s="128">
        <v>0</v>
      </c>
      <c r="V49" s="128">
        <v>0</v>
      </c>
      <c r="W49" s="128">
        <v>0</v>
      </c>
      <c r="X49" s="128">
        <v>87.008526947969699</v>
      </c>
      <c r="Y49" s="128">
        <v>0</v>
      </c>
      <c r="Z49" s="128">
        <v>0</v>
      </c>
      <c r="AA49" s="128">
        <v>125.531669706944</v>
      </c>
      <c r="AB49" s="128">
        <v>0</v>
      </c>
      <c r="AC49" s="128">
        <v>0</v>
      </c>
      <c r="AD49" s="128">
        <v>17.917623908722302</v>
      </c>
      <c r="AE49" s="128">
        <v>0</v>
      </c>
      <c r="AF49" s="128">
        <v>0</v>
      </c>
      <c r="AG49" s="128">
        <v>0</v>
      </c>
      <c r="AH49" s="128">
        <v>0</v>
      </c>
      <c r="AI49" s="128">
        <v>0</v>
      </c>
      <c r="AJ49" s="128">
        <v>0</v>
      </c>
      <c r="AK49" s="128">
        <v>0</v>
      </c>
      <c r="AL49" s="128">
        <v>0</v>
      </c>
      <c r="AM49" s="128">
        <v>151.15469734012601</v>
      </c>
      <c r="AN49" s="128">
        <v>0</v>
      </c>
      <c r="AO49" s="128">
        <v>0</v>
      </c>
      <c r="AP49" s="128">
        <v>0</v>
      </c>
      <c r="AQ49" s="128">
        <v>0</v>
      </c>
      <c r="AR49" s="129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D5BA-1A0F-4B6C-8366-C272AFA9801B}">
  <dimension ref="B1:AR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30" t="s">
        <v>1060</v>
      </c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1"/>
      <c r="AH1" s="130" t="s">
        <v>1061</v>
      </c>
      <c r="AI1" s="130"/>
      <c r="AJ1" s="130"/>
      <c r="AK1" s="130"/>
      <c r="AL1" s="130"/>
      <c r="AM1" s="130"/>
      <c r="AN1" s="130"/>
      <c r="AO1" s="130"/>
      <c r="AP1" s="130"/>
      <c r="AQ1" s="130"/>
      <c r="AR1" s="130"/>
    </row>
    <row r="2" spans="2:44" ht="12" customHeight="1" x14ac:dyDescent="0.25">
      <c r="L2" s="132" t="s">
        <v>361</v>
      </c>
      <c r="M2" s="132"/>
      <c r="N2" s="132"/>
      <c r="O2" s="132"/>
      <c r="P2" s="132"/>
      <c r="Q2" s="132"/>
      <c r="R2" s="132"/>
      <c r="S2" s="133"/>
      <c r="T2" s="132" t="s">
        <v>370</v>
      </c>
      <c r="U2" s="132"/>
      <c r="V2" s="132"/>
      <c r="W2" s="132"/>
      <c r="X2" s="132"/>
      <c r="Y2" s="132"/>
      <c r="Z2" s="133"/>
      <c r="AA2" s="134" t="s">
        <v>378</v>
      </c>
      <c r="AB2" s="132" t="s">
        <v>25</v>
      </c>
      <c r="AC2" s="133"/>
      <c r="AD2" s="132" t="s">
        <v>1059</v>
      </c>
      <c r="AE2" s="132"/>
      <c r="AF2" s="132"/>
      <c r="AG2" s="133"/>
      <c r="AH2" s="132" t="s">
        <v>361</v>
      </c>
      <c r="AI2" s="132"/>
      <c r="AJ2" s="132"/>
      <c r="AK2" s="132"/>
      <c r="AL2" s="133"/>
      <c r="AM2" s="134" t="s">
        <v>392</v>
      </c>
      <c r="AN2" s="132" t="s">
        <v>370</v>
      </c>
      <c r="AO2" s="132"/>
      <c r="AP2" s="132"/>
      <c r="AQ2" s="133"/>
      <c r="AR2" s="135" t="s">
        <v>1059</v>
      </c>
    </row>
    <row r="3" spans="2:44" ht="12" customHeight="1" x14ac:dyDescent="0.25">
      <c r="B3" s="121" t="s">
        <v>61</v>
      </c>
      <c r="C3" s="122" t="s">
        <v>62</v>
      </c>
      <c r="D3" s="122" t="s">
        <v>63</v>
      </c>
      <c r="E3" s="122" t="s">
        <v>64</v>
      </c>
      <c r="F3" s="122" t="s">
        <v>65</v>
      </c>
      <c r="G3" s="122" t="s">
        <v>67</v>
      </c>
      <c r="H3" s="122" t="s">
        <v>68</v>
      </c>
      <c r="I3" s="122" t="s">
        <v>638</v>
      </c>
      <c r="J3" s="122" t="s">
        <v>1023</v>
      </c>
      <c r="K3" s="122" t="s">
        <v>1024</v>
      </c>
      <c r="L3" s="122" t="s">
        <v>1025</v>
      </c>
      <c r="M3" s="122" t="s">
        <v>1026</v>
      </c>
      <c r="N3" s="122" t="s">
        <v>1027</v>
      </c>
      <c r="O3" s="122" t="s">
        <v>1028</v>
      </c>
      <c r="P3" s="122" t="s">
        <v>1029</v>
      </c>
      <c r="Q3" s="122" t="s">
        <v>1030</v>
      </c>
      <c r="R3" s="122" t="s">
        <v>1031</v>
      </c>
      <c r="S3" s="122" t="s">
        <v>1032</v>
      </c>
      <c r="T3" s="122" t="s">
        <v>1033</v>
      </c>
      <c r="U3" s="122" t="s">
        <v>1034</v>
      </c>
      <c r="V3" s="122" t="s">
        <v>1035</v>
      </c>
      <c r="W3" s="122" t="s">
        <v>1036</v>
      </c>
      <c r="X3" s="122" t="s">
        <v>1037</v>
      </c>
      <c r="Y3" s="122" t="s">
        <v>1038</v>
      </c>
      <c r="Z3" s="122" t="s">
        <v>1039</v>
      </c>
      <c r="AA3" s="122" t="s">
        <v>1040</v>
      </c>
      <c r="AB3" s="122" t="s">
        <v>1041</v>
      </c>
      <c r="AC3" s="122" t="s">
        <v>1042</v>
      </c>
      <c r="AD3" s="122" t="s">
        <v>1043</v>
      </c>
      <c r="AE3" s="122" t="s">
        <v>1044</v>
      </c>
      <c r="AF3" s="122" t="s">
        <v>1045</v>
      </c>
      <c r="AG3" s="122" t="s">
        <v>1046</v>
      </c>
      <c r="AH3" s="122" t="s">
        <v>1047</v>
      </c>
      <c r="AI3" s="122" t="s">
        <v>1048</v>
      </c>
      <c r="AJ3" s="122" t="s">
        <v>1049</v>
      </c>
      <c r="AK3" s="122" t="s">
        <v>1050</v>
      </c>
      <c r="AL3" s="122" t="s">
        <v>1051</v>
      </c>
      <c r="AM3" s="122" t="s">
        <v>1052</v>
      </c>
      <c r="AN3" s="122" t="s">
        <v>1053</v>
      </c>
      <c r="AO3" s="122" t="s">
        <v>1054</v>
      </c>
      <c r="AP3" s="122" t="s">
        <v>1055</v>
      </c>
      <c r="AQ3" s="122" t="s">
        <v>1056</v>
      </c>
      <c r="AR3" s="123" t="s">
        <v>1057</v>
      </c>
    </row>
    <row r="4" spans="2:44" ht="12" customHeight="1" x14ac:dyDescent="0.25">
      <c r="B4" s="124" t="s">
        <v>35</v>
      </c>
      <c r="C4" s="125" t="s">
        <v>52</v>
      </c>
      <c r="D4" s="125" t="s">
        <v>25</v>
      </c>
      <c r="E4" s="125" t="s">
        <v>25</v>
      </c>
      <c r="F4" s="125" t="s">
        <v>78</v>
      </c>
      <c r="G4" s="125" t="s">
        <v>37</v>
      </c>
      <c r="H4" s="125" t="s">
        <v>71</v>
      </c>
      <c r="I4" s="125" t="s">
        <v>25</v>
      </c>
      <c r="J4" s="125">
        <v>14.6</v>
      </c>
      <c r="K4" s="125">
        <v>0</v>
      </c>
      <c r="L4" s="125">
        <v>0</v>
      </c>
      <c r="M4" s="125">
        <v>2.2451590904910601</v>
      </c>
      <c r="N4" s="125">
        <v>0</v>
      </c>
      <c r="O4" s="125">
        <v>0</v>
      </c>
      <c r="P4" s="125">
        <v>0</v>
      </c>
      <c r="Q4" s="125">
        <v>0</v>
      </c>
      <c r="R4" s="125">
        <v>0</v>
      </c>
      <c r="S4" s="125">
        <v>0</v>
      </c>
      <c r="T4" s="125">
        <v>0</v>
      </c>
      <c r="U4" s="125">
        <v>0</v>
      </c>
      <c r="V4" s="125">
        <v>0</v>
      </c>
      <c r="W4" s="125">
        <v>0</v>
      </c>
      <c r="X4" s="125">
        <v>0</v>
      </c>
      <c r="Y4" s="125">
        <v>0</v>
      </c>
      <c r="Z4" s="125">
        <v>0</v>
      </c>
      <c r="AA4" s="125">
        <v>0</v>
      </c>
      <c r="AB4" s="125">
        <v>0</v>
      </c>
      <c r="AC4" s="125">
        <v>0</v>
      </c>
      <c r="AD4" s="125">
        <v>12.3535275982288</v>
      </c>
      <c r="AE4" s="125">
        <v>0</v>
      </c>
      <c r="AF4" s="125">
        <v>0</v>
      </c>
      <c r="AG4" s="125">
        <v>0</v>
      </c>
      <c r="AH4" s="125">
        <v>0</v>
      </c>
      <c r="AI4" s="125">
        <v>0</v>
      </c>
      <c r="AJ4" s="125">
        <v>0</v>
      </c>
      <c r="AK4" s="125">
        <v>0</v>
      </c>
      <c r="AL4" s="125">
        <v>0</v>
      </c>
      <c r="AM4" s="125">
        <v>0</v>
      </c>
      <c r="AN4" s="125">
        <v>0</v>
      </c>
      <c r="AO4" s="125">
        <v>0</v>
      </c>
      <c r="AP4" s="125">
        <v>0</v>
      </c>
      <c r="AQ4" s="125">
        <v>0</v>
      </c>
      <c r="AR4" s="126">
        <v>0</v>
      </c>
    </row>
    <row r="5" spans="2:44" ht="12" customHeight="1" x14ac:dyDescent="0.25">
      <c r="B5" s="124" t="s">
        <v>35</v>
      </c>
      <c r="C5" s="125" t="s">
        <v>52</v>
      </c>
      <c r="D5" s="125" t="s">
        <v>25</v>
      </c>
      <c r="E5" s="125" t="s">
        <v>25</v>
      </c>
      <c r="F5" s="125" t="s">
        <v>78</v>
      </c>
      <c r="G5" s="125" t="s">
        <v>37</v>
      </c>
      <c r="H5" s="125" t="s">
        <v>74</v>
      </c>
      <c r="I5" s="125" t="s">
        <v>25</v>
      </c>
      <c r="J5" s="125">
        <v>115.62</v>
      </c>
      <c r="K5" s="125">
        <v>0</v>
      </c>
      <c r="L5" s="125">
        <v>0</v>
      </c>
      <c r="M5" s="125">
        <v>0</v>
      </c>
      <c r="N5" s="125">
        <v>0</v>
      </c>
      <c r="O5" s="125">
        <v>0</v>
      </c>
      <c r="P5" s="125">
        <v>0</v>
      </c>
      <c r="Q5" s="125">
        <v>0</v>
      </c>
      <c r="R5" s="125">
        <v>0</v>
      </c>
      <c r="S5" s="125">
        <v>0</v>
      </c>
      <c r="T5" s="125">
        <v>0</v>
      </c>
      <c r="U5" s="125">
        <v>0</v>
      </c>
      <c r="V5" s="125">
        <v>0</v>
      </c>
      <c r="W5" s="125">
        <v>0</v>
      </c>
      <c r="X5" s="125">
        <v>30.808381700416898</v>
      </c>
      <c r="Y5" s="125">
        <v>0</v>
      </c>
      <c r="Z5" s="125">
        <v>0</v>
      </c>
      <c r="AA5" s="125">
        <v>84.810689209234397</v>
      </c>
      <c r="AB5" s="125">
        <v>0</v>
      </c>
      <c r="AC5" s="125">
        <v>0</v>
      </c>
      <c r="AD5" s="125">
        <v>0</v>
      </c>
      <c r="AE5" s="125">
        <v>0</v>
      </c>
      <c r="AF5" s="125">
        <v>0</v>
      </c>
      <c r="AG5" s="125">
        <v>0</v>
      </c>
      <c r="AH5" s="125">
        <v>0</v>
      </c>
      <c r="AI5" s="125">
        <v>0</v>
      </c>
      <c r="AJ5" s="125">
        <v>0</v>
      </c>
      <c r="AK5" s="125">
        <v>0</v>
      </c>
      <c r="AL5" s="125">
        <v>0</v>
      </c>
      <c r="AM5" s="125">
        <v>0</v>
      </c>
      <c r="AN5" s="125">
        <v>0</v>
      </c>
      <c r="AO5" s="125">
        <v>0</v>
      </c>
      <c r="AP5" s="125">
        <v>0</v>
      </c>
      <c r="AQ5" s="125">
        <v>0</v>
      </c>
      <c r="AR5" s="126">
        <v>0</v>
      </c>
    </row>
    <row r="6" spans="2:44" ht="12" customHeight="1" x14ac:dyDescent="0.25">
      <c r="B6" s="124" t="s">
        <v>35</v>
      </c>
      <c r="C6" s="125" t="s">
        <v>52</v>
      </c>
      <c r="D6" s="125" t="s">
        <v>25</v>
      </c>
      <c r="E6" s="125" t="s">
        <v>25</v>
      </c>
      <c r="F6" s="125" t="s">
        <v>78</v>
      </c>
      <c r="G6" s="125" t="s">
        <v>38</v>
      </c>
      <c r="H6" s="125" t="s">
        <v>71</v>
      </c>
      <c r="I6" s="125" t="s">
        <v>25</v>
      </c>
      <c r="J6" s="125">
        <v>14.6</v>
      </c>
      <c r="K6" s="125">
        <v>0</v>
      </c>
      <c r="L6" s="125">
        <v>0</v>
      </c>
      <c r="M6" s="125">
        <v>2.2451590904910601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5">
        <v>0</v>
      </c>
      <c r="AB6" s="125">
        <v>0</v>
      </c>
      <c r="AC6" s="125">
        <v>0</v>
      </c>
      <c r="AD6" s="125">
        <v>12.3535275982288</v>
      </c>
      <c r="AE6" s="125">
        <v>0</v>
      </c>
      <c r="AF6" s="125">
        <v>0</v>
      </c>
      <c r="AG6" s="125">
        <v>0</v>
      </c>
      <c r="AH6" s="125">
        <v>0</v>
      </c>
      <c r="AI6" s="125">
        <v>0</v>
      </c>
      <c r="AJ6" s="125">
        <v>0</v>
      </c>
      <c r="AK6" s="125">
        <v>0</v>
      </c>
      <c r="AL6" s="125">
        <v>0</v>
      </c>
      <c r="AM6" s="125">
        <v>0</v>
      </c>
      <c r="AN6" s="125">
        <v>0</v>
      </c>
      <c r="AO6" s="125">
        <v>0</v>
      </c>
      <c r="AP6" s="125">
        <v>0</v>
      </c>
      <c r="AQ6" s="125">
        <v>0</v>
      </c>
      <c r="AR6" s="126">
        <v>0</v>
      </c>
    </row>
    <row r="7" spans="2:44" ht="12" customHeight="1" x14ac:dyDescent="0.25">
      <c r="B7" s="124" t="s">
        <v>35</v>
      </c>
      <c r="C7" s="125" t="s">
        <v>52</v>
      </c>
      <c r="D7" s="125" t="s">
        <v>25</v>
      </c>
      <c r="E7" s="125" t="s">
        <v>25</v>
      </c>
      <c r="F7" s="125" t="s">
        <v>78</v>
      </c>
      <c r="G7" s="125" t="s">
        <v>38</v>
      </c>
      <c r="H7" s="125" t="s">
        <v>74</v>
      </c>
      <c r="I7" s="125" t="s">
        <v>25</v>
      </c>
      <c r="J7" s="125">
        <v>81.62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31.245823225574899</v>
      </c>
      <c r="Y7" s="125">
        <v>0</v>
      </c>
      <c r="Z7" s="125">
        <v>0</v>
      </c>
      <c r="AA7" s="125">
        <v>50.373132029875102</v>
      </c>
      <c r="AB7" s="125">
        <v>0</v>
      </c>
      <c r="AC7" s="125">
        <v>0</v>
      </c>
      <c r="AD7" s="125">
        <v>0</v>
      </c>
      <c r="AE7" s="125">
        <v>0</v>
      </c>
      <c r="AF7" s="125">
        <v>0</v>
      </c>
      <c r="AG7" s="125">
        <v>0</v>
      </c>
      <c r="AH7" s="125">
        <v>0</v>
      </c>
      <c r="AI7" s="125">
        <v>0</v>
      </c>
      <c r="AJ7" s="125">
        <v>0</v>
      </c>
      <c r="AK7" s="125">
        <v>0</v>
      </c>
      <c r="AL7" s="125">
        <v>0</v>
      </c>
      <c r="AM7" s="125">
        <v>0</v>
      </c>
      <c r="AN7" s="125">
        <v>0</v>
      </c>
      <c r="AO7" s="125">
        <v>0</v>
      </c>
      <c r="AP7" s="125">
        <v>0</v>
      </c>
      <c r="AQ7" s="125">
        <v>0</v>
      </c>
      <c r="AR7" s="126">
        <v>0</v>
      </c>
    </row>
    <row r="8" spans="2:44" ht="12" customHeight="1" x14ac:dyDescent="0.25">
      <c r="B8" s="124" t="s">
        <v>35</v>
      </c>
      <c r="C8" s="125" t="s">
        <v>52</v>
      </c>
      <c r="D8" s="125" t="s">
        <v>25</v>
      </c>
      <c r="E8" s="125" t="s">
        <v>25</v>
      </c>
      <c r="F8" s="125" t="s">
        <v>25</v>
      </c>
      <c r="G8" s="125" t="s">
        <v>37</v>
      </c>
      <c r="H8" s="125" t="s">
        <v>71</v>
      </c>
      <c r="I8" s="125" t="s">
        <v>25</v>
      </c>
      <c r="J8" s="125">
        <v>106.01</v>
      </c>
      <c r="K8" s="125">
        <v>235.11</v>
      </c>
      <c r="L8" s="125">
        <v>0</v>
      </c>
      <c r="M8" s="125">
        <v>2.2451590904910601</v>
      </c>
      <c r="N8" s="125">
        <v>0</v>
      </c>
      <c r="O8" s="125">
        <v>0</v>
      </c>
      <c r="P8" s="125">
        <v>0</v>
      </c>
      <c r="Q8" s="125">
        <v>76.934231363701002</v>
      </c>
      <c r="R8" s="125">
        <v>14.4738946756828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5">
        <v>0</v>
      </c>
      <c r="AB8" s="125">
        <v>0</v>
      </c>
      <c r="AC8" s="125">
        <v>0</v>
      </c>
      <c r="AD8" s="125">
        <v>12.3535275982288</v>
      </c>
      <c r="AE8" s="125">
        <v>0</v>
      </c>
      <c r="AF8" s="125">
        <v>0</v>
      </c>
      <c r="AG8" s="125">
        <v>0</v>
      </c>
      <c r="AH8" s="125">
        <v>0</v>
      </c>
      <c r="AI8" s="125">
        <v>0</v>
      </c>
      <c r="AJ8" s="125">
        <v>0</v>
      </c>
      <c r="AK8" s="125">
        <v>0</v>
      </c>
      <c r="AL8" s="125">
        <v>0</v>
      </c>
      <c r="AM8" s="125">
        <v>235.11175342784901</v>
      </c>
      <c r="AN8" s="125">
        <v>0</v>
      </c>
      <c r="AO8" s="125">
        <v>0</v>
      </c>
      <c r="AP8" s="125">
        <v>0</v>
      </c>
      <c r="AQ8" s="125">
        <v>0</v>
      </c>
      <c r="AR8" s="126">
        <v>0</v>
      </c>
    </row>
    <row r="9" spans="2:44" ht="12" customHeight="1" x14ac:dyDescent="0.25">
      <c r="B9" s="124" t="s">
        <v>35</v>
      </c>
      <c r="C9" s="125" t="s">
        <v>52</v>
      </c>
      <c r="D9" s="125" t="s">
        <v>25</v>
      </c>
      <c r="E9" s="125" t="s">
        <v>25</v>
      </c>
      <c r="F9" s="125" t="s">
        <v>25</v>
      </c>
      <c r="G9" s="125" t="s">
        <v>37</v>
      </c>
      <c r="H9" s="125" t="s">
        <v>74</v>
      </c>
      <c r="I9" s="125" t="s">
        <v>25</v>
      </c>
      <c r="J9" s="125">
        <v>115.62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30.808381700416898</v>
      </c>
      <c r="Y9" s="125">
        <v>0</v>
      </c>
      <c r="Z9" s="125">
        <v>0</v>
      </c>
      <c r="AA9" s="125">
        <v>84.810689209234397</v>
      </c>
      <c r="AB9" s="125">
        <v>0</v>
      </c>
      <c r="AC9" s="125">
        <v>0</v>
      </c>
      <c r="AD9" s="125">
        <v>0</v>
      </c>
      <c r="AE9" s="125">
        <v>0</v>
      </c>
      <c r="AF9" s="125">
        <v>0</v>
      </c>
      <c r="AG9" s="125">
        <v>0</v>
      </c>
      <c r="AH9" s="125">
        <v>0</v>
      </c>
      <c r="AI9" s="125">
        <v>0</v>
      </c>
      <c r="AJ9" s="125">
        <v>0</v>
      </c>
      <c r="AK9" s="125">
        <v>0</v>
      </c>
      <c r="AL9" s="125">
        <v>0</v>
      </c>
      <c r="AM9" s="125">
        <v>0</v>
      </c>
      <c r="AN9" s="125">
        <v>0</v>
      </c>
      <c r="AO9" s="125">
        <v>0</v>
      </c>
      <c r="AP9" s="125">
        <v>0</v>
      </c>
      <c r="AQ9" s="125">
        <v>0</v>
      </c>
      <c r="AR9" s="126">
        <v>0</v>
      </c>
    </row>
    <row r="10" spans="2:44" ht="12" customHeight="1" x14ac:dyDescent="0.25">
      <c r="B10" s="124" t="s">
        <v>35</v>
      </c>
      <c r="C10" s="125" t="s">
        <v>52</v>
      </c>
      <c r="D10" s="125" t="s">
        <v>25</v>
      </c>
      <c r="E10" s="125" t="s">
        <v>25</v>
      </c>
      <c r="F10" s="125" t="s">
        <v>25</v>
      </c>
      <c r="G10" s="125" t="s">
        <v>38</v>
      </c>
      <c r="H10" s="125" t="s">
        <v>71</v>
      </c>
      <c r="I10" s="125" t="s">
        <v>25</v>
      </c>
      <c r="J10" s="125">
        <v>106.01</v>
      </c>
      <c r="K10" s="125">
        <v>235.11</v>
      </c>
      <c r="L10" s="125">
        <v>0</v>
      </c>
      <c r="M10" s="125">
        <v>2.2451590904910601</v>
      </c>
      <c r="N10" s="125">
        <v>0</v>
      </c>
      <c r="O10" s="125">
        <v>0</v>
      </c>
      <c r="P10" s="125">
        <v>0</v>
      </c>
      <c r="Q10" s="125">
        <v>76.934231363701002</v>
      </c>
      <c r="R10" s="125">
        <v>14.4738946756828</v>
      </c>
      <c r="S10" s="125">
        <v>0</v>
      </c>
      <c r="T10" s="125">
        <v>0</v>
      </c>
      <c r="U10" s="125">
        <v>0</v>
      </c>
      <c r="V10" s="125">
        <v>0</v>
      </c>
      <c r="W10" s="125">
        <v>0</v>
      </c>
      <c r="X10" s="125">
        <v>0</v>
      </c>
      <c r="Y10" s="125">
        <v>0</v>
      </c>
      <c r="Z10" s="125">
        <v>0</v>
      </c>
      <c r="AA10" s="125">
        <v>0</v>
      </c>
      <c r="AB10" s="125">
        <v>0</v>
      </c>
      <c r="AC10" s="125">
        <v>0</v>
      </c>
      <c r="AD10" s="125">
        <v>12.3535275982288</v>
      </c>
      <c r="AE10" s="125">
        <v>0</v>
      </c>
      <c r="AF10" s="125">
        <v>0</v>
      </c>
      <c r="AG10" s="125">
        <v>0</v>
      </c>
      <c r="AH10" s="125">
        <v>0</v>
      </c>
      <c r="AI10" s="125">
        <v>0</v>
      </c>
      <c r="AJ10" s="125">
        <v>0</v>
      </c>
      <c r="AK10" s="125">
        <v>0</v>
      </c>
      <c r="AL10" s="125">
        <v>0</v>
      </c>
      <c r="AM10" s="125">
        <v>235.11175342784901</v>
      </c>
      <c r="AN10" s="125">
        <v>0</v>
      </c>
      <c r="AO10" s="125">
        <v>0</v>
      </c>
      <c r="AP10" s="125">
        <v>0</v>
      </c>
      <c r="AQ10" s="125">
        <v>0</v>
      </c>
      <c r="AR10" s="126">
        <v>0</v>
      </c>
    </row>
    <row r="11" spans="2:44" ht="12" customHeight="1" x14ac:dyDescent="0.25">
      <c r="B11" s="124" t="s">
        <v>35</v>
      </c>
      <c r="C11" s="125" t="s">
        <v>52</v>
      </c>
      <c r="D11" s="125" t="s">
        <v>25</v>
      </c>
      <c r="E11" s="125" t="s">
        <v>25</v>
      </c>
      <c r="F11" s="125" t="s">
        <v>25</v>
      </c>
      <c r="G11" s="125" t="s">
        <v>38</v>
      </c>
      <c r="H11" s="125" t="s">
        <v>74</v>
      </c>
      <c r="I11" s="125" t="s">
        <v>25</v>
      </c>
      <c r="J11" s="125">
        <v>81.62</v>
      </c>
      <c r="K11" s="125">
        <v>0</v>
      </c>
      <c r="L11" s="125">
        <v>0</v>
      </c>
      <c r="M11" s="125">
        <v>0</v>
      </c>
      <c r="N11" s="125">
        <v>0</v>
      </c>
      <c r="O11" s="125">
        <v>0</v>
      </c>
      <c r="P11" s="125">
        <v>0</v>
      </c>
      <c r="Q11" s="125">
        <v>0</v>
      </c>
      <c r="R11" s="125">
        <v>0</v>
      </c>
      <c r="S11" s="125">
        <v>0</v>
      </c>
      <c r="T11" s="125">
        <v>0</v>
      </c>
      <c r="U11" s="125">
        <v>0</v>
      </c>
      <c r="V11" s="125">
        <v>0</v>
      </c>
      <c r="W11" s="125">
        <v>0</v>
      </c>
      <c r="X11" s="125">
        <v>31.245823225574899</v>
      </c>
      <c r="Y11" s="125">
        <v>0</v>
      </c>
      <c r="Z11" s="125">
        <v>0</v>
      </c>
      <c r="AA11" s="125">
        <v>50.373132029875102</v>
      </c>
      <c r="AB11" s="125">
        <v>0</v>
      </c>
      <c r="AC11" s="125">
        <v>0</v>
      </c>
      <c r="AD11" s="125">
        <v>0</v>
      </c>
      <c r="AE11" s="125">
        <v>0</v>
      </c>
      <c r="AF11" s="125">
        <v>0</v>
      </c>
      <c r="AG11" s="125">
        <v>0</v>
      </c>
      <c r="AH11" s="125">
        <v>0</v>
      </c>
      <c r="AI11" s="125">
        <v>0</v>
      </c>
      <c r="AJ11" s="125">
        <v>0</v>
      </c>
      <c r="AK11" s="125">
        <v>0</v>
      </c>
      <c r="AL11" s="125">
        <v>0</v>
      </c>
      <c r="AM11" s="125">
        <v>0</v>
      </c>
      <c r="AN11" s="125">
        <v>0</v>
      </c>
      <c r="AO11" s="125">
        <v>0</v>
      </c>
      <c r="AP11" s="125">
        <v>0</v>
      </c>
      <c r="AQ11" s="125">
        <v>0</v>
      </c>
      <c r="AR11" s="126">
        <v>0</v>
      </c>
    </row>
    <row r="12" spans="2:44" ht="12" customHeight="1" x14ac:dyDescent="0.25">
      <c r="B12" s="124" t="s">
        <v>35</v>
      </c>
      <c r="C12" s="125" t="s">
        <v>79</v>
      </c>
      <c r="D12" s="125" t="s">
        <v>25</v>
      </c>
      <c r="E12" s="125" t="s">
        <v>25</v>
      </c>
      <c r="F12" s="125" t="s">
        <v>25</v>
      </c>
      <c r="G12" s="125" t="s">
        <v>25</v>
      </c>
      <c r="H12" s="125" t="s">
        <v>74</v>
      </c>
      <c r="I12" s="125" t="s">
        <v>25</v>
      </c>
      <c r="J12" s="125">
        <v>19.77</v>
      </c>
      <c r="K12" s="125">
        <v>0</v>
      </c>
      <c r="L12" s="125">
        <v>0</v>
      </c>
      <c r="M12" s="125">
        <v>2.2030022400514701E-2</v>
      </c>
      <c r="N12" s="125">
        <v>0</v>
      </c>
      <c r="O12" s="125">
        <v>0</v>
      </c>
      <c r="P12" s="125">
        <v>0</v>
      </c>
      <c r="Q12" s="125">
        <v>0</v>
      </c>
      <c r="R12" s="125">
        <v>0</v>
      </c>
      <c r="S12" s="125">
        <v>0</v>
      </c>
      <c r="T12" s="125">
        <v>0</v>
      </c>
      <c r="U12" s="125">
        <v>0</v>
      </c>
      <c r="V12" s="125">
        <v>0</v>
      </c>
      <c r="W12" s="125">
        <v>0</v>
      </c>
      <c r="X12" s="125">
        <v>0</v>
      </c>
      <c r="Y12" s="125">
        <v>0</v>
      </c>
      <c r="Z12" s="125">
        <v>0</v>
      </c>
      <c r="AA12" s="125">
        <v>19.7500386626159</v>
      </c>
      <c r="AB12" s="125">
        <v>0</v>
      </c>
      <c r="AC12" s="125">
        <v>0</v>
      </c>
      <c r="AD12" s="125">
        <v>0</v>
      </c>
      <c r="AE12" s="125">
        <v>0</v>
      </c>
      <c r="AF12" s="125">
        <v>0</v>
      </c>
      <c r="AG12" s="125">
        <v>0</v>
      </c>
      <c r="AH12" s="125">
        <v>0</v>
      </c>
      <c r="AI12" s="125">
        <v>0</v>
      </c>
      <c r="AJ12" s="125">
        <v>0</v>
      </c>
      <c r="AK12" s="125">
        <v>0</v>
      </c>
      <c r="AL12" s="125">
        <v>0</v>
      </c>
      <c r="AM12" s="125">
        <v>0</v>
      </c>
      <c r="AN12" s="125">
        <v>0</v>
      </c>
      <c r="AO12" s="125">
        <v>0</v>
      </c>
      <c r="AP12" s="125">
        <v>0</v>
      </c>
      <c r="AQ12" s="125">
        <v>0</v>
      </c>
      <c r="AR12" s="126">
        <v>0</v>
      </c>
    </row>
    <row r="13" spans="2:44" ht="12" customHeight="1" x14ac:dyDescent="0.25">
      <c r="B13" s="124" t="s">
        <v>35</v>
      </c>
      <c r="C13" s="125" t="s">
        <v>36</v>
      </c>
      <c r="D13" s="125" t="s">
        <v>25</v>
      </c>
      <c r="E13" s="125" t="s">
        <v>25</v>
      </c>
      <c r="F13" s="125" t="s">
        <v>78</v>
      </c>
      <c r="G13" s="125" t="s">
        <v>37</v>
      </c>
      <c r="H13" s="125" t="s">
        <v>71</v>
      </c>
      <c r="I13" s="125" t="s">
        <v>25</v>
      </c>
      <c r="J13" s="125">
        <v>2795.94</v>
      </c>
      <c r="K13" s="125">
        <v>0</v>
      </c>
      <c r="L13" s="125">
        <v>0</v>
      </c>
      <c r="M13" s="125">
        <v>2.2451590904910601</v>
      </c>
      <c r="N13" s="125">
        <v>0</v>
      </c>
      <c r="O13" s="125">
        <v>0</v>
      </c>
      <c r="P13" s="125">
        <v>0</v>
      </c>
      <c r="Q13" s="125">
        <v>0</v>
      </c>
      <c r="R13" s="125">
        <v>0</v>
      </c>
      <c r="S13" s="125">
        <v>0</v>
      </c>
      <c r="T13" s="125">
        <v>0</v>
      </c>
      <c r="U13" s="125">
        <v>0</v>
      </c>
      <c r="V13" s="125">
        <v>0</v>
      </c>
      <c r="W13" s="125">
        <v>0</v>
      </c>
      <c r="X13" s="125">
        <v>741.65086008224705</v>
      </c>
      <c r="Y13" s="125">
        <v>0</v>
      </c>
      <c r="Z13" s="125">
        <v>0</v>
      </c>
      <c r="AA13" s="125">
        <v>2039.6942830962</v>
      </c>
      <c r="AB13" s="125">
        <v>0</v>
      </c>
      <c r="AC13" s="125">
        <v>0</v>
      </c>
      <c r="AD13" s="125">
        <v>12.3535275982288</v>
      </c>
      <c r="AE13" s="125">
        <v>0</v>
      </c>
      <c r="AF13" s="125">
        <v>0</v>
      </c>
      <c r="AG13" s="125">
        <v>0</v>
      </c>
      <c r="AH13" s="125">
        <v>0</v>
      </c>
      <c r="AI13" s="125">
        <v>0</v>
      </c>
      <c r="AJ13" s="125">
        <v>0</v>
      </c>
      <c r="AK13" s="125">
        <v>0</v>
      </c>
      <c r="AL13" s="125">
        <v>0</v>
      </c>
      <c r="AM13" s="125">
        <v>0</v>
      </c>
      <c r="AN13" s="125">
        <v>0</v>
      </c>
      <c r="AO13" s="125">
        <v>0</v>
      </c>
      <c r="AP13" s="125">
        <v>0</v>
      </c>
      <c r="AQ13" s="125">
        <v>0</v>
      </c>
      <c r="AR13" s="126">
        <v>0</v>
      </c>
    </row>
    <row r="14" spans="2:44" ht="12" customHeight="1" x14ac:dyDescent="0.25">
      <c r="B14" s="124" t="s">
        <v>35</v>
      </c>
      <c r="C14" s="125" t="s">
        <v>36</v>
      </c>
      <c r="D14" s="125" t="s">
        <v>25</v>
      </c>
      <c r="E14" s="125" t="s">
        <v>25</v>
      </c>
      <c r="F14" s="125" t="s">
        <v>78</v>
      </c>
      <c r="G14" s="125" t="s">
        <v>25</v>
      </c>
      <c r="H14" s="125" t="s">
        <v>74</v>
      </c>
      <c r="I14" s="125" t="s">
        <v>25</v>
      </c>
      <c r="J14" s="125">
        <v>81.62</v>
      </c>
      <c r="K14" s="125">
        <v>0</v>
      </c>
      <c r="L14" s="125">
        <v>0</v>
      </c>
      <c r="M14" s="125">
        <v>0</v>
      </c>
      <c r="N14" s="125">
        <v>0</v>
      </c>
      <c r="O14" s="125">
        <v>0</v>
      </c>
      <c r="P14" s="125">
        <v>0</v>
      </c>
      <c r="Q14" s="125">
        <v>0</v>
      </c>
      <c r="R14" s="125">
        <v>0</v>
      </c>
      <c r="S14" s="125">
        <v>0</v>
      </c>
      <c r="T14" s="125">
        <v>0</v>
      </c>
      <c r="U14" s="125">
        <v>0</v>
      </c>
      <c r="V14" s="125">
        <v>0</v>
      </c>
      <c r="W14" s="125">
        <v>0</v>
      </c>
      <c r="X14" s="125">
        <v>31.245823225574899</v>
      </c>
      <c r="Y14" s="125">
        <v>0</v>
      </c>
      <c r="Z14" s="125">
        <v>0</v>
      </c>
      <c r="AA14" s="125">
        <v>50.373132029875102</v>
      </c>
      <c r="AB14" s="125">
        <v>0</v>
      </c>
      <c r="AC14" s="125">
        <v>0</v>
      </c>
      <c r="AD14" s="125">
        <v>0</v>
      </c>
      <c r="AE14" s="125">
        <v>0</v>
      </c>
      <c r="AF14" s="125">
        <v>0</v>
      </c>
      <c r="AG14" s="125">
        <v>0</v>
      </c>
      <c r="AH14" s="125">
        <v>0</v>
      </c>
      <c r="AI14" s="125">
        <v>0</v>
      </c>
      <c r="AJ14" s="125">
        <v>0</v>
      </c>
      <c r="AK14" s="125">
        <v>0</v>
      </c>
      <c r="AL14" s="125">
        <v>0</v>
      </c>
      <c r="AM14" s="125">
        <v>0</v>
      </c>
      <c r="AN14" s="125">
        <v>0</v>
      </c>
      <c r="AO14" s="125">
        <v>0</v>
      </c>
      <c r="AP14" s="125">
        <v>0</v>
      </c>
      <c r="AQ14" s="125">
        <v>0</v>
      </c>
      <c r="AR14" s="126">
        <v>0</v>
      </c>
    </row>
    <row r="15" spans="2:44" ht="12" customHeight="1" x14ac:dyDescent="0.25">
      <c r="B15" s="124" t="s">
        <v>35</v>
      </c>
      <c r="C15" s="125" t="s">
        <v>36</v>
      </c>
      <c r="D15" s="125" t="s">
        <v>25</v>
      </c>
      <c r="E15" s="125" t="s">
        <v>25</v>
      </c>
      <c r="F15" s="125" t="s">
        <v>78</v>
      </c>
      <c r="G15" s="125" t="s">
        <v>38</v>
      </c>
      <c r="H15" s="125" t="s">
        <v>71</v>
      </c>
      <c r="I15" s="125" t="s">
        <v>25</v>
      </c>
      <c r="J15" s="125">
        <v>14.6</v>
      </c>
      <c r="K15" s="125">
        <v>0</v>
      </c>
      <c r="L15" s="125">
        <v>0</v>
      </c>
      <c r="M15" s="125">
        <v>2.2451590904910601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5">
        <v>0</v>
      </c>
      <c r="AB15" s="125">
        <v>0</v>
      </c>
      <c r="AC15" s="125">
        <v>0</v>
      </c>
      <c r="AD15" s="125">
        <v>12.3535275982288</v>
      </c>
      <c r="AE15" s="125">
        <v>0</v>
      </c>
      <c r="AF15" s="125">
        <v>0</v>
      </c>
      <c r="AG15" s="125">
        <v>0</v>
      </c>
      <c r="AH15" s="125">
        <v>0</v>
      </c>
      <c r="AI15" s="125">
        <v>0</v>
      </c>
      <c r="AJ15" s="125">
        <v>0</v>
      </c>
      <c r="AK15" s="125">
        <v>0</v>
      </c>
      <c r="AL15" s="125">
        <v>0</v>
      </c>
      <c r="AM15" s="125">
        <v>0</v>
      </c>
      <c r="AN15" s="125">
        <v>0</v>
      </c>
      <c r="AO15" s="125">
        <v>0</v>
      </c>
      <c r="AP15" s="125">
        <v>0</v>
      </c>
      <c r="AQ15" s="125">
        <v>0</v>
      </c>
      <c r="AR15" s="126">
        <v>0</v>
      </c>
    </row>
    <row r="16" spans="2:44" ht="12" customHeight="1" x14ac:dyDescent="0.25">
      <c r="B16" s="124" t="s">
        <v>35</v>
      </c>
      <c r="C16" s="125" t="s">
        <v>36</v>
      </c>
      <c r="D16" s="125" t="s">
        <v>25</v>
      </c>
      <c r="E16" s="125" t="s">
        <v>25</v>
      </c>
      <c r="F16" s="125" t="s">
        <v>25</v>
      </c>
      <c r="G16" s="125" t="s">
        <v>37</v>
      </c>
      <c r="H16" s="125" t="s">
        <v>71</v>
      </c>
      <c r="I16" s="125" t="s">
        <v>25</v>
      </c>
      <c r="J16" s="125">
        <v>2887.35</v>
      </c>
      <c r="K16" s="125">
        <v>235.11</v>
      </c>
      <c r="L16" s="125">
        <v>0</v>
      </c>
      <c r="M16" s="125">
        <v>2.2451590904910601</v>
      </c>
      <c r="N16" s="125">
        <v>0</v>
      </c>
      <c r="O16" s="125">
        <v>0</v>
      </c>
      <c r="P16" s="125">
        <v>0</v>
      </c>
      <c r="Q16" s="125">
        <v>76.934231363701002</v>
      </c>
      <c r="R16" s="125">
        <v>14.4738946756828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741.65086008224705</v>
      </c>
      <c r="Y16" s="125">
        <v>0</v>
      </c>
      <c r="Z16" s="125">
        <v>0</v>
      </c>
      <c r="AA16" s="125">
        <v>2039.6942830962</v>
      </c>
      <c r="AB16" s="125">
        <v>0</v>
      </c>
      <c r="AC16" s="125">
        <v>0</v>
      </c>
      <c r="AD16" s="125">
        <v>12.3535275982288</v>
      </c>
      <c r="AE16" s="125">
        <v>0</v>
      </c>
      <c r="AF16" s="125">
        <v>0</v>
      </c>
      <c r="AG16" s="125">
        <v>0</v>
      </c>
      <c r="AH16" s="125">
        <v>0</v>
      </c>
      <c r="AI16" s="125">
        <v>0</v>
      </c>
      <c r="AJ16" s="125">
        <v>0</v>
      </c>
      <c r="AK16" s="125">
        <v>0</v>
      </c>
      <c r="AL16" s="125">
        <v>0</v>
      </c>
      <c r="AM16" s="125">
        <v>235.11175342784901</v>
      </c>
      <c r="AN16" s="125">
        <v>0</v>
      </c>
      <c r="AO16" s="125">
        <v>0</v>
      </c>
      <c r="AP16" s="125">
        <v>0</v>
      </c>
      <c r="AQ16" s="125">
        <v>0</v>
      </c>
      <c r="AR16" s="126">
        <v>0</v>
      </c>
    </row>
    <row r="17" spans="2:44" ht="12" customHeight="1" x14ac:dyDescent="0.25">
      <c r="B17" s="124" t="s">
        <v>35</v>
      </c>
      <c r="C17" s="125" t="s">
        <v>36</v>
      </c>
      <c r="D17" s="125" t="s">
        <v>25</v>
      </c>
      <c r="E17" s="125" t="s">
        <v>25</v>
      </c>
      <c r="F17" s="125" t="s">
        <v>25</v>
      </c>
      <c r="G17" s="125" t="s">
        <v>25</v>
      </c>
      <c r="H17" s="125" t="s">
        <v>74</v>
      </c>
      <c r="I17" s="125" t="s">
        <v>25</v>
      </c>
      <c r="J17" s="125">
        <v>81.62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31.245823225574899</v>
      </c>
      <c r="Y17" s="125">
        <v>0</v>
      </c>
      <c r="Z17" s="125">
        <v>0</v>
      </c>
      <c r="AA17" s="125">
        <v>50.373132029875102</v>
      </c>
      <c r="AB17" s="125">
        <v>0</v>
      </c>
      <c r="AC17" s="125">
        <v>0</v>
      </c>
      <c r="AD17" s="125">
        <v>0</v>
      </c>
      <c r="AE17" s="125">
        <v>0</v>
      </c>
      <c r="AF17" s="125">
        <v>0</v>
      </c>
      <c r="AG17" s="125">
        <v>0</v>
      </c>
      <c r="AH17" s="125">
        <v>0</v>
      </c>
      <c r="AI17" s="125">
        <v>0</v>
      </c>
      <c r="AJ17" s="125">
        <v>0</v>
      </c>
      <c r="AK17" s="125">
        <v>0</v>
      </c>
      <c r="AL17" s="125">
        <v>0</v>
      </c>
      <c r="AM17" s="125">
        <v>0</v>
      </c>
      <c r="AN17" s="125">
        <v>0</v>
      </c>
      <c r="AO17" s="125">
        <v>0</v>
      </c>
      <c r="AP17" s="125">
        <v>0</v>
      </c>
      <c r="AQ17" s="125">
        <v>0</v>
      </c>
      <c r="AR17" s="126">
        <v>0</v>
      </c>
    </row>
    <row r="18" spans="2:44" ht="12" customHeight="1" x14ac:dyDescent="0.25">
      <c r="B18" s="124" t="s">
        <v>35</v>
      </c>
      <c r="C18" s="125" t="s">
        <v>36</v>
      </c>
      <c r="D18" s="125" t="s">
        <v>25</v>
      </c>
      <c r="E18" s="125" t="s">
        <v>25</v>
      </c>
      <c r="F18" s="125" t="s">
        <v>25</v>
      </c>
      <c r="G18" s="125" t="s">
        <v>38</v>
      </c>
      <c r="H18" s="125" t="s">
        <v>71</v>
      </c>
      <c r="I18" s="125" t="s">
        <v>25</v>
      </c>
      <c r="J18" s="125">
        <v>106.01</v>
      </c>
      <c r="K18" s="125">
        <v>235.11</v>
      </c>
      <c r="L18" s="125">
        <v>0</v>
      </c>
      <c r="M18" s="125">
        <v>2.2451590904910601</v>
      </c>
      <c r="N18" s="125">
        <v>0</v>
      </c>
      <c r="O18" s="125">
        <v>0</v>
      </c>
      <c r="P18" s="125">
        <v>0</v>
      </c>
      <c r="Q18" s="125">
        <v>76.934231363701002</v>
      </c>
      <c r="R18" s="125">
        <v>14.4738946756828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5">
        <v>0</v>
      </c>
      <c r="AB18" s="125">
        <v>0</v>
      </c>
      <c r="AC18" s="125">
        <v>0</v>
      </c>
      <c r="AD18" s="125">
        <v>12.3535275982288</v>
      </c>
      <c r="AE18" s="125">
        <v>0</v>
      </c>
      <c r="AF18" s="125">
        <v>0</v>
      </c>
      <c r="AG18" s="125">
        <v>0</v>
      </c>
      <c r="AH18" s="125">
        <v>0</v>
      </c>
      <c r="AI18" s="125">
        <v>0</v>
      </c>
      <c r="AJ18" s="125">
        <v>0</v>
      </c>
      <c r="AK18" s="125">
        <v>0</v>
      </c>
      <c r="AL18" s="125">
        <v>0</v>
      </c>
      <c r="AM18" s="125">
        <v>235.11175342784901</v>
      </c>
      <c r="AN18" s="125">
        <v>0</v>
      </c>
      <c r="AO18" s="125">
        <v>0</v>
      </c>
      <c r="AP18" s="125">
        <v>0</v>
      </c>
      <c r="AQ18" s="125">
        <v>0</v>
      </c>
      <c r="AR18" s="126">
        <v>0</v>
      </c>
    </row>
    <row r="19" spans="2:44" ht="12" customHeight="1" x14ac:dyDescent="0.25">
      <c r="B19" s="124" t="s">
        <v>80</v>
      </c>
      <c r="C19" s="125" t="s">
        <v>79</v>
      </c>
      <c r="D19" s="125" t="s">
        <v>25</v>
      </c>
      <c r="E19" s="125" t="s">
        <v>25</v>
      </c>
      <c r="F19" s="125" t="s">
        <v>81</v>
      </c>
      <c r="G19" s="125" t="s">
        <v>25</v>
      </c>
      <c r="H19" s="125" t="s">
        <v>74</v>
      </c>
      <c r="I19" s="125" t="s">
        <v>25</v>
      </c>
      <c r="J19" s="125">
        <v>11.73</v>
      </c>
      <c r="K19" s="125">
        <v>0</v>
      </c>
      <c r="L19" s="125">
        <v>0</v>
      </c>
      <c r="M19" s="125">
        <v>1.3115548219841301E-2</v>
      </c>
      <c r="N19" s="125">
        <v>0</v>
      </c>
      <c r="O19" s="125">
        <v>0</v>
      </c>
      <c r="P19" s="125">
        <v>0</v>
      </c>
      <c r="Q19" s="125">
        <v>0</v>
      </c>
      <c r="R19" s="125">
        <v>0</v>
      </c>
      <c r="S19" s="125">
        <v>0</v>
      </c>
      <c r="T19" s="125">
        <v>0</v>
      </c>
      <c r="U19" s="125">
        <v>0</v>
      </c>
      <c r="V19" s="125">
        <v>0</v>
      </c>
      <c r="W19" s="125">
        <v>0</v>
      </c>
      <c r="X19" s="125">
        <v>0</v>
      </c>
      <c r="Y19" s="125">
        <v>0</v>
      </c>
      <c r="Z19" s="125">
        <v>0</v>
      </c>
      <c r="AA19" s="125">
        <v>11.718748716574201</v>
      </c>
      <c r="AB19" s="125">
        <v>0</v>
      </c>
      <c r="AC19" s="125">
        <v>0</v>
      </c>
      <c r="AD19" s="125">
        <v>0</v>
      </c>
      <c r="AE19" s="125">
        <v>0</v>
      </c>
      <c r="AF19" s="125">
        <v>0</v>
      </c>
      <c r="AG19" s="125">
        <v>0</v>
      </c>
      <c r="AH19" s="125">
        <v>0</v>
      </c>
      <c r="AI19" s="125">
        <v>0</v>
      </c>
      <c r="AJ19" s="125">
        <v>0</v>
      </c>
      <c r="AK19" s="125">
        <v>0</v>
      </c>
      <c r="AL19" s="125">
        <v>0</v>
      </c>
      <c r="AM19" s="125">
        <v>0</v>
      </c>
      <c r="AN19" s="125">
        <v>0</v>
      </c>
      <c r="AO19" s="125">
        <v>0</v>
      </c>
      <c r="AP19" s="125">
        <v>0</v>
      </c>
      <c r="AQ19" s="125">
        <v>0</v>
      </c>
      <c r="AR19" s="126">
        <v>0</v>
      </c>
    </row>
    <row r="20" spans="2:44" ht="12" customHeight="1" x14ac:dyDescent="0.25">
      <c r="B20" s="124" t="s">
        <v>80</v>
      </c>
      <c r="C20" s="125" t="s">
        <v>79</v>
      </c>
      <c r="D20" s="125" t="s">
        <v>25</v>
      </c>
      <c r="E20" s="125" t="s">
        <v>25</v>
      </c>
      <c r="F20" s="125" t="s">
        <v>82</v>
      </c>
      <c r="G20" s="125" t="s">
        <v>25</v>
      </c>
      <c r="H20" s="125" t="s">
        <v>74</v>
      </c>
      <c r="I20" s="125" t="s">
        <v>25</v>
      </c>
      <c r="J20" s="125">
        <v>30.49</v>
      </c>
      <c r="K20" s="125">
        <v>0</v>
      </c>
      <c r="L20" s="125">
        <v>0</v>
      </c>
      <c r="M20" s="125">
        <v>1.3115548219841301E-2</v>
      </c>
      <c r="N20" s="125">
        <v>0</v>
      </c>
      <c r="O20" s="125">
        <v>0</v>
      </c>
      <c r="P20" s="125">
        <v>0</v>
      </c>
      <c r="Q20" s="125">
        <v>0</v>
      </c>
      <c r="R20" s="125">
        <v>0</v>
      </c>
      <c r="S20" s="125">
        <v>0</v>
      </c>
      <c r="T20" s="125">
        <v>0</v>
      </c>
      <c r="U20" s="125">
        <v>0</v>
      </c>
      <c r="V20" s="125">
        <v>0</v>
      </c>
      <c r="W20" s="125">
        <v>0</v>
      </c>
      <c r="X20" s="125">
        <v>0</v>
      </c>
      <c r="Y20" s="125">
        <v>0</v>
      </c>
      <c r="Z20" s="125">
        <v>0</v>
      </c>
      <c r="AA20" s="125">
        <v>30.477759924107499</v>
      </c>
      <c r="AB20" s="125">
        <v>0</v>
      </c>
      <c r="AC20" s="125">
        <v>0</v>
      </c>
      <c r="AD20" s="125">
        <v>0</v>
      </c>
      <c r="AE20" s="125">
        <v>0</v>
      </c>
      <c r="AF20" s="125">
        <v>0</v>
      </c>
      <c r="AG20" s="125">
        <v>0</v>
      </c>
      <c r="AH20" s="125">
        <v>0</v>
      </c>
      <c r="AI20" s="125">
        <v>0</v>
      </c>
      <c r="AJ20" s="125">
        <v>0</v>
      </c>
      <c r="AK20" s="125">
        <v>0</v>
      </c>
      <c r="AL20" s="125">
        <v>0</v>
      </c>
      <c r="AM20" s="125">
        <v>0</v>
      </c>
      <c r="AN20" s="125">
        <v>0</v>
      </c>
      <c r="AO20" s="125">
        <v>0</v>
      </c>
      <c r="AP20" s="125">
        <v>0</v>
      </c>
      <c r="AQ20" s="125">
        <v>0</v>
      </c>
      <c r="AR20" s="126">
        <v>0</v>
      </c>
    </row>
    <row r="21" spans="2:44" ht="12" customHeight="1" x14ac:dyDescent="0.25">
      <c r="B21" s="124" t="s">
        <v>22</v>
      </c>
      <c r="C21" s="125" t="s">
        <v>85</v>
      </c>
      <c r="D21" s="125" t="s">
        <v>24</v>
      </c>
      <c r="E21" s="125" t="s">
        <v>24</v>
      </c>
      <c r="F21" s="125" t="s">
        <v>25</v>
      </c>
      <c r="G21" s="125" t="s">
        <v>37</v>
      </c>
      <c r="H21" s="125" t="s">
        <v>71</v>
      </c>
      <c r="I21" s="125" t="s">
        <v>25</v>
      </c>
      <c r="J21" s="125">
        <v>1841.85</v>
      </c>
      <c r="K21" s="125">
        <v>235.11</v>
      </c>
      <c r="L21" s="125">
        <v>0</v>
      </c>
      <c r="M21" s="125">
        <v>2.5395093085379701</v>
      </c>
      <c r="N21" s="125">
        <v>0</v>
      </c>
      <c r="O21" s="125">
        <v>0</v>
      </c>
      <c r="P21" s="125">
        <v>0</v>
      </c>
      <c r="Q21" s="125">
        <v>91.588370671072596</v>
      </c>
      <c r="R21" s="125">
        <v>14.4738946756828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353.32776903480197</v>
      </c>
      <c r="Y21" s="125">
        <v>0</v>
      </c>
      <c r="Z21" s="125">
        <v>0</v>
      </c>
      <c r="AA21" s="125">
        <v>1352.0544875297901</v>
      </c>
      <c r="AB21" s="125">
        <v>0</v>
      </c>
      <c r="AC21" s="125">
        <v>0</v>
      </c>
      <c r="AD21" s="125">
        <v>27.869752303901102</v>
      </c>
      <c r="AE21" s="125">
        <v>0</v>
      </c>
      <c r="AF21" s="125">
        <v>0</v>
      </c>
      <c r="AG21" s="125">
        <v>0</v>
      </c>
      <c r="AH21" s="125">
        <v>0</v>
      </c>
      <c r="AI21" s="125">
        <v>0</v>
      </c>
      <c r="AJ21" s="125">
        <v>0</v>
      </c>
      <c r="AK21" s="125">
        <v>0</v>
      </c>
      <c r="AL21" s="125">
        <v>0</v>
      </c>
      <c r="AM21" s="125">
        <v>235.11175342784901</v>
      </c>
      <c r="AN21" s="125">
        <v>0</v>
      </c>
      <c r="AO21" s="125">
        <v>0</v>
      </c>
      <c r="AP21" s="125">
        <v>0</v>
      </c>
      <c r="AQ21" s="125">
        <v>0</v>
      </c>
      <c r="AR21" s="126">
        <v>0</v>
      </c>
    </row>
    <row r="22" spans="2:44" ht="12" customHeight="1" x14ac:dyDescent="0.25">
      <c r="B22" s="124" t="s">
        <v>22</v>
      </c>
      <c r="C22" s="125" t="s">
        <v>85</v>
      </c>
      <c r="D22" s="125" t="s">
        <v>24</v>
      </c>
      <c r="E22" s="125" t="s">
        <v>24</v>
      </c>
      <c r="F22" s="125" t="s">
        <v>25</v>
      </c>
      <c r="G22" s="125" t="s">
        <v>507</v>
      </c>
      <c r="H22" s="125" t="s">
        <v>71</v>
      </c>
      <c r="I22" s="125" t="s">
        <v>25</v>
      </c>
      <c r="J22" s="125">
        <v>1159.74</v>
      </c>
      <c r="K22" s="125">
        <v>235.11</v>
      </c>
      <c r="L22" s="125">
        <v>0</v>
      </c>
      <c r="M22" s="125">
        <v>2.5395093085379701</v>
      </c>
      <c r="N22" s="125">
        <v>0</v>
      </c>
      <c r="O22" s="125">
        <v>0</v>
      </c>
      <c r="P22" s="125">
        <v>0</v>
      </c>
      <c r="Q22" s="125">
        <v>91.588370671072596</v>
      </c>
      <c r="R22" s="125">
        <v>14.4738946756828</v>
      </c>
      <c r="S22" s="125">
        <v>0</v>
      </c>
      <c r="T22" s="125">
        <v>0</v>
      </c>
      <c r="U22" s="125">
        <v>0</v>
      </c>
      <c r="V22" s="125">
        <v>0</v>
      </c>
      <c r="W22" s="125">
        <v>0</v>
      </c>
      <c r="X22" s="125">
        <v>212.03415640875201</v>
      </c>
      <c r="Y22" s="125">
        <v>0</v>
      </c>
      <c r="Z22" s="125">
        <v>0</v>
      </c>
      <c r="AA22" s="125">
        <v>811.23273564352598</v>
      </c>
      <c r="AB22" s="125">
        <v>0</v>
      </c>
      <c r="AC22" s="125">
        <v>0</v>
      </c>
      <c r="AD22" s="125">
        <v>27.869752303901102</v>
      </c>
      <c r="AE22" s="125">
        <v>0</v>
      </c>
      <c r="AF22" s="125">
        <v>0</v>
      </c>
      <c r="AG22" s="125">
        <v>0</v>
      </c>
      <c r="AH22" s="125">
        <v>0</v>
      </c>
      <c r="AI22" s="125">
        <v>0</v>
      </c>
      <c r="AJ22" s="125">
        <v>0</v>
      </c>
      <c r="AK22" s="125">
        <v>0</v>
      </c>
      <c r="AL22" s="125">
        <v>0</v>
      </c>
      <c r="AM22" s="125">
        <v>235.11175342784901</v>
      </c>
      <c r="AN22" s="125">
        <v>0</v>
      </c>
      <c r="AO22" s="125">
        <v>0</v>
      </c>
      <c r="AP22" s="125">
        <v>0</v>
      </c>
      <c r="AQ22" s="125">
        <v>0</v>
      </c>
      <c r="AR22" s="126">
        <v>0</v>
      </c>
    </row>
    <row r="23" spans="2:44" ht="12" customHeight="1" x14ac:dyDescent="0.25">
      <c r="B23" s="124" t="s">
        <v>22</v>
      </c>
      <c r="C23" s="125" t="s">
        <v>85</v>
      </c>
      <c r="D23" s="125" t="s">
        <v>24</v>
      </c>
      <c r="E23" s="125" t="s">
        <v>24</v>
      </c>
      <c r="F23" s="125" t="s">
        <v>25</v>
      </c>
      <c r="G23" s="125" t="s">
        <v>38</v>
      </c>
      <c r="H23" s="125" t="s">
        <v>71</v>
      </c>
      <c r="I23" s="125" t="s">
        <v>25</v>
      </c>
      <c r="J23" s="125">
        <v>477.56</v>
      </c>
      <c r="K23" s="125">
        <v>235.11</v>
      </c>
      <c r="L23" s="125">
        <v>0</v>
      </c>
      <c r="M23" s="125">
        <v>2.5395093085379701</v>
      </c>
      <c r="N23" s="125">
        <v>0</v>
      </c>
      <c r="O23" s="125">
        <v>0</v>
      </c>
      <c r="P23" s="125">
        <v>0</v>
      </c>
      <c r="Q23" s="125">
        <v>91.588370671072596</v>
      </c>
      <c r="R23" s="125">
        <v>14.4738946756828</v>
      </c>
      <c r="S23" s="125">
        <v>0</v>
      </c>
      <c r="T23" s="125">
        <v>0</v>
      </c>
      <c r="U23" s="125">
        <v>0</v>
      </c>
      <c r="V23" s="125">
        <v>0</v>
      </c>
      <c r="W23" s="125">
        <v>0</v>
      </c>
      <c r="X23" s="125">
        <v>70.6780521362505</v>
      </c>
      <c r="Y23" s="125">
        <v>0</v>
      </c>
      <c r="Z23" s="125">
        <v>0</v>
      </c>
      <c r="AA23" s="125">
        <v>270.41076812900599</v>
      </c>
      <c r="AB23" s="125">
        <v>0</v>
      </c>
      <c r="AC23" s="125">
        <v>0</v>
      </c>
      <c r="AD23" s="125">
        <v>27.869752303901102</v>
      </c>
      <c r="AE23" s="125">
        <v>0</v>
      </c>
      <c r="AF23" s="125">
        <v>0</v>
      </c>
      <c r="AG23" s="125">
        <v>0</v>
      </c>
      <c r="AH23" s="125">
        <v>0</v>
      </c>
      <c r="AI23" s="125">
        <v>0</v>
      </c>
      <c r="AJ23" s="125">
        <v>0</v>
      </c>
      <c r="AK23" s="125">
        <v>0</v>
      </c>
      <c r="AL23" s="125">
        <v>0</v>
      </c>
      <c r="AM23" s="125">
        <v>235.11175342784901</v>
      </c>
      <c r="AN23" s="125">
        <v>0</v>
      </c>
      <c r="AO23" s="125">
        <v>0</v>
      </c>
      <c r="AP23" s="125">
        <v>0</v>
      </c>
      <c r="AQ23" s="125">
        <v>0</v>
      </c>
      <c r="AR23" s="126">
        <v>0</v>
      </c>
    </row>
    <row r="24" spans="2:44" ht="12" customHeight="1" x14ac:dyDescent="0.25">
      <c r="B24" s="124" t="s">
        <v>22</v>
      </c>
      <c r="C24" s="125" t="s">
        <v>23</v>
      </c>
      <c r="D24" s="125" t="s">
        <v>24</v>
      </c>
      <c r="E24" s="125" t="s">
        <v>1058</v>
      </c>
      <c r="F24" s="125" t="s">
        <v>25</v>
      </c>
      <c r="G24" s="125" t="s">
        <v>25</v>
      </c>
      <c r="H24" s="125" t="s">
        <v>71</v>
      </c>
      <c r="I24" s="125" t="s">
        <v>25</v>
      </c>
      <c r="J24" s="125">
        <v>712.59</v>
      </c>
      <c r="K24" s="125">
        <v>235.11</v>
      </c>
      <c r="L24" s="125">
        <v>0</v>
      </c>
      <c r="M24" s="125">
        <v>2.5395093085379701</v>
      </c>
      <c r="N24" s="125">
        <v>0</v>
      </c>
      <c r="O24" s="125">
        <v>0</v>
      </c>
      <c r="P24" s="125">
        <v>0</v>
      </c>
      <c r="Q24" s="125">
        <v>0</v>
      </c>
      <c r="R24" s="125">
        <v>0</v>
      </c>
      <c r="S24" s="125">
        <v>0</v>
      </c>
      <c r="T24" s="125">
        <v>0</v>
      </c>
      <c r="U24" s="125">
        <v>0</v>
      </c>
      <c r="V24" s="125">
        <v>0</v>
      </c>
      <c r="W24" s="125">
        <v>0</v>
      </c>
      <c r="X24" s="125">
        <v>141.356104272501</v>
      </c>
      <c r="Y24" s="125">
        <v>0</v>
      </c>
      <c r="Z24" s="125">
        <v>0</v>
      </c>
      <c r="AA24" s="125">
        <v>540.82153625801197</v>
      </c>
      <c r="AB24" s="125">
        <v>0</v>
      </c>
      <c r="AC24" s="125">
        <v>0</v>
      </c>
      <c r="AD24" s="125">
        <v>27.869752303901102</v>
      </c>
      <c r="AE24" s="125">
        <v>0</v>
      </c>
      <c r="AF24" s="125">
        <v>0</v>
      </c>
      <c r="AG24" s="125">
        <v>0</v>
      </c>
      <c r="AH24" s="125">
        <v>0</v>
      </c>
      <c r="AI24" s="125">
        <v>0</v>
      </c>
      <c r="AJ24" s="125">
        <v>0</v>
      </c>
      <c r="AK24" s="125">
        <v>0</v>
      </c>
      <c r="AL24" s="125">
        <v>0</v>
      </c>
      <c r="AM24" s="125">
        <v>235.11175342784901</v>
      </c>
      <c r="AN24" s="125">
        <v>0</v>
      </c>
      <c r="AO24" s="125">
        <v>0</v>
      </c>
      <c r="AP24" s="125">
        <v>0</v>
      </c>
      <c r="AQ24" s="125">
        <v>0</v>
      </c>
      <c r="AR24" s="126">
        <v>0</v>
      </c>
    </row>
    <row r="25" spans="2:44" ht="12" customHeight="1" x14ac:dyDescent="0.25">
      <c r="B25" s="124" t="s">
        <v>22</v>
      </c>
      <c r="C25" s="125" t="s">
        <v>23</v>
      </c>
      <c r="D25" s="125" t="s">
        <v>24</v>
      </c>
      <c r="E25" s="125" t="s">
        <v>24</v>
      </c>
      <c r="F25" s="125" t="s">
        <v>25</v>
      </c>
      <c r="G25" s="125" t="s">
        <v>25</v>
      </c>
      <c r="H25" s="125" t="s">
        <v>71</v>
      </c>
      <c r="I25" s="125" t="s">
        <v>25</v>
      </c>
      <c r="J25" s="125">
        <v>818.65</v>
      </c>
      <c r="K25" s="125">
        <v>235.11</v>
      </c>
      <c r="L25" s="125">
        <v>0</v>
      </c>
      <c r="M25" s="125">
        <v>2.5395093085379701</v>
      </c>
      <c r="N25" s="125">
        <v>0</v>
      </c>
      <c r="O25" s="125">
        <v>0</v>
      </c>
      <c r="P25" s="125">
        <v>0</v>
      </c>
      <c r="Q25" s="125">
        <v>91.588370671072596</v>
      </c>
      <c r="R25" s="125">
        <v>14.4738946756828</v>
      </c>
      <c r="S25" s="125">
        <v>0</v>
      </c>
      <c r="T25" s="125">
        <v>0</v>
      </c>
      <c r="U25" s="125">
        <v>0</v>
      </c>
      <c r="V25" s="125">
        <v>0</v>
      </c>
      <c r="W25" s="125">
        <v>0</v>
      </c>
      <c r="X25" s="125">
        <v>141.356104272501</v>
      </c>
      <c r="Y25" s="125">
        <v>0</v>
      </c>
      <c r="Z25" s="125">
        <v>0</v>
      </c>
      <c r="AA25" s="125">
        <v>540.82153625801197</v>
      </c>
      <c r="AB25" s="125">
        <v>0</v>
      </c>
      <c r="AC25" s="125">
        <v>0</v>
      </c>
      <c r="AD25" s="125">
        <v>27.869752303901102</v>
      </c>
      <c r="AE25" s="125">
        <v>0</v>
      </c>
      <c r="AF25" s="125">
        <v>0</v>
      </c>
      <c r="AG25" s="125">
        <v>0</v>
      </c>
      <c r="AH25" s="125">
        <v>0</v>
      </c>
      <c r="AI25" s="125">
        <v>0</v>
      </c>
      <c r="AJ25" s="125">
        <v>0</v>
      </c>
      <c r="AK25" s="125">
        <v>0</v>
      </c>
      <c r="AL25" s="125">
        <v>0</v>
      </c>
      <c r="AM25" s="125">
        <v>235.11175342784901</v>
      </c>
      <c r="AN25" s="125">
        <v>0</v>
      </c>
      <c r="AO25" s="125">
        <v>0</v>
      </c>
      <c r="AP25" s="125">
        <v>0</v>
      </c>
      <c r="AQ25" s="125">
        <v>0</v>
      </c>
      <c r="AR25" s="126">
        <v>0</v>
      </c>
    </row>
    <row r="26" spans="2:44" ht="12" customHeight="1" x14ac:dyDescent="0.25">
      <c r="B26" s="124" t="s">
        <v>22</v>
      </c>
      <c r="C26" s="125" t="s">
        <v>87</v>
      </c>
      <c r="D26" s="125" t="s">
        <v>24</v>
      </c>
      <c r="E26" s="125" t="s">
        <v>1058</v>
      </c>
      <c r="F26" s="125" t="s">
        <v>25</v>
      </c>
      <c r="G26" s="125" t="s">
        <v>25</v>
      </c>
      <c r="H26" s="125" t="s">
        <v>71</v>
      </c>
      <c r="I26" s="125" t="s">
        <v>25</v>
      </c>
      <c r="J26" s="125">
        <v>712.59</v>
      </c>
      <c r="K26" s="125">
        <v>235.11</v>
      </c>
      <c r="L26" s="125">
        <v>0</v>
      </c>
      <c r="M26" s="125">
        <v>2.5395093085379701</v>
      </c>
      <c r="N26" s="125">
        <v>0</v>
      </c>
      <c r="O26" s="125">
        <v>0</v>
      </c>
      <c r="P26" s="125">
        <v>0</v>
      </c>
      <c r="Q26" s="125">
        <v>0</v>
      </c>
      <c r="R26" s="125">
        <v>0</v>
      </c>
      <c r="S26" s="125">
        <v>0</v>
      </c>
      <c r="T26" s="125">
        <v>0</v>
      </c>
      <c r="U26" s="125">
        <v>0</v>
      </c>
      <c r="V26" s="125">
        <v>0</v>
      </c>
      <c r="W26" s="125">
        <v>0</v>
      </c>
      <c r="X26" s="125">
        <v>141.356104272501</v>
      </c>
      <c r="Y26" s="125">
        <v>0</v>
      </c>
      <c r="Z26" s="125">
        <v>0</v>
      </c>
      <c r="AA26" s="125">
        <v>540.82153625801197</v>
      </c>
      <c r="AB26" s="125">
        <v>0</v>
      </c>
      <c r="AC26" s="125">
        <v>0</v>
      </c>
      <c r="AD26" s="125">
        <v>27.869752303901102</v>
      </c>
      <c r="AE26" s="125">
        <v>0</v>
      </c>
      <c r="AF26" s="125">
        <v>0</v>
      </c>
      <c r="AG26" s="125">
        <v>0</v>
      </c>
      <c r="AH26" s="125">
        <v>0</v>
      </c>
      <c r="AI26" s="125">
        <v>0</v>
      </c>
      <c r="AJ26" s="125">
        <v>0</v>
      </c>
      <c r="AK26" s="125">
        <v>0</v>
      </c>
      <c r="AL26" s="125">
        <v>0</v>
      </c>
      <c r="AM26" s="125">
        <v>235.11175342784901</v>
      </c>
      <c r="AN26" s="125">
        <v>0</v>
      </c>
      <c r="AO26" s="125">
        <v>0</v>
      </c>
      <c r="AP26" s="125">
        <v>0</v>
      </c>
      <c r="AQ26" s="125">
        <v>0</v>
      </c>
      <c r="AR26" s="126">
        <v>0</v>
      </c>
    </row>
    <row r="27" spans="2:44" ht="12" customHeight="1" x14ac:dyDescent="0.25">
      <c r="B27" s="124" t="s">
        <v>22</v>
      </c>
      <c r="C27" s="125" t="s">
        <v>87</v>
      </c>
      <c r="D27" s="125" t="s">
        <v>24</v>
      </c>
      <c r="E27" s="125" t="s">
        <v>24</v>
      </c>
      <c r="F27" s="125" t="s">
        <v>25</v>
      </c>
      <c r="G27" s="125" t="s">
        <v>25</v>
      </c>
      <c r="H27" s="125" t="s">
        <v>71</v>
      </c>
      <c r="I27" s="125" t="s">
        <v>25</v>
      </c>
      <c r="J27" s="125">
        <v>818.65</v>
      </c>
      <c r="K27" s="125">
        <v>235.11</v>
      </c>
      <c r="L27" s="125">
        <v>0</v>
      </c>
      <c r="M27" s="125">
        <v>2.5395093085379701</v>
      </c>
      <c r="N27" s="125">
        <v>0</v>
      </c>
      <c r="O27" s="125">
        <v>0</v>
      </c>
      <c r="P27" s="125">
        <v>0</v>
      </c>
      <c r="Q27" s="125">
        <v>91.588370671072596</v>
      </c>
      <c r="R27" s="125">
        <v>14.4738946756828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141.356104272501</v>
      </c>
      <c r="Y27" s="125">
        <v>0</v>
      </c>
      <c r="Z27" s="125">
        <v>0</v>
      </c>
      <c r="AA27" s="125">
        <v>540.82153625801197</v>
      </c>
      <c r="AB27" s="125">
        <v>0</v>
      </c>
      <c r="AC27" s="125">
        <v>0</v>
      </c>
      <c r="AD27" s="125">
        <v>27.869752303901102</v>
      </c>
      <c r="AE27" s="125">
        <v>0</v>
      </c>
      <c r="AF27" s="125">
        <v>0</v>
      </c>
      <c r="AG27" s="125">
        <v>0</v>
      </c>
      <c r="AH27" s="125">
        <v>0</v>
      </c>
      <c r="AI27" s="125">
        <v>0</v>
      </c>
      <c r="AJ27" s="125">
        <v>0</v>
      </c>
      <c r="AK27" s="125">
        <v>0</v>
      </c>
      <c r="AL27" s="125">
        <v>0</v>
      </c>
      <c r="AM27" s="125">
        <v>235.11175342784901</v>
      </c>
      <c r="AN27" s="125">
        <v>0</v>
      </c>
      <c r="AO27" s="125">
        <v>0</v>
      </c>
      <c r="AP27" s="125">
        <v>0</v>
      </c>
      <c r="AQ27" s="125">
        <v>0</v>
      </c>
      <c r="AR27" s="126">
        <v>0</v>
      </c>
    </row>
    <row r="28" spans="2:44" ht="12" customHeight="1" x14ac:dyDescent="0.25">
      <c r="B28" s="124" t="s">
        <v>40</v>
      </c>
      <c r="C28" s="125" t="s">
        <v>85</v>
      </c>
      <c r="D28" s="125" t="s">
        <v>41</v>
      </c>
      <c r="E28" s="125" t="s">
        <v>88</v>
      </c>
      <c r="F28" s="125" t="s">
        <v>25</v>
      </c>
      <c r="G28" s="125" t="s">
        <v>37</v>
      </c>
      <c r="H28" s="125" t="s">
        <v>71</v>
      </c>
      <c r="I28" s="125" t="s">
        <v>25</v>
      </c>
      <c r="J28" s="125">
        <v>1795.46</v>
      </c>
      <c r="K28" s="125">
        <v>221.01</v>
      </c>
      <c r="L28" s="125">
        <v>0</v>
      </c>
      <c r="M28" s="125">
        <v>2.3871387500257</v>
      </c>
      <c r="N28" s="125">
        <v>0</v>
      </c>
      <c r="O28" s="125">
        <v>0</v>
      </c>
      <c r="P28" s="125">
        <v>0</v>
      </c>
      <c r="Q28" s="125">
        <v>86.093068430808302</v>
      </c>
      <c r="R28" s="125">
        <v>13.6054609951419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345.403828264796</v>
      </c>
      <c r="Y28" s="125">
        <v>0</v>
      </c>
      <c r="Z28" s="125">
        <v>0</v>
      </c>
      <c r="AA28" s="125">
        <v>1321.7682399957</v>
      </c>
      <c r="AB28" s="125">
        <v>0</v>
      </c>
      <c r="AC28" s="125">
        <v>0</v>
      </c>
      <c r="AD28" s="125">
        <v>26.197567165667</v>
      </c>
      <c r="AE28" s="125">
        <v>0</v>
      </c>
      <c r="AF28" s="125">
        <v>0</v>
      </c>
      <c r="AG28" s="125">
        <v>0</v>
      </c>
      <c r="AH28" s="125">
        <v>0</v>
      </c>
      <c r="AI28" s="125">
        <v>0</v>
      </c>
      <c r="AJ28" s="125">
        <v>0</v>
      </c>
      <c r="AK28" s="125">
        <v>0</v>
      </c>
      <c r="AL28" s="125">
        <v>0</v>
      </c>
      <c r="AM28" s="125">
        <v>221.005048222178</v>
      </c>
      <c r="AN28" s="125">
        <v>0</v>
      </c>
      <c r="AO28" s="125">
        <v>0</v>
      </c>
      <c r="AP28" s="125">
        <v>0</v>
      </c>
      <c r="AQ28" s="125">
        <v>0</v>
      </c>
      <c r="AR28" s="126">
        <v>0</v>
      </c>
    </row>
    <row r="29" spans="2:44" ht="12" customHeight="1" x14ac:dyDescent="0.25">
      <c r="B29" s="124" t="s">
        <v>40</v>
      </c>
      <c r="C29" s="125" t="s">
        <v>85</v>
      </c>
      <c r="D29" s="125" t="s">
        <v>41</v>
      </c>
      <c r="E29" s="125" t="s">
        <v>88</v>
      </c>
      <c r="F29" s="125" t="s">
        <v>25</v>
      </c>
      <c r="G29" s="125" t="s">
        <v>507</v>
      </c>
      <c r="H29" s="125" t="s">
        <v>71</v>
      </c>
      <c r="I29" s="125" t="s">
        <v>25</v>
      </c>
      <c r="J29" s="125">
        <v>1128.5899999999999</v>
      </c>
      <c r="K29" s="125">
        <v>221.01</v>
      </c>
      <c r="L29" s="125">
        <v>0</v>
      </c>
      <c r="M29" s="125">
        <v>2.3871387500257</v>
      </c>
      <c r="N29" s="125">
        <v>0</v>
      </c>
      <c r="O29" s="125">
        <v>0</v>
      </c>
      <c r="P29" s="125">
        <v>0</v>
      </c>
      <c r="Q29" s="125">
        <v>86.093068430808302</v>
      </c>
      <c r="R29" s="125">
        <v>13.6054609951419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207.24229695887701</v>
      </c>
      <c r="Y29" s="125">
        <v>0</v>
      </c>
      <c r="Z29" s="125">
        <v>0</v>
      </c>
      <c r="AA29" s="125">
        <v>793.06106561175397</v>
      </c>
      <c r="AB29" s="125">
        <v>0</v>
      </c>
      <c r="AC29" s="125">
        <v>0</v>
      </c>
      <c r="AD29" s="125">
        <v>26.197567165667</v>
      </c>
      <c r="AE29" s="125">
        <v>0</v>
      </c>
      <c r="AF29" s="125">
        <v>0</v>
      </c>
      <c r="AG29" s="125">
        <v>0</v>
      </c>
      <c r="AH29" s="125">
        <v>0</v>
      </c>
      <c r="AI29" s="125">
        <v>0</v>
      </c>
      <c r="AJ29" s="125">
        <v>0</v>
      </c>
      <c r="AK29" s="125">
        <v>0</v>
      </c>
      <c r="AL29" s="125">
        <v>0</v>
      </c>
      <c r="AM29" s="125">
        <v>221.005048222178</v>
      </c>
      <c r="AN29" s="125">
        <v>0</v>
      </c>
      <c r="AO29" s="125">
        <v>0</v>
      </c>
      <c r="AP29" s="125">
        <v>0</v>
      </c>
      <c r="AQ29" s="125">
        <v>0</v>
      </c>
      <c r="AR29" s="126">
        <v>0</v>
      </c>
    </row>
    <row r="30" spans="2:44" ht="12" customHeight="1" x14ac:dyDescent="0.25">
      <c r="B30" s="124" t="s">
        <v>40</v>
      </c>
      <c r="C30" s="125" t="s">
        <v>85</v>
      </c>
      <c r="D30" s="125" t="s">
        <v>41</v>
      </c>
      <c r="E30" s="125" t="s">
        <v>88</v>
      </c>
      <c r="F30" s="125" t="s">
        <v>25</v>
      </c>
      <c r="G30" s="125" t="s">
        <v>38</v>
      </c>
      <c r="H30" s="125" t="s">
        <v>71</v>
      </c>
      <c r="I30" s="125" t="s">
        <v>25</v>
      </c>
      <c r="J30" s="125">
        <v>461.72</v>
      </c>
      <c r="K30" s="125">
        <v>221.01</v>
      </c>
      <c r="L30" s="125">
        <v>0</v>
      </c>
      <c r="M30" s="125">
        <v>2.3871387500257</v>
      </c>
      <c r="N30" s="125">
        <v>0</v>
      </c>
      <c r="O30" s="125">
        <v>0</v>
      </c>
      <c r="P30" s="125">
        <v>0</v>
      </c>
      <c r="Q30" s="125">
        <v>86.093068430808302</v>
      </c>
      <c r="R30" s="125">
        <v>13.6054609951419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69.080765652959101</v>
      </c>
      <c r="Y30" s="125">
        <v>0</v>
      </c>
      <c r="Z30" s="125">
        <v>0</v>
      </c>
      <c r="AA30" s="125">
        <v>264.35348584669299</v>
      </c>
      <c r="AB30" s="125">
        <v>0</v>
      </c>
      <c r="AC30" s="125">
        <v>0</v>
      </c>
      <c r="AD30" s="125">
        <v>26.197567165667</v>
      </c>
      <c r="AE30" s="125">
        <v>0</v>
      </c>
      <c r="AF30" s="125">
        <v>0</v>
      </c>
      <c r="AG30" s="125">
        <v>0</v>
      </c>
      <c r="AH30" s="125">
        <v>0</v>
      </c>
      <c r="AI30" s="125">
        <v>0</v>
      </c>
      <c r="AJ30" s="125">
        <v>0</v>
      </c>
      <c r="AK30" s="125">
        <v>0</v>
      </c>
      <c r="AL30" s="125">
        <v>0</v>
      </c>
      <c r="AM30" s="125">
        <v>221.005048222178</v>
      </c>
      <c r="AN30" s="125">
        <v>0</v>
      </c>
      <c r="AO30" s="125">
        <v>0</v>
      </c>
      <c r="AP30" s="125">
        <v>0</v>
      </c>
      <c r="AQ30" s="125">
        <v>0</v>
      </c>
      <c r="AR30" s="126">
        <v>0</v>
      </c>
    </row>
    <row r="31" spans="2:44" ht="12" customHeight="1" x14ac:dyDescent="0.25">
      <c r="B31" s="124" t="s">
        <v>40</v>
      </c>
      <c r="C31" s="125" t="s">
        <v>85</v>
      </c>
      <c r="D31" s="125" t="s">
        <v>41</v>
      </c>
      <c r="E31" s="125" t="s">
        <v>25</v>
      </c>
      <c r="F31" s="125" t="s">
        <v>25</v>
      </c>
      <c r="G31" s="125" t="s">
        <v>37</v>
      </c>
      <c r="H31" s="125" t="s">
        <v>71</v>
      </c>
      <c r="I31" s="125" t="s">
        <v>25</v>
      </c>
      <c r="J31" s="125">
        <v>1795.46</v>
      </c>
      <c r="K31" s="125">
        <v>221.01</v>
      </c>
      <c r="L31" s="125">
        <v>0</v>
      </c>
      <c r="M31" s="125">
        <v>2.3871387500257</v>
      </c>
      <c r="N31" s="125">
        <v>0</v>
      </c>
      <c r="O31" s="125">
        <v>0</v>
      </c>
      <c r="P31" s="125">
        <v>0</v>
      </c>
      <c r="Q31" s="125">
        <v>86.093068430808302</v>
      </c>
      <c r="R31" s="125">
        <v>13.6054609951419</v>
      </c>
      <c r="S31" s="125">
        <v>0</v>
      </c>
      <c r="T31" s="125">
        <v>0</v>
      </c>
      <c r="U31" s="125">
        <v>0</v>
      </c>
      <c r="V31" s="125">
        <v>0</v>
      </c>
      <c r="W31" s="125">
        <v>0</v>
      </c>
      <c r="X31" s="125">
        <v>345.403828264796</v>
      </c>
      <c r="Y31" s="125">
        <v>0</v>
      </c>
      <c r="Z31" s="125">
        <v>0</v>
      </c>
      <c r="AA31" s="125">
        <v>1321.7682399957</v>
      </c>
      <c r="AB31" s="125">
        <v>0</v>
      </c>
      <c r="AC31" s="125">
        <v>0</v>
      </c>
      <c r="AD31" s="125">
        <v>26.197567165667</v>
      </c>
      <c r="AE31" s="125">
        <v>0</v>
      </c>
      <c r="AF31" s="125">
        <v>0</v>
      </c>
      <c r="AG31" s="125">
        <v>0</v>
      </c>
      <c r="AH31" s="125">
        <v>0</v>
      </c>
      <c r="AI31" s="125">
        <v>0</v>
      </c>
      <c r="AJ31" s="125">
        <v>0</v>
      </c>
      <c r="AK31" s="125">
        <v>0</v>
      </c>
      <c r="AL31" s="125">
        <v>0</v>
      </c>
      <c r="AM31" s="125">
        <v>221.005048222178</v>
      </c>
      <c r="AN31" s="125">
        <v>0</v>
      </c>
      <c r="AO31" s="125">
        <v>0</v>
      </c>
      <c r="AP31" s="125">
        <v>0</v>
      </c>
      <c r="AQ31" s="125">
        <v>0</v>
      </c>
      <c r="AR31" s="126">
        <v>0</v>
      </c>
    </row>
    <row r="32" spans="2:44" ht="12" customHeight="1" x14ac:dyDescent="0.25">
      <c r="B32" s="124" t="s">
        <v>40</v>
      </c>
      <c r="C32" s="125" t="s">
        <v>85</v>
      </c>
      <c r="D32" s="125" t="s">
        <v>41</v>
      </c>
      <c r="E32" s="125" t="s">
        <v>25</v>
      </c>
      <c r="F32" s="125" t="s">
        <v>25</v>
      </c>
      <c r="G32" s="125" t="s">
        <v>507</v>
      </c>
      <c r="H32" s="125" t="s">
        <v>71</v>
      </c>
      <c r="I32" s="125" t="s">
        <v>25</v>
      </c>
      <c r="J32" s="125">
        <v>1128.5899999999999</v>
      </c>
      <c r="K32" s="125">
        <v>221.01</v>
      </c>
      <c r="L32" s="125">
        <v>0</v>
      </c>
      <c r="M32" s="125">
        <v>2.3871387500257</v>
      </c>
      <c r="N32" s="125">
        <v>0</v>
      </c>
      <c r="O32" s="125">
        <v>0</v>
      </c>
      <c r="P32" s="125">
        <v>0</v>
      </c>
      <c r="Q32" s="125">
        <v>86.093068430808302</v>
      </c>
      <c r="R32" s="125">
        <v>13.6054609951419</v>
      </c>
      <c r="S32" s="125">
        <v>0</v>
      </c>
      <c r="T32" s="125">
        <v>0</v>
      </c>
      <c r="U32" s="125">
        <v>0</v>
      </c>
      <c r="V32" s="125">
        <v>0</v>
      </c>
      <c r="W32" s="125">
        <v>0</v>
      </c>
      <c r="X32" s="125">
        <v>207.24229695887701</v>
      </c>
      <c r="Y32" s="125">
        <v>0</v>
      </c>
      <c r="Z32" s="125">
        <v>0</v>
      </c>
      <c r="AA32" s="125">
        <v>793.06106561175397</v>
      </c>
      <c r="AB32" s="125">
        <v>0</v>
      </c>
      <c r="AC32" s="125">
        <v>0</v>
      </c>
      <c r="AD32" s="125">
        <v>26.197567165667</v>
      </c>
      <c r="AE32" s="125">
        <v>0</v>
      </c>
      <c r="AF32" s="125">
        <v>0</v>
      </c>
      <c r="AG32" s="125">
        <v>0</v>
      </c>
      <c r="AH32" s="125">
        <v>0</v>
      </c>
      <c r="AI32" s="125">
        <v>0</v>
      </c>
      <c r="AJ32" s="125">
        <v>0</v>
      </c>
      <c r="AK32" s="125">
        <v>0</v>
      </c>
      <c r="AL32" s="125">
        <v>0</v>
      </c>
      <c r="AM32" s="125">
        <v>221.005048222178</v>
      </c>
      <c r="AN32" s="125">
        <v>0</v>
      </c>
      <c r="AO32" s="125">
        <v>0</v>
      </c>
      <c r="AP32" s="125">
        <v>0</v>
      </c>
      <c r="AQ32" s="125">
        <v>0</v>
      </c>
      <c r="AR32" s="126">
        <v>0</v>
      </c>
    </row>
    <row r="33" spans="2:44" ht="12" customHeight="1" x14ac:dyDescent="0.25">
      <c r="B33" s="124" t="s">
        <v>40</v>
      </c>
      <c r="C33" s="125" t="s">
        <v>85</v>
      </c>
      <c r="D33" s="125" t="s">
        <v>41</v>
      </c>
      <c r="E33" s="125" t="s">
        <v>25</v>
      </c>
      <c r="F33" s="125" t="s">
        <v>25</v>
      </c>
      <c r="G33" s="125" t="s">
        <v>38</v>
      </c>
      <c r="H33" s="125" t="s">
        <v>71</v>
      </c>
      <c r="I33" s="125" t="s">
        <v>25</v>
      </c>
      <c r="J33" s="125">
        <v>461.72</v>
      </c>
      <c r="K33" s="125">
        <v>221.01</v>
      </c>
      <c r="L33" s="125">
        <v>0</v>
      </c>
      <c r="M33" s="125">
        <v>2.3871387500257</v>
      </c>
      <c r="N33" s="125">
        <v>0</v>
      </c>
      <c r="O33" s="125">
        <v>0</v>
      </c>
      <c r="P33" s="125">
        <v>0</v>
      </c>
      <c r="Q33" s="125">
        <v>86.093068430808302</v>
      </c>
      <c r="R33" s="125">
        <v>13.6054609951419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69.080765652959101</v>
      </c>
      <c r="Y33" s="125">
        <v>0</v>
      </c>
      <c r="Z33" s="125">
        <v>0</v>
      </c>
      <c r="AA33" s="125">
        <v>264.35348584669299</v>
      </c>
      <c r="AB33" s="125">
        <v>0</v>
      </c>
      <c r="AC33" s="125">
        <v>0</v>
      </c>
      <c r="AD33" s="125">
        <v>26.197567165667</v>
      </c>
      <c r="AE33" s="125">
        <v>0</v>
      </c>
      <c r="AF33" s="125">
        <v>0</v>
      </c>
      <c r="AG33" s="125">
        <v>0</v>
      </c>
      <c r="AH33" s="125">
        <v>0</v>
      </c>
      <c r="AI33" s="125">
        <v>0</v>
      </c>
      <c r="AJ33" s="125">
        <v>0</v>
      </c>
      <c r="AK33" s="125">
        <v>0</v>
      </c>
      <c r="AL33" s="125">
        <v>0</v>
      </c>
      <c r="AM33" s="125">
        <v>221.005048222178</v>
      </c>
      <c r="AN33" s="125">
        <v>0</v>
      </c>
      <c r="AO33" s="125">
        <v>0</v>
      </c>
      <c r="AP33" s="125">
        <v>0</v>
      </c>
      <c r="AQ33" s="125">
        <v>0</v>
      </c>
      <c r="AR33" s="126">
        <v>0</v>
      </c>
    </row>
    <row r="34" spans="2:44" ht="12" customHeight="1" x14ac:dyDescent="0.25">
      <c r="B34" s="124" t="s">
        <v>40</v>
      </c>
      <c r="C34" s="125" t="s">
        <v>85</v>
      </c>
      <c r="D34" s="125" t="s">
        <v>41</v>
      </c>
      <c r="E34" s="125" t="s">
        <v>89</v>
      </c>
      <c r="F34" s="125" t="s">
        <v>25</v>
      </c>
      <c r="G34" s="125" t="s">
        <v>37</v>
      </c>
      <c r="H34" s="125" t="s">
        <v>71</v>
      </c>
      <c r="I34" s="125" t="s">
        <v>25</v>
      </c>
      <c r="J34" s="125">
        <v>1757.25</v>
      </c>
      <c r="K34" s="125">
        <v>216.3</v>
      </c>
      <c r="L34" s="125">
        <v>0</v>
      </c>
      <c r="M34" s="125">
        <v>2.3363485638549402</v>
      </c>
      <c r="N34" s="125">
        <v>0</v>
      </c>
      <c r="O34" s="125">
        <v>0</v>
      </c>
      <c r="P34" s="125">
        <v>0</v>
      </c>
      <c r="Q34" s="125">
        <v>84.261301017386799</v>
      </c>
      <c r="R34" s="125">
        <v>13.3159831016282</v>
      </c>
      <c r="S34" s="125">
        <v>0</v>
      </c>
      <c r="T34" s="125">
        <v>0</v>
      </c>
      <c r="U34" s="125">
        <v>0</v>
      </c>
      <c r="V34" s="125">
        <v>0</v>
      </c>
      <c r="W34" s="125">
        <v>0</v>
      </c>
      <c r="X34" s="125">
        <v>338.05481064214001</v>
      </c>
      <c r="Y34" s="125">
        <v>0</v>
      </c>
      <c r="Z34" s="125">
        <v>0</v>
      </c>
      <c r="AA34" s="125">
        <v>1293.6455114851501</v>
      </c>
      <c r="AB34" s="125">
        <v>0</v>
      </c>
      <c r="AC34" s="125">
        <v>0</v>
      </c>
      <c r="AD34" s="125">
        <v>25.640172119589</v>
      </c>
      <c r="AE34" s="125">
        <v>0</v>
      </c>
      <c r="AF34" s="125">
        <v>0</v>
      </c>
      <c r="AG34" s="125">
        <v>0</v>
      </c>
      <c r="AH34" s="125">
        <v>0</v>
      </c>
      <c r="AI34" s="125">
        <v>0</v>
      </c>
      <c r="AJ34" s="125">
        <v>0</v>
      </c>
      <c r="AK34" s="125">
        <v>0</v>
      </c>
      <c r="AL34" s="125">
        <v>0</v>
      </c>
      <c r="AM34" s="125">
        <v>216.302813153621</v>
      </c>
      <c r="AN34" s="125">
        <v>0</v>
      </c>
      <c r="AO34" s="125">
        <v>0</v>
      </c>
      <c r="AP34" s="125">
        <v>0</v>
      </c>
      <c r="AQ34" s="125">
        <v>0</v>
      </c>
      <c r="AR34" s="126">
        <v>0</v>
      </c>
    </row>
    <row r="35" spans="2:44" ht="12" customHeight="1" x14ac:dyDescent="0.25">
      <c r="B35" s="124" t="s">
        <v>40</v>
      </c>
      <c r="C35" s="125" t="s">
        <v>85</v>
      </c>
      <c r="D35" s="125" t="s">
        <v>41</v>
      </c>
      <c r="E35" s="125" t="s">
        <v>89</v>
      </c>
      <c r="F35" s="125" t="s">
        <v>25</v>
      </c>
      <c r="G35" s="125" t="s">
        <v>507</v>
      </c>
      <c r="H35" s="125" t="s">
        <v>71</v>
      </c>
      <c r="I35" s="125" t="s">
        <v>25</v>
      </c>
      <c r="J35" s="125">
        <v>1104.57</v>
      </c>
      <c r="K35" s="125">
        <v>216.3</v>
      </c>
      <c r="L35" s="125">
        <v>0</v>
      </c>
      <c r="M35" s="125">
        <v>2.3363485638549402</v>
      </c>
      <c r="N35" s="125">
        <v>0</v>
      </c>
      <c r="O35" s="125">
        <v>0</v>
      </c>
      <c r="P35" s="125">
        <v>0</v>
      </c>
      <c r="Q35" s="125">
        <v>84.261301017386799</v>
      </c>
      <c r="R35" s="125">
        <v>13.3159831016282</v>
      </c>
      <c r="S35" s="125">
        <v>0</v>
      </c>
      <c r="T35" s="125">
        <v>0</v>
      </c>
      <c r="U35" s="125">
        <v>0</v>
      </c>
      <c r="V35" s="125">
        <v>0</v>
      </c>
      <c r="W35" s="125">
        <v>0</v>
      </c>
      <c r="X35" s="125">
        <v>202.83288638528401</v>
      </c>
      <c r="Y35" s="125">
        <v>0</v>
      </c>
      <c r="Z35" s="125">
        <v>0</v>
      </c>
      <c r="AA35" s="125">
        <v>776.18742591788703</v>
      </c>
      <c r="AB35" s="125">
        <v>0</v>
      </c>
      <c r="AC35" s="125">
        <v>0</v>
      </c>
      <c r="AD35" s="125">
        <v>25.640172119589</v>
      </c>
      <c r="AE35" s="125">
        <v>0</v>
      </c>
      <c r="AF35" s="125">
        <v>0</v>
      </c>
      <c r="AG35" s="125">
        <v>0</v>
      </c>
      <c r="AH35" s="125">
        <v>0</v>
      </c>
      <c r="AI35" s="125">
        <v>0</v>
      </c>
      <c r="AJ35" s="125">
        <v>0</v>
      </c>
      <c r="AK35" s="125">
        <v>0</v>
      </c>
      <c r="AL35" s="125">
        <v>0</v>
      </c>
      <c r="AM35" s="125">
        <v>216.302813153621</v>
      </c>
      <c r="AN35" s="125">
        <v>0</v>
      </c>
      <c r="AO35" s="125">
        <v>0</v>
      </c>
      <c r="AP35" s="125">
        <v>0</v>
      </c>
      <c r="AQ35" s="125">
        <v>0</v>
      </c>
      <c r="AR35" s="126">
        <v>0</v>
      </c>
    </row>
    <row r="36" spans="2:44" ht="12" customHeight="1" x14ac:dyDescent="0.25">
      <c r="B36" s="124" t="s">
        <v>40</v>
      </c>
      <c r="C36" s="125" t="s">
        <v>85</v>
      </c>
      <c r="D36" s="125" t="s">
        <v>41</v>
      </c>
      <c r="E36" s="125" t="s">
        <v>89</v>
      </c>
      <c r="F36" s="125" t="s">
        <v>25</v>
      </c>
      <c r="G36" s="125" t="s">
        <v>38</v>
      </c>
      <c r="H36" s="125" t="s">
        <v>71</v>
      </c>
      <c r="I36" s="125" t="s">
        <v>25</v>
      </c>
      <c r="J36" s="125">
        <v>451.89</v>
      </c>
      <c r="K36" s="125">
        <v>216.3</v>
      </c>
      <c r="L36" s="125">
        <v>0</v>
      </c>
      <c r="M36" s="125">
        <v>2.3363485638549402</v>
      </c>
      <c r="N36" s="125">
        <v>0</v>
      </c>
      <c r="O36" s="125">
        <v>0</v>
      </c>
      <c r="P36" s="125">
        <v>0</v>
      </c>
      <c r="Q36" s="125">
        <v>84.261301017386799</v>
      </c>
      <c r="R36" s="125">
        <v>13.3159831016282</v>
      </c>
      <c r="S36" s="125">
        <v>0</v>
      </c>
      <c r="T36" s="125">
        <v>0</v>
      </c>
      <c r="U36" s="125">
        <v>0</v>
      </c>
      <c r="V36" s="125">
        <v>0</v>
      </c>
      <c r="W36" s="125">
        <v>0</v>
      </c>
      <c r="X36" s="125">
        <v>67.610962128428099</v>
      </c>
      <c r="Y36" s="125">
        <v>0</v>
      </c>
      <c r="Z36" s="125">
        <v>0</v>
      </c>
      <c r="AA36" s="125">
        <v>258.72894359463498</v>
      </c>
      <c r="AB36" s="125">
        <v>0</v>
      </c>
      <c r="AC36" s="125">
        <v>0</v>
      </c>
      <c r="AD36" s="125">
        <v>25.640172119589</v>
      </c>
      <c r="AE36" s="125">
        <v>0</v>
      </c>
      <c r="AF36" s="125">
        <v>0</v>
      </c>
      <c r="AG36" s="125">
        <v>0</v>
      </c>
      <c r="AH36" s="125">
        <v>0</v>
      </c>
      <c r="AI36" s="125">
        <v>0</v>
      </c>
      <c r="AJ36" s="125">
        <v>0</v>
      </c>
      <c r="AK36" s="125">
        <v>0</v>
      </c>
      <c r="AL36" s="125">
        <v>0</v>
      </c>
      <c r="AM36" s="125">
        <v>216.302813153621</v>
      </c>
      <c r="AN36" s="125">
        <v>0</v>
      </c>
      <c r="AO36" s="125">
        <v>0</v>
      </c>
      <c r="AP36" s="125">
        <v>0</v>
      </c>
      <c r="AQ36" s="125">
        <v>0</v>
      </c>
      <c r="AR36" s="126">
        <v>0</v>
      </c>
    </row>
    <row r="37" spans="2:44" ht="12" customHeight="1" x14ac:dyDescent="0.25">
      <c r="B37" s="124" t="s">
        <v>40</v>
      </c>
      <c r="C37" s="125" t="s">
        <v>23</v>
      </c>
      <c r="D37" s="125" t="s">
        <v>41</v>
      </c>
      <c r="E37" s="125" t="s">
        <v>88</v>
      </c>
      <c r="F37" s="125" t="s">
        <v>25</v>
      </c>
      <c r="G37" s="125" t="s">
        <v>25</v>
      </c>
      <c r="H37" s="125" t="s">
        <v>71</v>
      </c>
      <c r="I37" s="125" t="s">
        <v>25</v>
      </c>
      <c r="J37" s="125">
        <v>769.53</v>
      </c>
      <c r="K37" s="125">
        <v>221.01</v>
      </c>
      <c r="L37" s="125">
        <v>0</v>
      </c>
      <c r="M37" s="125">
        <v>2.3871387500257</v>
      </c>
      <c r="N37" s="125">
        <v>0</v>
      </c>
      <c r="O37" s="125">
        <v>0</v>
      </c>
      <c r="P37" s="125">
        <v>0</v>
      </c>
      <c r="Q37" s="125">
        <v>86.093068430808302</v>
      </c>
      <c r="R37" s="125">
        <v>13.6054609951419</v>
      </c>
      <c r="S37" s="125">
        <v>0</v>
      </c>
      <c r="T37" s="125">
        <v>0</v>
      </c>
      <c r="U37" s="125">
        <v>0</v>
      </c>
      <c r="V37" s="125">
        <v>0</v>
      </c>
      <c r="W37" s="125">
        <v>0</v>
      </c>
      <c r="X37" s="125">
        <v>132.87473801615101</v>
      </c>
      <c r="Y37" s="125">
        <v>0</v>
      </c>
      <c r="Z37" s="125">
        <v>0</v>
      </c>
      <c r="AA37" s="125">
        <v>508.37224408253098</v>
      </c>
      <c r="AB37" s="125">
        <v>0</v>
      </c>
      <c r="AC37" s="125">
        <v>0</v>
      </c>
      <c r="AD37" s="125">
        <v>26.197567165667</v>
      </c>
      <c r="AE37" s="125">
        <v>0</v>
      </c>
      <c r="AF37" s="125">
        <v>0</v>
      </c>
      <c r="AG37" s="125">
        <v>0</v>
      </c>
      <c r="AH37" s="125">
        <v>0</v>
      </c>
      <c r="AI37" s="125">
        <v>0</v>
      </c>
      <c r="AJ37" s="125">
        <v>0</v>
      </c>
      <c r="AK37" s="125">
        <v>0</v>
      </c>
      <c r="AL37" s="125">
        <v>0</v>
      </c>
      <c r="AM37" s="125">
        <v>221.005048222178</v>
      </c>
      <c r="AN37" s="125">
        <v>0</v>
      </c>
      <c r="AO37" s="125">
        <v>0</v>
      </c>
      <c r="AP37" s="125">
        <v>0</v>
      </c>
      <c r="AQ37" s="125">
        <v>0</v>
      </c>
      <c r="AR37" s="126">
        <v>0</v>
      </c>
    </row>
    <row r="38" spans="2:44" ht="12" customHeight="1" x14ac:dyDescent="0.25">
      <c r="B38" s="124" t="s">
        <v>40</v>
      </c>
      <c r="C38" s="125" t="s">
        <v>23</v>
      </c>
      <c r="D38" s="125" t="s">
        <v>41</v>
      </c>
      <c r="E38" s="125" t="s">
        <v>25</v>
      </c>
      <c r="F38" s="125" t="s">
        <v>25</v>
      </c>
      <c r="G38" s="125" t="s">
        <v>25</v>
      </c>
      <c r="H38" s="125" t="s">
        <v>71</v>
      </c>
      <c r="I38" s="125" t="s">
        <v>25</v>
      </c>
      <c r="J38" s="125">
        <v>769.53</v>
      </c>
      <c r="K38" s="125">
        <v>221.01</v>
      </c>
      <c r="L38" s="125">
        <v>0</v>
      </c>
      <c r="M38" s="125">
        <v>2.3871387500257</v>
      </c>
      <c r="N38" s="125">
        <v>0</v>
      </c>
      <c r="O38" s="125">
        <v>0</v>
      </c>
      <c r="P38" s="125">
        <v>0</v>
      </c>
      <c r="Q38" s="125">
        <v>86.093068430808302</v>
      </c>
      <c r="R38" s="125">
        <v>13.6054609951419</v>
      </c>
      <c r="S38" s="125">
        <v>0</v>
      </c>
      <c r="T38" s="125">
        <v>0</v>
      </c>
      <c r="U38" s="125">
        <v>0</v>
      </c>
      <c r="V38" s="125">
        <v>0</v>
      </c>
      <c r="W38" s="125">
        <v>0</v>
      </c>
      <c r="X38" s="125">
        <v>132.87473801615101</v>
      </c>
      <c r="Y38" s="125">
        <v>0</v>
      </c>
      <c r="Z38" s="125">
        <v>0</v>
      </c>
      <c r="AA38" s="125">
        <v>508.37224408253098</v>
      </c>
      <c r="AB38" s="125">
        <v>0</v>
      </c>
      <c r="AC38" s="125">
        <v>0</v>
      </c>
      <c r="AD38" s="125">
        <v>26.197567165667</v>
      </c>
      <c r="AE38" s="125">
        <v>0</v>
      </c>
      <c r="AF38" s="125">
        <v>0</v>
      </c>
      <c r="AG38" s="125">
        <v>0</v>
      </c>
      <c r="AH38" s="125">
        <v>0</v>
      </c>
      <c r="AI38" s="125">
        <v>0</v>
      </c>
      <c r="AJ38" s="125">
        <v>0</v>
      </c>
      <c r="AK38" s="125">
        <v>0</v>
      </c>
      <c r="AL38" s="125">
        <v>0</v>
      </c>
      <c r="AM38" s="125">
        <v>221.005048222178</v>
      </c>
      <c r="AN38" s="125">
        <v>0</v>
      </c>
      <c r="AO38" s="125">
        <v>0</v>
      </c>
      <c r="AP38" s="125">
        <v>0</v>
      </c>
      <c r="AQ38" s="125">
        <v>0</v>
      </c>
      <c r="AR38" s="126">
        <v>0</v>
      </c>
    </row>
    <row r="39" spans="2:44" ht="12" customHeight="1" x14ac:dyDescent="0.25">
      <c r="B39" s="124" t="s">
        <v>40</v>
      </c>
      <c r="C39" s="125" t="s">
        <v>23</v>
      </c>
      <c r="D39" s="125" t="s">
        <v>41</v>
      </c>
      <c r="E39" s="125" t="s">
        <v>89</v>
      </c>
      <c r="F39" s="125" t="s">
        <v>25</v>
      </c>
      <c r="G39" s="125" t="s">
        <v>25</v>
      </c>
      <c r="H39" s="125" t="s">
        <v>71</v>
      </c>
      <c r="I39" s="125" t="s">
        <v>25</v>
      </c>
      <c r="J39" s="125">
        <v>753.16</v>
      </c>
      <c r="K39" s="125">
        <v>216.3</v>
      </c>
      <c r="L39" s="125">
        <v>0</v>
      </c>
      <c r="M39" s="125">
        <v>2.3363485638549402</v>
      </c>
      <c r="N39" s="125">
        <v>0</v>
      </c>
      <c r="O39" s="125">
        <v>0</v>
      </c>
      <c r="P39" s="125">
        <v>0</v>
      </c>
      <c r="Q39" s="125">
        <v>84.261301017386799</v>
      </c>
      <c r="R39" s="125">
        <v>13.3159831016282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130.047615930701</v>
      </c>
      <c r="Y39" s="125">
        <v>0</v>
      </c>
      <c r="Z39" s="125">
        <v>0</v>
      </c>
      <c r="AA39" s="125">
        <v>497.55581335737099</v>
      </c>
      <c r="AB39" s="125">
        <v>0</v>
      </c>
      <c r="AC39" s="125">
        <v>0</v>
      </c>
      <c r="AD39" s="125">
        <v>25.640172119589</v>
      </c>
      <c r="AE39" s="125">
        <v>0</v>
      </c>
      <c r="AF39" s="125">
        <v>0</v>
      </c>
      <c r="AG39" s="125">
        <v>0</v>
      </c>
      <c r="AH39" s="125">
        <v>0</v>
      </c>
      <c r="AI39" s="125">
        <v>0</v>
      </c>
      <c r="AJ39" s="125">
        <v>0</v>
      </c>
      <c r="AK39" s="125">
        <v>0</v>
      </c>
      <c r="AL39" s="125">
        <v>0</v>
      </c>
      <c r="AM39" s="125">
        <v>216.302813153621</v>
      </c>
      <c r="AN39" s="125">
        <v>0</v>
      </c>
      <c r="AO39" s="125">
        <v>0</v>
      </c>
      <c r="AP39" s="125">
        <v>0</v>
      </c>
      <c r="AQ39" s="125">
        <v>0</v>
      </c>
      <c r="AR39" s="126">
        <v>0</v>
      </c>
    </row>
    <row r="40" spans="2:44" ht="12" customHeight="1" x14ac:dyDescent="0.25">
      <c r="B40" s="124" t="s">
        <v>40</v>
      </c>
      <c r="C40" s="125" t="s">
        <v>87</v>
      </c>
      <c r="D40" s="125" t="s">
        <v>41</v>
      </c>
      <c r="E40" s="125" t="s">
        <v>88</v>
      </c>
      <c r="F40" s="125" t="s">
        <v>25</v>
      </c>
      <c r="G40" s="125" t="s">
        <v>25</v>
      </c>
      <c r="H40" s="125" t="s">
        <v>71</v>
      </c>
      <c r="I40" s="125" t="s">
        <v>25</v>
      </c>
      <c r="J40" s="125">
        <v>769.53</v>
      </c>
      <c r="K40" s="125">
        <v>221.01</v>
      </c>
      <c r="L40" s="125">
        <v>0</v>
      </c>
      <c r="M40" s="125">
        <v>2.3871387500257</v>
      </c>
      <c r="N40" s="125">
        <v>0</v>
      </c>
      <c r="O40" s="125">
        <v>0</v>
      </c>
      <c r="P40" s="125">
        <v>0</v>
      </c>
      <c r="Q40" s="125">
        <v>86.093068430808302</v>
      </c>
      <c r="R40" s="125">
        <v>13.6054609951419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132.87473801615101</v>
      </c>
      <c r="Y40" s="125">
        <v>0</v>
      </c>
      <c r="Z40" s="125">
        <v>0</v>
      </c>
      <c r="AA40" s="125">
        <v>508.37224408253098</v>
      </c>
      <c r="AB40" s="125">
        <v>0</v>
      </c>
      <c r="AC40" s="125">
        <v>0</v>
      </c>
      <c r="AD40" s="125">
        <v>26.197567165667</v>
      </c>
      <c r="AE40" s="125">
        <v>0</v>
      </c>
      <c r="AF40" s="125">
        <v>0</v>
      </c>
      <c r="AG40" s="125">
        <v>0</v>
      </c>
      <c r="AH40" s="125">
        <v>0</v>
      </c>
      <c r="AI40" s="125">
        <v>0</v>
      </c>
      <c r="AJ40" s="125">
        <v>0</v>
      </c>
      <c r="AK40" s="125">
        <v>0</v>
      </c>
      <c r="AL40" s="125">
        <v>0</v>
      </c>
      <c r="AM40" s="125">
        <v>221.005048222178</v>
      </c>
      <c r="AN40" s="125">
        <v>0</v>
      </c>
      <c r="AO40" s="125">
        <v>0</v>
      </c>
      <c r="AP40" s="125">
        <v>0</v>
      </c>
      <c r="AQ40" s="125">
        <v>0</v>
      </c>
      <c r="AR40" s="126">
        <v>0</v>
      </c>
    </row>
    <row r="41" spans="2:44" ht="12" customHeight="1" x14ac:dyDescent="0.25">
      <c r="B41" s="124" t="s">
        <v>40</v>
      </c>
      <c r="C41" s="125" t="s">
        <v>87</v>
      </c>
      <c r="D41" s="125" t="s">
        <v>41</v>
      </c>
      <c r="E41" s="125" t="s">
        <v>25</v>
      </c>
      <c r="F41" s="125" t="s">
        <v>25</v>
      </c>
      <c r="G41" s="125" t="s">
        <v>25</v>
      </c>
      <c r="H41" s="125" t="s">
        <v>71</v>
      </c>
      <c r="I41" s="125" t="s">
        <v>25</v>
      </c>
      <c r="J41" s="125">
        <v>769.53</v>
      </c>
      <c r="K41" s="125">
        <v>221.01</v>
      </c>
      <c r="L41" s="125">
        <v>0</v>
      </c>
      <c r="M41" s="125">
        <v>2.3871387500257</v>
      </c>
      <c r="N41" s="125">
        <v>0</v>
      </c>
      <c r="O41" s="125">
        <v>0</v>
      </c>
      <c r="P41" s="125">
        <v>0</v>
      </c>
      <c r="Q41" s="125">
        <v>86.093068430808302</v>
      </c>
      <c r="R41" s="125">
        <v>13.6054609951419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132.87473801615101</v>
      </c>
      <c r="Y41" s="125">
        <v>0</v>
      </c>
      <c r="Z41" s="125">
        <v>0</v>
      </c>
      <c r="AA41" s="125">
        <v>508.37224408253098</v>
      </c>
      <c r="AB41" s="125">
        <v>0</v>
      </c>
      <c r="AC41" s="125">
        <v>0</v>
      </c>
      <c r="AD41" s="125">
        <v>26.197567165667</v>
      </c>
      <c r="AE41" s="125">
        <v>0</v>
      </c>
      <c r="AF41" s="125">
        <v>0</v>
      </c>
      <c r="AG41" s="125">
        <v>0</v>
      </c>
      <c r="AH41" s="125">
        <v>0</v>
      </c>
      <c r="AI41" s="125">
        <v>0</v>
      </c>
      <c r="AJ41" s="125">
        <v>0</v>
      </c>
      <c r="AK41" s="125">
        <v>0</v>
      </c>
      <c r="AL41" s="125">
        <v>0</v>
      </c>
      <c r="AM41" s="125">
        <v>221.005048222178</v>
      </c>
      <c r="AN41" s="125">
        <v>0</v>
      </c>
      <c r="AO41" s="125">
        <v>0</v>
      </c>
      <c r="AP41" s="125">
        <v>0</v>
      </c>
      <c r="AQ41" s="125">
        <v>0</v>
      </c>
      <c r="AR41" s="126">
        <v>0</v>
      </c>
    </row>
    <row r="42" spans="2:44" ht="12" customHeight="1" x14ac:dyDescent="0.25">
      <c r="B42" s="124" t="s">
        <v>40</v>
      </c>
      <c r="C42" s="125" t="s">
        <v>87</v>
      </c>
      <c r="D42" s="125" t="s">
        <v>41</v>
      </c>
      <c r="E42" s="125" t="s">
        <v>89</v>
      </c>
      <c r="F42" s="125" t="s">
        <v>25</v>
      </c>
      <c r="G42" s="125" t="s">
        <v>25</v>
      </c>
      <c r="H42" s="125" t="s">
        <v>71</v>
      </c>
      <c r="I42" s="125" t="s">
        <v>25</v>
      </c>
      <c r="J42" s="125">
        <v>753.16</v>
      </c>
      <c r="K42" s="125">
        <v>216.3</v>
      </c>
      <c r="L42" s="125">
        <v>0</v>
      </c>
      <c r="M42" s="125">
        <v>2.3363485638549402</v>
      </c>
      <c r="N42" s="125">
        <v>0</v>
      </c>
      <c r="O42" s="125">
        <v>0</v>
      </c>
      <c r="P42" s="125">
        <v>0</v>
      </c>
      <c r="Q42" s="125">
        <v>84.261301017386799</v>
      </c>
      <c r="R42" s="125">
        <v>13.3159831016282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130.047615930701</v>
      </c>
      <c r="Y42" s="125">
        <v>0</v>
      </c>
      <c r="Z42" s="125">
        <v>0</v>
      </c>
      <c r="AA42" s="125">
        <v>497.55581335737099</v>
      </c>
      <c r="AB42" s="125">
        <v>0</v>
      </c>
      <c r="AC42" s="125">
        <v>0</v>
      </c>
      <c r="AD42" s="125">
        <v>25.640172119589</v>
      </c>
      <c r="AE42" s="125">
        <v>0</v>
      </c>
      <c r="AF42" s="125">
        <v>0</v>
      </c>
      <c r="AG42" s="125">
        <v>0</v>
      </c>
      <c r="AH42" s="125">
        <v>0</v>
      </c>
      <c r="AI42" s="125">
        <v>0</v>
      </c>
      <c r="AJ42" s="125">
        <v>0</v>
      </c>
      <c r="AK42" s="125">
        <v>0</v>
      </c>
      <c r="AL42" s="125">
        <v>0</v>
      </c>
      <c r="AM42" s="125">
        <v>216.302813153621</v>
      </c>
      <c r="AN42" s="125">
        <v>0</v>
      </c>
      <c r="AO42" s="125">
        <v>0</v>
      </c>
      <c r="AP42" s="125">
        <v>0</v>
      </c>
      <c r="AQ42" s="125">
        <v>0</v>
      </c>
      <c r="AR42" s="126">
        <v>0</v>
      </c>
    </row>
    <row r="43" spans="2:44" ht="12" customHeight="1" x14ac:dyDescent="0.25">
      <c r="B43" s="124" t="s">
        <v>33</v>
      </c>
      <c r="C43" s="125" t="s">
        <v>85</v>
      </c>
      <c r="D43" s="125" t="s">
        <v>25</v>
      </c>
      <c r="E43" s="125" t="s">
        <v>25</v>
      </c>
      <c r="F43" s="125" t="s">
        <v>25</v>
      </c>
      <c r="G43" s="125" t="s">
        <v>37</v>
      </c>
      <c r="H43" s="125" t="s">
        <v>71</v>
      </c>
      <c r="I43" s="125" t="s">
        <v>25</v>
      </c>
      <c r="J43" s="125">
        <v>2182.94</v>
      </c>
      <c r="K43" s="125">
        <v>235.11</v>
      </c>
      <c r="L43" s="125">
        <v>0</v>
      </c>
      <c r="M43" s="125">
        <v>2.5395093085379701</v>
      </c>
      <c r="N43" s="125">
        <v>0</v>
      </c>
      <c r="O43" s="125">
        <v>0</v>
      </c>
      <c r="P43" s="125">
        <v>0</v>
      </c>
      <c r="Q43" s="125">
        <v>91.588370671072596</v>
      </c>
      <c r="R43" s="125">
        <v>14.4738946756828</v>
      </c>
      <c r="S43" s="125">
        <v>0</v>
      </c>
      <c r="T43" s="125">
        <v>0</v>
      </c>
      <c r="U43" s="125">
        <v>0</v>
      </c>
      <c r="V43" s="125">
        <v>0</v>
      </c>
      <c r="W43" s="125">
        <v>0</v>
      </c>
      <c r="X43" s="125">
        <v>424.00582117105199</v>
      </c>
      <c r="Y43" s="125">
        <v>0</v>
      </c>
      <c r="Z43" s="125">
        <v>0</v>
      </c>
      <c r="AA43" s="125">
        <v>1622.4652556588001</v>
      </c>
      <c r="AB43" s="125">
        <v>0</v>
      </c>
      <c r="AC43" s="125">
        <v>0</v>
      </c>
      <c r="AD43" s="125">
        <v>27.869752303901102</v>
      </c>
      <c r="AE43" s="125">
        <v>0</v>
      </c>
      <c r="AF43" s="125">
        <v>0</v>
      </c>
      <c r="AG43" s="125">
        <v>0</v>
      </c>
      <c r="AH43" s="125">
        <v>0</v>
      </c>
      <c r="AI43" s="125">
        <v>0</v>
      </c>
      <c r="AJ43" s="125">
        <v>0</v>
      </c>
      <c r="AK43" s="125">
        <v>0</v>
      </c>
      <c r="AL43" s="125">
        <v>0</v>
      </c>
      <c r="AM43" s="125">
        <v>235.11175342784901</v>
      </c>
      <c r="AN43" s="125">
        <v>0</v>
      </c>
      <c r="AO43" s="125">
        <v>0</v>
      </c>
      <c r="AP43" s="125">
        <v>0</v>
      </c>
      <c r="AQ43" s="125">
        <v>0</v>
      </c>
      <c r="AR43" s="126">
        <v>0</v>
      </c>
    </row>
    <row r="44" spans="2:44" ht="12" customHeight="1" x14ac:dyDescent="0.25">
      <c r="B44" s="124" t="s">
        <v>33</v>
      </c>
      <c r="C44" s="125" t="s">
        <v>85</v>
      </c>
      <c r="D44" s="125" t="s">
        <v>25</v>
      </c>
      <c r="E44" s="125" t="s">
        <v>25</v>
      </c>
      <c r="F44" s="125" t="s">
        <v>25</v>
      </c>
      <c r="G44" s="125" t="s">
        <v>507</v>
      </c>
      <c r="H44" s="125" t="s">
        <v>71</v>
      </c>
      <c r="I44" s="125" t="s">
        <v>25</v>
      </c>
      <c r="J44" s="125">
        <v>1364.35</v>
      </c>
      <c r="K44" s="125">
        <v>235.11</v>
      </c>
      <c r="L44" s="125">
        <v>0</v>
      </c>
      <c r="M44" s="125">
        <v>2.5395093085379701</v>
      </c>
      <c r="N44" s="125">
        <v>0</v>
      </c>
      <c r="O44" s="125">
        <v>0</v>
      </c>
      <c r="P44" s="125">
        <v>0</v>
      </c>
      <c r="Q44" s="125">
        <v>91.588370671072596</v>
      </c>
      <c r="R44" s="125">
        <v>14.4738946756828</v>
      </c>
      <c r="S44" s="125">
        <v>0</v>
      </c>
      <c r="T44" s="125">
        <v>0</v>
      </c>
      <c r="U44" s="125">
        <v>0</v>
      </c>
      <c r="V44" s="125">
        <v>0</v>
      </c>
      <c r="W44" s="125">
        <v>0</v>
      </c>
      <c r="X44" s="125">
        <v>254.40349270263101</v>
      </c>
      <c r="Y44" s="125">
        <v>0</v>
      </c>
      <c r="Z44" s="125">
        <v>0</v>
      </c>
      <c r="AA44" s="125">
        <v>973.47898089267505</v>
      </c>
      <c r="AB44" s="125">
        <v>0</v>
      </c>
      <c r="AC44" s="125">
        <v>0</v>
      </c>
      <c r="AD44" s="125">
        <v>27.869752303901102</v>
      </c>
      <c r="AE44" s="125">
        <v>0</v>
      </c>
      <c r="AF44" s="125">
        <v>0</v>
      </c>
      <c r="AG44" s="125">
        <v>0</v>
      </c>
      <c r="AH44" s="125">
        <v>0</v>
      </c>
      <c r="AI44" s="125">
        <v>0</v>
      </c>
      <c r="AJ44" s="125">
        <v>0</v>
      </c>
      <c r="AK44" s="125">
        <v>0</v>
      </c>
      <c r="AL44" s="125">
        <v>0</v>
      </c>
      <c r="AM44" s="125">
        <v>235.11175342784901</v>
      </c>
      <c r="AN44" s="125">
        <v>0</v>
      </c>
      <c r="AO44" s="125">
        <v>0</v>
      </c>
      <c r="AP44" s="125">
        <v>0</v>
      </c>
      <c r="AQ44" s="125">
        <v>0</v>
      </c>
      <c r="AR44" s="126">
        <v>0</v>
      </c>
    </row>
    <row r="45" spans="2:44" ht="12" customHeight="1" x14ac:dyDescent="0.25">
      <c r="B45" s="124" t="s">
        <v>33</v>
      </c>
      <c r="C45" s="125" t="s">
        <v>85</v>
      </c>
      <c r="D45" s="125" t="s">
        <v>25</v>
      </c>
      <c r="E45" s="125" t="s">
        <v>25</v>
      </c>
      <c r="F45" s="125" t="s">
        <v>25</v>
      </c>
      <c r="G45" s="125" t="s">
        <v>38</v>
      </c>
      <c r="H45" s="125" t="s">
        <v>71</v>
      </c>
      <c r="I45" s="125" t="s">
        <v>25</v>
      </c>
      <c r="J45" s="125">
        <v>545.77</v>
      </c>
      <c r="K45" s="125">
        <v>235.11</v>
      </c>
      <c r="L45" s="125">
        <v>0</v>
      </c>
      <c r="M45" s="125">
        <v>2.5395093085379701</v>
      </c>
      <c r="N45" s="125">
        <v>0</v>
      </c>
      <c r="O45" s="125">
        <v>0</v>
      </c>
      <c r="P45" s="125">
        <v>0</v>
      </c>
      <c r="Q45" s="125">
        <v>91.588370671072596</v>
      </c>
      <c r="R45" s="125">
        <v>14.4738946756828</v>
      </c>
      <c r="S45" s="125">
        <v>0</v>
      </c>
      <c r="T45" s="125">
        <v>0</v>
      </c>
      <c r="U45" s="125">
        <v>0</v>
      </c>
      <c r="V45" s="125">
        <v>0</v>
      </c>
      <c r="W45" s="125">
        <v>0</v>
      </c>
      <c r="X45" s="125">
        <v>84.801164234210404</v>
      </c>
      <c r="Y45" s="125">
        <v>0</v>
      </c>
      <c r="Z45" s="125">
        <v>0</v>
      </c>
      <c r="AA45" s="125">
        <v>324.49313738306103</v>
      </c>
      <c r="AB45" s="125">
        <v>0</v>
      </c>
      <c r="AC45" s="125">
        <v>0</v>
      </c>
      <c r="AD45" s="125">
        <v>27.869752303901102</v>
      </c>
      <c r="AE45" s="125">
        <v>0</v>
      </c>
      <c r="AF45" s="125">
        <v>0</v>
      </c>
      <c r="AG45" s="125">
        <v>0</v>
      </c>
      <c r="AH45" s="125">
        <v>0</v>
      </c>
      <c r="AI45" s="125">
        <v>0</v>
      </c>
      <c r="AJ45" s="125">
        <v>0</v>
      </c>
      <c r="AK45" s="125">
        <v>0</v>
      </c>
      <c r="AL45" s="125">
        <v>0</v>
      </c>
      <c r="AM45" s="125">
        <v>235.11175342784901</v>
      </c>
      <c r="AN45" s="125">
        <v>0</v>
      </c>
      <c r="AO45" s="125">
        <v>0</v>
      </c>
      <c r="AP45" s="125">
        <v>0</v>
      </c>
      <c r="AQ45" s="125">
        <v>0</v>
      </c>
      <c r="AR45" s="126">
        <v>0</v>
      </c>
    </row>
    <row r="46" spans="2:44" ht="12" customHeight="1" x14ac:dyDescent="0.25">
      <c r="B46" s="124" t="s">
        <v>33</v>
      </c>
      <c r="C46" s="125" t="s">
        <v>23</v>
      </c>
      <c r="D46" s="125" t="s">
        <v>25</v>
      </c>
      <c r="E46" s="125" t="s">
        <v>25</v>
      </c>
      <c r="F46" s="125" t="s">
        <v>25</v>
      </c>
      <c r="G46" s="125" t="s">
        <v>25</v>
      </c>
      <c r="H46" s="125" t="s">
        <v>71</v>
      </c>
      <c r="I46" s="125" t="s">
        <v>25</v>
      </c>
      <c r="J46" s="125">
        <v>818.65</v>
      </c>
      <c r="K46" s="125">
        <v>235.11</v>
      </c>
      <c r="L46" s="125">
        <v>0</v>
      </c>
      <c r="M46" s="125">
        <v>2.5395093085379701</v>
      </c>
      <c r="N46" s="125">
        <v>0</v>
      </c>
      <c r="O46" s="125">
        <v>0</v>
      </c>
      <c r="P46" s="125">
        <v>0</v>
      </c>
      <c r="Q46" s="125">
        <v>91.588370671072596</v>
      </c>
      <c r="R46" s="125">
        <v>14.4738946756828</v>
      </c>
      <c r="S46" s="125">
        <v>0</v>
      </c>
      <c r="T46" s="125">
        <v>0</v>
      </c>
      <c r="U46" s="125">
        <v>0</v>
      </c>
      <c r="V46" s="125">
        <v>0</v>
      </c>
      <c r="W46" s="125">
        <v>0</v>
      </c>
      <c r="X46" s="125">
        <v>141.356104272501</v>
      </c>
      <c r="Y46" s="125">
        <v>0</v>
      </c>
      <c r="Z46" s="125">
        <v>0</v>
      </c>
      <c r="AA46" s="125">
        <v>540.82153625801197</v>
      </c>
      <c r="AB46" s="125">
        <v>0</v>
      </c>
      <c r="AC46" s="125">
        <v>0</v>
      </c>
      <c r="AD46" s="125">
        <v>27.869752303901102</v>
      </c>
      <c r="AE46" s="125">
        <v>0</v>
      </c>
      <c r="AF46" s="125">
        <v>0</v>
      </c>
      <c r="AG46" s="125">
        <v>0</v>
      </c>
      <c r="AH46" s="125">
        <v>0</v>
      </c>
      <c r="AI46" s="125">
        <v>0</v>
      </c>
      <c r="AJ46" s="125">
        <v>0</v>
      </c>
      <c r="AK46" s="125">
        <v>0</v>
      </c>
      <c r="AL46" s="125">
        <v>0</v>
      </c>
      <c r="AM46" s="125">
        <v>235.11175342784901</v>
      </c>
      <c r="AN46" s="125">
        <v>0</v>
      </c>
      <c r="AO46" s="125">
        <v>0</v>
      </c>
      <c r="AP46" s="125">
        <v>0</v>
      </c>
      <c r="AQ46" s="125">
        <v>0</v>
      </c>
      <c r="AR46" s="126">
        <v>0</v>
      </c>
    </row>
    <row r="47" spans="2:44" ht="12" customHeight="1" x14ac:dyDescent="0.25">
      <c r="B47" s="124" t="s">
        <v>33</v>
      </c>
      <c r="C47" s="125" t="s">
        <v>87</v>
      </c>
      <c r="D47" s="125" t="s">
        <v>25</v>
      </c>
      <c r="E47" s="125" t="s">
        <v>25</v>
      </c>
      <c r="F47" s="125" t="s">
        <v>25</v>
      </c>
      <c r="G47" s="125" t="s">
        <v>25</v>
      </c>
      <c r="H47" s="125" t="s">
        <v>71</v>
      </c>
      <c r="I47" s="125" t="s">
        <v>25</v>
      </c>
      <c r="J47" s="125">
        <v>818.65</v>
      </c>
      <c r="K47" s="125">
        <v>235.11</v>
      </c>
      <c r="L47" s="125">
        <v>0</v>
      </c>
      <c r="M47" s="125">
        <v>2.5395093085379701</v>
      </c>
      <c r="N47" s="125">
        <v>0</v>
      </c>
      <c r="O47" s="125">
        <v>0</v>
      </c>
      <c r="P47" s="125">
        <v>0</v>
      </c>
      <c r="Q47" s="125">
        <v>91.588370671072596</v>
      </c>
      <c r="R47" s="125">
        <v>14.4738946756828</v>
      </c>
      <c r="S47" s="125">
        <v>0</v>
      </c>
      <c r="T47" s="125">
        <v>0</v>
      </c>
      <c r="U47" s="125">
        <v>0</v>
      </c>
      <c r="V47" s="125">
        <v>0</v>
      </c>
      <c r="W47" s="125">
        <v>0</v>
      </c>
      <c r="X47" s="125">
        <v>141.356104272501</v>
      </c>
      <c r="Y47" s="125">
        <v>0</v>
      </c>
      <c r="Z47" s="125">
        <v>0</v>
      </c>
      <c r="AA47" s="125">
        <v>540.82153625801197</v>
      </c>
      <c r="AB47" s="125">
        <v>0</v>
      </c>
      <c r="AC47" s="125">
        <v>0</v>
      </c>
      <c r="AD47" s="125">
        <v>27.869752303901102</v>
      </c>
      <c r="AE47" s="125">
        <v>0</v>
      </c>
      <c r="AF47" s="125">
        <v>0</v>
      </c>
      <c r="AG47" s="125">
        <v>0</v>
      </c>
      <c r="AH47" s="125">
        <v>0</v>
      </c>
      <c r="AI47" s="125">
        <v>0</v>
      </c>
      <c r="AJ47" s="125">
        <v>0</v>
      </c>
      <c r="AK47" s="125">
        <v>0</v>
      </c>
      <c r="AL47" s="125">
        <v>0</v>
      </c>
      <c r="AM47" s="125">
        <v>235.11175342784901</v>
      </c>
      <c r="AN47" s="125">
        <v>0</v>
      </c>
      <c r="AO47" s="125">
        <v>0</v>
      </c>
      <c r="AP47" s="125">
        <v>0</v>
      </c>
      <c r="AQ47" s="125">
        <v>0</v>
      </c>
      <c r="AR47" s="126">
        <v>0</v>
      </c>
    </row>
    <row r="48" spans="2:44" ht="12" customHeight="1" x14ac:dyDescent="0.25">
      <c r="B48" s="124" t="s">
        <v>43</v>
      </c>
      <c r="C48" s="125" t="s">
        <v>23</v>
      </c>
      <c r="D48" s="125" t="s">
        <v>44</v>
      </c>
      <c r="E48" s="125" t="s">
        <v>45</v>
      </c>
      <c r="F48" s="125" t="s">
        <v>25</v>
      </c>
      <c r="G48" s="125" t="s">
        <v>25</v>
      </c>
      <c r="H48" s="125" t="s">
        <v>71</v>
      </c>
      <c r="I48" s="125" t="s">
        <v>25</v>
      </c>
      <c r="J48" s="125">
        <v>450.26</v>
      </c>
      <c r="K48" s="125">
        <v>129.31</v>
      </c>
      <c r="L48" s="125">
        <v>0</v>
      </c>
      <c r="M48" s="125">
        <v>1.3967301196958899</v>
      </c>
      <c r="N48" s="125">
        <v>0</v>
      </c>
      <c r="O48" s="125">
        <v>0</v>
      </c>
      <c r="P48" s="125">
        <v>0</v>
      </c>
      <c r="Q48" s="125">
        <v>50.373603869089997</v>
      </c>
      <c r="R48" s="125">
        <v>7.9606420716255597</v>
      </c>
      <c r="S48" s="125">
        <v>0</v>
      </c>
      <c r="T48" s="125">
        <v>0</v>
      </c>
      <c r="U48" s="125">
        <v>0</v>
      </c>
      <c r="V48" s="125">
        <v>0</v>
      </c>
      <c r="W48" s="125">
        <v>0</v>
      </c>
      <c r="X48" s="125">
        <v>77.745857349875607</v>
      </c>
      <c r="Y48" s="125">
        <v>0</v>
      </c>
      <c r="Z48" s="125">
        <v>0</v>
      </c>
      <c r="AA48" s="125">
        <v>297.45184494190602</v>
      </c>
      <c r="AB48" s="125">
        <v>0</v>
      </c>
      <c r="AC48" s="125">
        <v>0</v>
      </c>
      <c r="AD48" s="125">
        <v>15.3283637671456</v>
      </c>
      <c r="AE48" s="125">
        <v>0</v>
      </c>
      <c r="AF48" s="125">
        <v>0</v>
      </c>
      <c r="AG48" s="125">
        <v>0</v>
      </c>
      <c r="AH48" s="125">
        <v>0</v>
      </c>
      <c r="AI48" s="125">
        <v>0</v>
      </c>
      <c r="AJ48" s="125">
        <v>0</v>
      </c>
      <c r="AK48" s="125">
        <v>0</v>
      </c>
      <c r="AL48" s="125">
        <v>0</v>
      </c>
      <c r="AM48" s="125">
        <v>129.31146438531701</v>
      </c>
      <c r="AN48" s="125">
        <v>0</v>
      </c>
      <c r="AO48" s="125">
        <v>0</v>
      </c>
      <c r="AP48" s="125">
        <v>0</v>
      </c>
      <c r="AQ48" s="125">
        <v>0</v>
      </c>
      <c r="AR48" s="126">
        <v>0</v>
      </c>
    </row>
    <row r="49" spans="2:44" ht="12" customHeight="1" x14ac:dyDescent="0.25">
      <c r="B49" s="127" t="s">
        <v>43</v>
      </c>
      <c r="C49" s="128" t="s">
        <v>23</v>
      </c>
      <c r="D49" s="128" t="s">
        <v>44</v>
      </c>
      <c r="E49" s="128" t="s">
        <v>90</v>
      </c>
      <c r="F49" s="128" t="s">
        <v>25</v>
      </c>
      <c r="G49" s="128" t="s">
        <v>25</v>
      </c>
      <c r="H49" s="128" t="s">
        <v>71</v>
      </c>
      <c r="I49" s="128" t="s">
        <v>25</v>
      </c>
      <c r="J49" s="128">
        <v>491.19</v>
      </c>
      <c r="K49" s="128">
        <v>141.07</v>
      </c>
      <c r="L49" s="128">
        <v>0</v>
      </c>
      <c r="M49" s="128">
        <v>1.5237055851227801</v>
      </c>
      <c r="N49" s="128">
        <v>0</v>
      </c>
      <c r="O49" s="128">
        <v>0</v>
      </c>
      <c r="P49" s="128">
        <v>0</v>
      </c>
      <c r="Q49" s="128">
        <v>54.953022402643597</v>
      </c>
      <c r="R49" s="128">
        <v>8.6843368054097105</v>
      </c>
      <c r="S49" s="128">
        <v>0</v>
      </c>
      <c r="T49" s="128">
        <v>0</v>
      </c>
      <c r="U49" s="128">
        <v>0</v>
      </c>
      <c r="V49" s="128">
        <v>0</v>
      </c>
      <c r="W49" s="128">
        <v>0</v>
      </c>
      <c r="X49" s="128">
        <v>84.8136625635006</v>
      </c>
      <c r="Y49" s="128">
        <v>0</v>
      </c>
      <c r="Z49" s="128">
        <v>0</v>
      </c>
      <c r="AA49" s="128">
        <v>324.49292175480701</v>
      </c>
      <c r="AB49" s="128">
        <v>0</v>
      </c>
      <c r="AC49" s="128">
        <v>0</v>
      </c>
      <c r="AD49" s="128">
        <v>16.721851382340599</v>
      </c>
      <c r="AE49" s="128">
        <v>0</v>
      </c>
      <c r="AF49" s="128">
        <v>0</v>
      </c>
      <c r="AG49" s="128">
        <v>0</v>
      </c>
      <c r="AH49" s="128">
        <v>0</v>
      </c>
      <c r="AI49" s="128">
        <v>0</v>
      </c>
      <c r="AJ49" s="128">
        <v>0</v>
      </c>
      <c r="AK49" s="128">
        <v>0</v>
      </c>
      <c r="AL49" s="128">
        <v>0</v>
      </c>
      <c r="AM49" s="128">
        <v>141.067052056709</v>
      </c>
      <c r="AN49" s="128">
        <v>0</v>
      </c>
      <c r="AO49" s="128">
        <v>0</v>
      </c>
      <c r="AP49" s="128">
        <v>0</v>
      </c>
      <c r="AQ49" s="128">
        <v>0</v>
      </c>
      <c r="AR49" s="129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A7A5-D15E-4BB1-A0FC-0CB9248F7596}">
  <dimension ref="B1:AR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1.140625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30" t="s">
        <v>1060</v>
      </c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1"/>
      <c r="AH1" s="130" t="s">
        <v>1061</v>
      </c>
      <c r="AI1" s="130"/>
      <c r="AJ1" s="130"/>
      <c r="AK1" s="130"/>
      <c r="AL1" s="130"/>
      <c r="AM1" s="130"/>
      <c r="AN1" s="130"/>
      <c r="AO1" s="130"/>
      <c r="AP1" s="130"/>
      <c r="AQ1" s="130"/>
      <c r="AR1" s="130"/>
    </row>
    <row r="2" spans="2:44" ht="12" customHeight="1" x14ac:dyDescent="0.25">
      <c r="L2" s="132" t="s">
        <v>361</v>
      </c>
      <c r="M2" s="132"/>
      <c r="N2" s="132"/>
      <c r="O2" s="132"/>
      <c r="P2" s="132"/>
      <c r="Q2" s="132"/>
      <c r="R2" s="132"/>
      <c r="S2" s="133"/>
      <c r="T2" s="132" t="s">
        <v>370</v>
      </c>
      <c r="U2" s="132"/>
      <c r="V2" s="132"/>
      <c r="W2" s="132"/>
      <c r="X2" s="132"/>
      <c r="Y2" s="132"/>
      <c r="Z2" s="133"/>
      <c r="AA2" s="134" t="s">
        <v>378</v>
      </c>
      <c r="AB2" s="132" t="s">
        <v>25</v>
      </c>
      <c r="AC2" s="133"/>
      <c r="AD2" s="132" t="s">
        <v>1059</v>
      </c>
      <c r="AE2" s="132"/>
      <c r="AF2" s="132"/>
      <c r="AG2" s="133"/>
      <c r="AH2" s="132" t="s">
        <v>361</v>
      </c>
      <c r="AI2" s="132"/>
      <c r="AJ2" s="132"/>
      <c r="AK2" s="132"/>
      <c r="AL2" s="133"/>
      <c r="AM2" s="134" t="s">
        <v>392</v>
      </c>
      <c r="AN2" s="132" t="s">
        <v>370</v>
      </c>
      <c r="AO2" s="132"/>
      <c r="AP2" s="132"/>
      <c r="AQ2" s="133"/>
      <c r="AR2" s="135" t="s">
        <v>1059</v>
      </c>
    </row>
    <row r="3" spans="2:44" ht="12" customHeight="1" x14ac:dyDescent="0.25">
      <c r="B3" s="121" t="s">
        <v>61</v>
      </c>
      <c r="C3" s="122" t="s">
        <v>62</v>
      </c>
      <c r="D3" s="122" t="s">
        <v>63</v>
      </c>
      <c r="E3" s="122" t="s">
        <v>64</v>
      </c>
      <c r="F3" s="122" t="s">
        <v>65</v>
      </c>
      <c r="G3" s="122" t="s">
        <v>67</v>
      </c>
      <c r="H3" s="122" t="s">
        <v>68</v>
      </c>
      <c r="I3" s="122" t="s">
        <v>638</v>
      </c>
      <c r="J3" s="122" t="s">
        <v>1023</v>
      </c>
      <c r="K3" s="122" t="s">
        <v>1024</v>
      </c>
      <c r="L3" s="122" t="s">
        <v>1025</v>
      </c>
      <c r="M3" s="122" t="s">
        <v>1026</v>
      </c>
      <c r="N3" s="122" t="s">
        <v>1027</v>
      </c>
      <c r="O3" s="122" t="s">
        <v>1028</v>
      </c>
      <c r="P3" s="122" t="s">
        <v>1029</v>
      </c>
      <c r="Q3" s="122" t="s">
        <v>1030</v>
      </c>
      <c r="R3" s="122" t="s">
        <v>1031</v>
      </c>
      <c r="S3" s="122" t="s">
        <v>1032</v>
      </c>
      <c r="T3" s="122" t="s">
        <v>1033</v>
      </c>
      <c r="U3" s="122" t="s">
        <v>1034</v>
      </c>
      <c r="V3" s="122" t="s">
        <v>1035</v>
      </c>
      <c r="W3" s="122" t="s">
        <v>1036</v>
      </c>
      <c r="X3" s="122" t="s">
        <v>1037</v>
      </c>
      <c r="Y3" s="122" t="s">
        <v>1038</v>
      </c>
      <c r="Z3" s="122" t="s">
        <v>1039</v>
      </c>
      <c r="AA3" s="122" t="s">
        <v>1040</v>
      </c>
      <c r="AB3" s="122" t="s">
        <v>1041</v>
      </c>
      <c r="AC3" s="122" t="s">
        <v>1042</v>
      </c>
      <c r="AD3" s="122" t="s">
        <v>1043</v>
      </c>
      <c r="AE3" s="122" t="s">
        <v>1044</v>
      </c>
      <c r="AF3" s="122" t="s">
        <v>1045</v>
      </c>
      <c r="AG3" s="122" t="s">
        <v>1046</v>
      </c>
      <c r="AH3" s="122" t="s">
        <v>1047</v>
      </c>
      <c r="AI3" s="122" t="s">
        <v>1048</v>
      </c>
      <c r="AJ3" s="122" t="s">
        <v>1049</v>
      </c>
      <c r="AK3" s="122" t="s">
        <v>1050</v>
      </c>
      <c r="AL3" s="122" t="s">
        <v>1051</v>
      </c>
      <c r="AM3" s="122" t="s">
        <v>1052</v>
      </c>
      <c r="AN3" s="122" t="s">
        <v>1053</v>
      </c>
      <c r="AO3" s="122" t="s">
        <v>1054</v>
      </c>
      <c r="AP3" s="122" t="s">
        <v>1055</v>
      </c>
      <c r="AQ3" s="122" t="s">
        <v>1056</v>
      </c>
      <c r="AR3" s="123" t="s">
        <v>1057</v>
      </c>
    </row>
    <row r="4" spans="2:44" ht="12" customHeight="1" x14ac:dyDescent="0.25">
      <c r="B4" s="124" t="s">
        <v>35</v>
      </c>
      <c r="C4" s="125" t="s">
        <v>52</v>
      </c>
      <c r="D4" s="125" t="s">
        <v>25</v>
      </c>
      <c r="E4" s="125" t="s">
        <v>25</v>
      </c>
      <c r="F4" s="125" t="s">
        <v>78</v>
      </c>
      <c r="G4" s="125" t="s">
        <v>37</v>
      </c>
      <c r="H4" s="125" t="s">
        <v>71</v>
      </c>
      <c r="I4" s="125" t="s">
        <v>25</v>
      </c>
      <c r="J4" s="125">
        <v>0</v>
      </c>
      <c r="K4" s="125">
        <v>0</v>
      </c>
      <c r="L4" s="125">
        <v>0</v>
      </c>
      <c r="M4" s="125">
        <v>0</v>
      </c>
      <c r="N4" s="125">
        <v>0</v>
      </c>
      <c r="O4" s="125">
        <v>0</v>
      </c>
      <c r="P4" s="125">
        <v>0</v>
      </c>
      <c r="Q4" s="125">
        <v>0</v>
      </c>
      <c r="R4" s="125">
        <v>0</v>
      </c>
      <c r="S4" s="125">
        <v>0</v>
      </c>
      <c r="T4" s="125">
        <v>0</v>
      </c>
      <c r="U4" s="125">
        <v>0</v>
      </c>
      <c r="V4" s="125">
        <v>0</v>
      </c>
      <c r="W4" s="125">
        <v>0</v>
      </c>
      <c r="X4" s="125">
        <v>0</v>
      </c>
      <c r="Y4" s="125">
        <v>0</v>
      </c>
      <c r="Z4" s="125">
        <v>0</v>
      </c>
      <c r="AA4" s="125">
        <v>0</v>
      </c>
      <c r="AB4" s="125">
        <v>0</v>
      </c>
      <c r="AC4" s="125">
        <v>0</v>
      </c>
      <c r="AD4" s="125">
        <v>0</v>
      </c>
      <c r="AE4" s="125">
        <v>0</v>
      </c>
      <c r="AF4" s="125">
        <v>0</v>
      </c>
      <c r="AG4" s="125">
        <v>0</v>
      </c>
      <c r="AH4" s="125">
        <v>0</v>
      </c>
      <c r="AI4" s="125">
        <v>0</v>
      </c>
      <c r="AJ4" s="125">
        <v>0</v>
      </c>
      <c r="AK4" s="125">
        <v>0</v>
      </c>
      <c r="AL4" s="125">
        <v>0</v>
      </c>
      <c r="AM4" s="125">
        <v>0</v>
      </c>
      <c r="AN4" s="125">
        <v>0</v>
      </c>
      <c r="AO4" s="125">
        <v>0</v>
      </c>
      <c r="AP4" s="125">
        <v>0</v>
      </c>
      <c r="AQ4" s="125">
        <v>0</v>
      </c>
      <c r="AR4" s="126">
        <v>0</v>
      </c>
    </row>
    <row r="5" spans="2:44" ht="12" customHeight="1" x14ac:dyDescent="0.25">
      <c r="B5" s="124" t="s">
        <v>35</v>
      </c>
      <c r="C5" s="125" t="s">
        <v>52</v>
      </c>
      <c r="D5" s="125" t="s">
        <v>25</v>
      </c>
      <c r="E5" s="125" t="s">
        <v>25</v>
      </c>
      <c r="F5" s="125" t="s">
        <v>78</v>
      </c>
      <c r="G5" s="125" t="s">
        <v>37</v>
      </c>
      <c r="H5" s="125" t="s">
        <v>74</v>
      </c>
      <c r="I5" s="125" t="s">
        <v>25</v>
      </c>
      <c r="J5" s="125">
        <v>0</v>
      </c>
      <c r="K5" s="125">
        <v>0</v>
      </c>
      <c r="L5" s="125">
        <v>0</v>
      </c>
      <c r="M5" s="125">
        <v>0</v>
      </c>
      <c r="N5" s="125">
        <v>0</v>
      </c>
      <c r="O5" s="125">
        <v>0</v>
      </c>
      <c r="P5" s="125">
        <v>0</v>
      </c>
      <c r="Q5" s="125">
        <v>0</v>
      </c>
      <c r="R5" s="125">
        <v>0</v>
      </c>
      <c r="S5" s="125">
        <v>0</v>
      </c>
      <c r="T5" s="125">
        <v>0</v>
      </c>
      <c r="U5" s="125">
        <v>0</v>
      </c>
      <c r="V5" s="125">
        <v>0</v>
      </c>
      <c r="W5" s="125">
        <v>0</v>
      </c>
      <c r="X5" s="125">
        <v>0</v>
      </c>
      <c r="Y5" s="125">
        <v>0</v>
      </c>
      <c r="Z5" s="125">
        <v>0</v>
      </c>
      <c r="AA5" s="125">
        <v>0</v>
      </c>
      <c r="AB5" s="125">
        <v>0</v>
      </c>
      <c r="AC5" s="125">
        <v>0</v>
      </c>
      <c r="AD5" s="125">
        <v>0</v>
      </c>
      <c r="AE5" s="125">
        <v>0</v>
      </c>
      <c r="AF5" s="125">
        <v>0</v>
      </c>
      <c r="AG5" s="125">
        <v>0</v>
      </c>
      <c r="AH5" s="125">
        <v>0</v>
      </c>
      <c r="AI5" s="125">
        <v>0</v>
      </c>
      <c r="AJ5" s="125">
        <v>0</v>
      </c>
      <c r="AK5" s="125">
        <v>0</v>
      </c>
      <c r="AL5" s="125">
        <v>0</v>
      </c>
      <c r="AM5" s="125">
        <v>0</v>
      </c>
      <c r="AN5" s="125">
        <v>0</v>
      </c>
      <c r="AO5" s="125">
        <v>0</v>
      </c>
      <c r="AP5" s="125">
        <v>0</v>
      </c>
      <c r="AQ5" s="125">
        <v>0</v>
      </c>
      <c r="AR5" s="126">
        <v>0</v>
      </c>
    </row>
    <row r="6" spans="2:44" ht="12" customHeight="1" x14ac:dyDescent="0.25">
      <c r="B6" s="124" t="s">
        <v>35</v>
      </c>
      <c r="C6" s="125" t="s">
        <v>52</v>
      </c>
      <c r="D6" s="125" t="s">
        <v>25</v>
      </c>
      <c r="E6" s="125" t="s">
        <v>25</v>
      </c>
      <c r="F6" s="125" t="s">
        <v>78</v>
      </c>
      <c r="G6" s="125" t="s">
        <v>38</v>
      </c>
      <c r="H6" s="125" t="s">
        <v>71</v>
      </c>
      <c r="I6" s="125" t="s">
        <v>25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5">
        <v>0</v>
      </c>
      <c r="AB6" s="125">
        <v>0</v>
      </c>
      <c r="AC6" s="125">
        <v>0</v>
      </c>
      <c r="AD6" s="125">
        <v>0</v>
      </c>
      <c r="AE6" s="125">
        <v>0</v>
      </c>
      <c r="AF6" s="125">
        <v>0</v>
      </c>
      <c r="AG6" s="125">
        <v>0</v>
      </c>
      <c r="AH6" s="125">
        <v>0</v>
      </c>
      <c r="AI6" s="125">
        <v>0</v>
      </c>
      <c r="AJ6" s="125">
        <v>0</v>
      </c>
      <c r="AK6" s="125">
        <v>0</v>
      </c>
      <c r="AL6" s="125">
        <v>0</v>
      </c>
      <c r="AM6" s="125">
        <v>0</v>
      </c>
      <c r="AN6" s="125">
        <v>0</v>
      </c>
      <c r="AO6" s="125">
        <v>0</v>
      </c>
      <c r="AP6" s="125">
        <v>0</v>
      </c>
      <c r="AQ6" s="125">
        <v>0</v>
      </c>
      <c r="AR6" s="126">
        <v>0</v>
      </c>
    </row>
    <row r="7" spans="2:44" ht="12" customHeight="1" x14ac:dyDescent="0.25">
      <c r="B7" s="124" t="s">
        <v>35</v>
      </c>
      <c r="C7" s="125" t="s">
        <v>52</v>
      </c>
      <c r="D7" s="125" t="s">
        <v>25</v>
      </c>
      <c r="E7" s="125" t="s">
        <v>25</v>
      </c>
      <c r="F7" s="125" t="s">
        <v>78</v>
      </c>
      <c r="G7" s="125" t="s">
        <v>38</v>
      </c>
      <c r="H7" s="125" t="s">
        <v>74</v>
      </c>
      <c r="I7" s="125" t="s">
        <v>25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5">
        <v>0</v>
      </c>
      <c r="AB7" s="125">
        <v>0</v>
      </c>
      <c r="AC7" s="125">
        <v>0</v>
      </c>
      <c r="AD7" s="125">
        <v>0</v>
      </c>
      <c r="AE7" s="125">
        <v>0</v>
      </c>
      <c r="AF7" s="125">
        <v>0</v>
      </c>
      <c r="AG7" s="125">
        <v>0</v>
      </c>
      <c r="AH7" s="125">
        <v>0</v>
      </c>
      <c r="AI7" s="125">
        <v>0</v>
      </c>
      <c r="AJ7" s="125">
        <v>0</v>
      </c>
      <c r="AK7" s="125">
        <v>0</v>
      </c>
      <c r="AL7" s="125">
        <v>0</v>
      </c>
      <c r="AM7" s="125">
        <v>0</v>
      </c>
      <c r="AN7" s="125">
        <v>0</v>
      </c>
      <c r="AO7" s="125">
        <v>0</v>
      </c>
      <c r="AP7" s="125">
        <v>0</v>
      </c>
      <c r="AQ7" s="125">
        <v>0</v>
      </c>
      <c r="AR7" s="126">
        <v>0</v>
      </c>
    </row>
    <row r="8" spans="2:44" ht="12" customHeight="1" x14ac:dyDescent="0.25">
      <c r="B8" s="124" t="s">
        <v>35</v>
      </c>
      <c r="C8" s="125" t="s">
        <v>52</v>
      </c>
      <c r="D8" s="125" t="s">
        <v>25</v>
      </c>
      <c r="E8" s="125" t="s">
        <v>25</v>
      </c>
      <c r="F8" s="125" t="s">
        <v>25</v>
      </c>
      <c r="G8" s="125" t="s">
        <v>37</v>
      </c>
      <c r="H8" s="125" t="s">
        <v>71</v>
      </c>
      <c r="I8" s="125" t="s">
        <v>25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5">
        <v>0</v>
      </c>
      <c r="AB8" s="125">
        <v>0</v>
      </c>
      <c r="AC8" s="125">
        <v>0</v>
      </c>
      <c r="AD8" s="125">
        <v>0</v>
      </c>
      <c r="AE8" s="125">
        <v>0</v>
      </c>
      <c r="AF8" s="125">
        <v>0</v>
      </c>
      <c r="AG8" s="125">
        <v>0</v>
      </c>
      <c r="AH8" s="125">
        <v>0</v>
      </c>
      <c r="AI8" s="125">
        <v>0</v>
      </c>
      <c r="AJ8" s="125">
        <v>0</v>
      </c>
      <c r="AK8" s="125">
        <v>0</v>
      </c>
      <c r="AL8" s="125">
        <v>0</v>
      </c>
      <c r="AM8" s="125">
        <v>0</v>
      </c>
      <c r="AN8" s="125">
        <v>0</v>
      </c>
      <c r="AO8" s="125">
        <v>0</v>
      </c>
      <c r="AP8" s="125">
        <v>0</v>
      </c>
      <c r="AQ8" s="125">
        <v>0</v>
      </c>
      <c r="AR8" s="126">
        <v>0</v>
      </c>
    </row>
    <row r="9" spans="2:44" ht="12" customHeight="1" x14ac:dyDescent="0.25">
      <c r="B9" s="124" t="s">
        <v>35</v>
      </c>
      <c r="C9" s="125" t="s">
        <v>52</v>
      </c>
      <c r="D9" s="125" t="s">
        <v>25</v>
      </c>
      <c r="E9" s="125" t="s">
        <v>25</v>
      </c>
      <c r="F9" s="125" t="s">
        <v>25</v>
      </c>
      <c r="G9" s="125" t="s">
        <v>37</v>
      </c>
      <c r="H9" s="125" t="s">
        <v>74</v>
      </c>
      <c r="I9" s="125" t="s">
        <v>25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5">
        <v>0</v>
      </c>
      <c r="AB9" s="125">
        <v>0</v>
      </c>
      <c r="AC9" s="125">
        <v>0</v>
      </c>
      <c r="AD9" s="125">
        <v>0</v>
      </c>
      <c r="AE9" s="125">
        <v>0</v>
      </c>
      <c r="AF9" s="125">
        <v>0</v>
      </c>
      <c r="AG9" s="125">
        <v>0</v>
      </c>
      <c r="AH9" s="125">
        <v>0</v>
      </c>
      <c r="AI9" s="125">
        <v>0</v>
      </c>
      <c r="AJ9" s="125">
        <v>0</v>
      </c>
      <c r="AK9" s="125">
        <v>0</v>
      </c>
      <c r="AL9" s="125">
        <v>0</v>
      </c>
      <c r="AM9" s="125">
        <v>0</v>
      </c>
      <c r="AN9" s="125">
        <v>0</v>
      </c>
      <c r="AO9" s="125">
        <v>0</v>
      </c>
      <c r="AP9" s="125">
        <v>0</v>
      </c>
      <c r="AQ9" s="125">
        <v>0</v>
      </c>
      <c r="AR9" s="126">
        <v>0</v>
      </c>
    </row>
    <row r="10" spans="2:44" ht="12" customHeight="1" x14ac:dyDescent="0.25">
      <c r="B10" s="124" t="s">
        <v>35</v>
      </c>
      <c r="C10" s="125" t="s">
        <v>52</v>
      </c>
      <c r="D10" s="125" t="s">
        <v>25</v>
      </c>
      <c r="E10" s="125" t="s">
        <v>25</v>
      </c>
      <c r="F10" s="125" t="s">
        <v>25</v>
      </c>
      <c r="G10" s="125" t="s">
        <v>38</v>
      </c>
      <c r="H10" s="125" t="s">
        <v>71</v>
      </c>
      <c r="I10" s="125" t="s">
        <v>25</v>
      </c>
      <c r="J10" s="125">
        <v>0</v>
      </c>
      <c r="K10" s="125">
        <v>0</v>
      </c>
      <c r="L10" s="125">
        <v>0</v>
      </c>
      <c r="M10" s="125">
        <v>0</v>
      </c>
      <c r="N10" s="125">
        <v>0</v>
      </c>
      <c r="O10" s="125">
        <v>0</v>
      </c>
      <c r="P10" s="125">
        <v>0</v>
      </c>
      <c r="Q10" s="125">
        <v>0</v>
      </c>
      <c r="R10" s="125">
        <v>0</v>
      </c>
      <c r="S10" s="125">
        <v>0</v>
      </c>
      <c r="T10" s="125">
        <v>0</v>
      </c>
      <c r="U10" s="125">
        <v>0</v>
      </c>
      <c r="V10" s="125">
        <v>0</v>
      </c>
      <c r="W10" s="125">
        <v>0</v>
      </c>
      <c r="X10" s="125">
        <v>0</v>
      </c>
      <c r="Y10" s="125">
        <v>0</v>
      </c>
      <c r="Z10" s="125">
        <v>0</v>
      </c>
      <c r="AA10" s="125">
        <v>0</v>
      </c>
      <c r="AB10" s="125">
        <v>0</v>
      </c>
      <c r="AC10" s="125">
        <v>0</v>
      </c>
      <c r="AD10" s="125">
        <v>0</v>
      </c>
      <c r="AE10" s="125">
        <v>0</v>
      </c>
      <c r="AF10" s="125">
        <v>0</v>
      </c>
      <c r="AG10" s="125">
        <v>0</v>
      </c>
      <c r="AH10" s="125">
        <v>0</v>
      </c>
      <c r="AI10" s="125">
        <v>0</v>
      </c>
      <c r="AJ10" s="125">
        <v>0</v>
      </c>
      <c r="AK10" s="125">
        <v>0</v>
      </c>
      <c r="AL10" s="125">
        <v>0</v>
      </c>
      <c r="AM10" s="125">
        <v>0</v>
      </c>
      <c r="AN10" s="125">
        <v>0</v>
      </c>
      <c r="AO10" s="125">
        <v>0</v>
      </c>
      <c r="AP10" s="125">
        <v>0</v>
      </c>
      <c r="AQ10" s="125">
        <v>0</v>
      </c>
      <c r="AR10" s="126">
        <v>0</v>
      </c>
    </row>
    <row r="11" spans="2:44" ht="12" customHeight="1" x14ac:dyDescent="0.25">
      <c r="B11" s="124" t="s">
        <v>35</v>
      </c>
      <c r="C11" s="125" t="s">
        <v>52</v>
      </c>
      <c r="D11" s="125" t="s">
        <v>25</v>
      </c>
      <c r="E11" s="125" t="s">
        <v>25</v>
      </c>
      <c r="F11" s="125" t="s">
        <v>25</v>
      </c>
      <c r="G11" s="125" t="s">
        <v>38</v>
      </c>
      <c r="H11" s="125" t="s">
        <v>74</v>
      </c>
      <c r="I11" s="125" t="s">
        <v>25</v>
      </c>
      <c r="J11" s="125">
        <v>0</v>
      </c>
      <c r="K11" s="125">
        <v>0</v>
      </c>
      <c r="L11" s="125">
        <v>0</v>
      </c>
      <c r="M11" s="125">
        <v>0</v>
      </c>
      <c r="N11" s="125">
        <v>0</v>
      </c>
      <c r="O11" s="125">
        <v>0</v>
      </c>
      <c r="P11" s="125">
        <v>0</v>
      </c>
      <c r="Q11" s="125">
        <v>0</v>
      </c>
      <c r="R11" s="125">
        <v>0</v>
      </c>
      <c r="S11" s="125">
        <v>0</v>
      </c>
      <c r="T11" s="125">
        <v>0</v>
      </c>
      <c r="U11" s="125">
        <v>0</v>
      </c>
      <c r="V11" s="125">
        <v>0</v>
      </c>
      <c r="W11" s="125">
        <v>0</v>
      </c>
      <c r="X11" s="125">
        <v>0</v>
      </c>
      <c r="Y11" s="125">
        <v>0</v>
      </c>
      <c r="Z11" s="125">
        <v>0</v>
      </c>
      <c r="AA11" s="125">
        <v>0</v>
      </c>
      <c r="AB11" s="125">
        <v>0</v>
      </c>
      <c r="AC11" s="125">
        <v>0</v>
      </c>
      <c r="AD11" s="125">
        <v>0</v>
      </c>
      <c r="AE11" s="125">
        <v>0</v>
      </c>
      <c r="AF11" s="125">
        <v>0</v>
      </c>
      <c r="AG11" s="125">
        <v>0</v>
      </c>
      <c r="AH11" s="125">
        <v>0</v>
      </c>
      <c r="AI11" s="125">
        <v>0</v>
      </c>
      <c r="AJ11" s="125">
        <v>0</v>
      </c>
      <c r="AK11" s="125">
        <v>0</v>
      </c>
      <c r="AL11" s="125">
        <v>0</v>
      </c>
      <c r="AM11" s="125">
        <v>0</v>
      </c>
      <c r="AN11" s="125">
        <v>0</v>
      </c>
      <c r="AO11" s="125">
        <v>0</v>
      </c>
      <c r="AP11" s="125">
        <v>0</v>
      </c>
      <c r="AQ11" s="125">
        <v>0</v>
      </c>
      <c r="AR11" s="126">
        <v>0</v>
      </c>
    </row>
    <row r="12" spans="2:44" ht="12" customHeight="1" x14ac:dyDescent="0.25">
      <c r="B12" s="124" t="s">
        <v>35</v>
      </c>
      <c r="C12" s="125" t="s">
        <v>79</v>
      </c>
      <c r="D12" s="125" t="s">
        <v>25</v>
      </c>
      <c r="E12" s="125" t="s">
        <v>25</v>
      </c>
      <c r="F12" s="125" t="s">
        <v>25</v>
      </c>
      <c r="G12" s="125" t="s">
        <v>25</v>
      </c>
      <c r="H12" s="125" t="s">
        <v>74</v>
      </c>
      <c r="I12" s="125" t="s">
        <v>25</v>
      </c>
      <c r="J12" s="125">
        <v>0</v>
      </c>
      <c r="K12" s="125">
        <v>0</v>
      </c>
      <c r="L12" s="125">
        <v>0</v>
      </c>
      <c r="M12" s="125">
        <v>0</v>
      </c>
      <c r="N12" s="125">
        <v>0</v>
      </c>
      <c r="O12" s="125">
        <v>0</v>
      </c>
      <c r="P12" s="125">
        <v>0</v>
      </c>
      <c r="Q12" s="125">
        <v>0</v>
      </c>
      <c r="R12" s="125">
        <v>0</v>
      </c>
      <c r="S12" s="125">
        <v>0</v>
      </c>
      <c r="T12" s="125">
        <v>0</v>
      </c>
      <c r="U12" s="125">
        <v>0</v>
      </c>
      <c r="V12" s="125">
        <v>0</v>
      </c>
      <c r="W12" s="125">
        <v>0</v>
      </c>
      <c r="X12" s="125">
        <v>0</v>
      </c>
      <c r="Y12" s="125">
        <v>0</v>
      </c>
      <c r="Z12" s="125">
        <v>0</v>
      </c>
      <c r="AA12" s="125">
        <v>0</v>
      </c>
      <c r="AB12" s="125">
        <v>0</v>
      </c>
      <c r="AC12" s="125">
        <v>0</v>
      </c>
      <c r="AD12" s="125">
        <v>0</v>
      </c>
      <c r="AE12" s="125">
        <v>0</v>
      </c>
      <c r="AF12" s="125">
        <v>0</v>
      </c>
      <c r="AG12" s="125">
        <v>0</v>
      </c>
      <c r="AH12" s="125">
        <v>0</v>
      </c>
      <c r="AI12" s="125">
        <v>0</v>
      </c>
      <c r="AJ12" s="125">
        <v>0</v>
      </c>
      <c r="AK12" s="125">
        <v>0</v>
      </c>
      <c r="AL12" s="125">
        <v>0</v>
      </c>
      <c r="AM12" s="125">
        <v>0</v>
      </c>
      <c r="AN12" s="125">
        <v>0</v>
      </c>
      <c r="AO12" s="125">
        <v>0</v>
      </c>
      <c r="AP12" s="125">
        <v>0</v>
      </c>
      <c r="AQ12" s="125">
        <v>0</v>
      </c>
      <c r="AR12" s="126">
        <v>0</v>
      </c>
    </row>
    <row r="13" spans="2:44" ht="12" customHeight="1" x14ac:dyDescent="0.25">
      <c r="B13" s="124" t="s">
        <v>35</v>
      </c>
      <c r="C13" s="125" t="s">
        <v>36</v>
      </c>
      <c r="D13" s="125" t="s">
        <v>25</v>
      </c>
      <c r="E13" s="125" t="s">
        <v>25</v>
      </c>
      <c r="F13" s="125" t="s">
        <v>78</v>
      </c>
      <c r="G13" s="125" t="s">
        <v>37</v>
      </c>
      <c r="H13" s="125" t="s">
        <v>71</v>
      </c>
      <c r="I13" s="125" t="s">
        <v>25</v>
      </c>
      <c r="J13" s="125">
        <v>0</v>
      </c>
      <c r="K13" s="125">
        <v>0</v>
      </c>
      <c r="L13" s="125">
        <v>0</v>
      </c>
      <c r="M13" s="125">
        <v>0</v>
      </c>
      <c r="N13" s="125">
        <v>0</v>
      </c>
      <c r="O13" s="125">
        <v>0</v>
      </c>
      <c r="P13" s="125">
        <v>0</v>
      </c>
      <c r="Q13" s="125">
        <v>0</v>
      </c>
      <c r="R13" s="125">
        <v>0</v>
      </c>
      <c r="S13" s="125">
        <v>0</v>
      </c>
      <c r="T13" s="125">
        <v>0</v>
      </c>
      <c r="U13" s="125">
        <v>0</v>
      </c>
      <c r="V13" s="125">
        <v>0</v>
      </c>
      <c r="W13" s="125">
        <v>0</v>
      </c>
      <c r="X13" s="125">
        <v>0</v>
      </c>
      <c r="Y13" s="125">
        <v>0</v>
      </c>
      <c r="Z13" s="125">
        <v>0</v>
      </c>
      <c r="AA13" s="125">
        <v>0</v>
      </c>
      <c r="AB13" s="125">
        <v>0</v>
      </c>
      <c r="AC13" s="125">
        <v>0</v>
      </c>
      <c r="AD13" s="125">
        <v>0</v>
      </c>
      <c r="AE13" s="125">
        <v>0</v>
      </c>
      <c r="AF13" s="125">
        <v>0</v>
      </c>
      <c r="AG13" s="125">
        <v>0</v>
      </c>
      <c r="AH13" s="125">
        <v>0</v>
      </c>
      <c r="AI13" s="125">
        <v>0</v>
      </c>
      <c r="AJ13" s="125">
        <v>0</v>
      </c>
      <c r="AK13" s="125">
        <v>0</v>
      </c>
      <c r="AL13" s="125">
        <v>0</v>
      </c>
      <c r="AM13" s="125">
        <v>0</v>
      </c>
      <c r="AN13" s="125">
        <v>0</v>
      </c>
      <c r="AO13" s="125">
        <v>0</v>
      </c>
      <c r="AP13" s="125">
        <v>0</v>
      </c>
      <c r="AQ13" s="125">
        <v>0</v>
      </c>
      <c r="AR13" s="126">
        <v>0</v>
      </c>
    </row>
    <row r="14" spans="2:44" ht="12" customHeight="1" x14ac:dyDescent="0.25">
      <c r="B14" s="124" t="s">
        <v>35</v>
      </c>
      <c r="C14" s="125" t="s">
        <v>36</v>
      </c>
      <c r="D14" s="125" t="s">
        <v>25</v>
      </c>
      <c r="E14" s="125" t="s">
        <v>25</v>
      </c>
      <c r="F14" s="125" t="s">
        <v>78</v>
      </c>
      <c r="G14" s="125" t="s">
        <v>25</v>
      </c>
      <c r="H14" s="125" t="s">
        <v>74</v>
      </c>
      <c r="I14" s="125" t="s">
        <v>25</v>
      </c>
      <c r="J14" s="125">
        <v>0</v>
      </c>
      <c r="K14" s="125">
        <v>0</v>
      </c>
      <c r="L14" s="125">
        <v>0</v>
      </c>
      <c r="M14" s="125">
        <v>0</v>
      </c>
      <c r="N14" s="125">
        <v>0</v>
      </c>
      <c r="O14" s="125">
        <v>0</v>
      </c>
      <c r="P14" s="125">
        <v>0</v>
      </c>
      <c r="Q14" s="125">
        <v>0</v>
      </c>
      <c r="R14" s="125">
        <v>0</v>
      </c>
      <c r="S14" s="125">
        <v>0</v>
      </c>
      <c r="T14" s="125">
        <v>0</v>
      </c>
      <c r="U14" s="125">
        <v>0</v>
      </c>
      <c r="V14" s="125">
        <v>0</v>
      </c>
      <c r="W14" s="125">
        <v>0</v>
      </c>
      <c r="X14" s="125">
        <v>0</v>
      </c>
      <c r="Y14" s="125">
        <v>0</v>
      </c>
      <c r="Z14" s="125">
        <v>0</v>
      </c>
      <c r="AA14" s="125">
        <v>0</v>
      </c>
      <c r="AB14" s="125">
        <v>0</v>
      </c>
      <c r="AC14" s="125">
        <v>0</v>
      </c>
      <c r="AD14" s="125">
        <v>0</v>
      </c>
      <c r="AE14" s="125">
        <v>0</v>
      </c>
      <c r="AF14" s="125">
        <v>0</v>
      </c>
      <c r="AG14" s="125">
        <v>0</v>
      </c>
      <c r="AH14" s="125">
        <v>0</v>
      </c>
      <c r="AI14" s="125">
        <v>0</v>
      </c>
      <c r="AJ14" s="125">
        <v>0</v>
      </c>
      <c r="AK14" s="125">
        <v>0</v>
      </c>
      <c r="AL14" s="125">
        <v>0</v>
      </c>
      <c r="AM14" s="125">
        <v>0</v>
      </c>
      <c r="AN14" s="125">
        <v>0</v>
      </c>
      <c r="AO14" s="125">
        <v>0</v>
      </c>
      <c r="AP14" s="125">
        <v>0</v>
      </c>
      <c r="AQ14" s="125">
        <v>0</v>
      </c>
      <c r="AR14" s="126">
        <v>0</v>
      </c>
    </row>
    <row r="15" spans="2:44" ht="12" customHeight="1" x14ac:dyDescent="0.25">
      <c r="B15" s="124" t="s">
        <v>35</v>
      </c>
      <c r="C15" s="125" t="s">
        <v>36</v>
      </c>
      <c r="D15" s="125" t="s">
        <v>25</v>
      </c>
      <c r="E15" s="125" t="s">
        <v>25</v>
      </c>
      <c r="F15" s="125" t="s">
        <v>78</v>
      </c>
      <c r="G15" s="125" t="s">
        <v>38</v>
      </c>
      <c r="H15" s="125" t="s">
        <v>71</v>
      </c>
      <c r="I15" s="125" t="s">
        <v>25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5">
        <v>0</v>
      </c>
      <c r="AB15" s="125">
        <v>0</v>
      </c>
      <c r="AC15" s="125">
        <v>0</v>
      </c>
      <c r="AD15" s="125">
        <v>0</v>
      </c>
      <c r="AE15" s="125">
        <v>0</v>
      </c>
      <c r="AF15" s="125">
        <v>0</v>
      </c>
      <c r="AG15" s="125">
        <v>0</v>
      </c>
      <c r="AH15" s="125">
        <v>0</v>
      </c>
      <c r="AI15" s="125">
        <v>0</v>
      </c>
      <c r="AJ15" s="125">
        <v>0</v>
      </c>
      <c r="AK15" s="125">
        <v>0</v>
      </c>
      <c r="AL15" s="125">
        <v>0</v>
      </c>
      <c r="AM15" s="125">
        <v>0</v>
      </c>
      <c r="AN15" s="125">
        <v>0</v>
      </c>
      <c r="AO15" s="125">
        <v>0</v>
      </c>
      <c r="AP15" s="125">
        <v>0</v>
      </c>
      <c r="AQ15" s="125">
        <v>0</v>
      </c>
      <c r="AR15" s="126">
        <v>0</v>
      </c>
    </row>
    <row r="16" spans="2:44" ht="12" customHeight="1" x14ac:dyDescent="0.25">
      <c r="B16" s="124" t="s">
        <v>35</v>
      </c>
      <c r="C16" s="125" t="s">
        <v>36</v>
      </c>
      <c r="D16" s="125" t="s">
        <v>25</v>
      </c>
      <c r="E16" s="125" t="s">
        <v>25</v>
      </c>
      <c r="F16" s="125" t="s">
        <v>25</v>
      </c>
      <c r="G16" s="125" t="s">
        <v>37</v>
      </c>
      <c r="H16" s="125" t="s">
        <v>71</v>
      </c>
      <c r="I16" s="125" t="s">
        <v>25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5">
        <v>0</v>
      </c>
      <c r="AB16" s="125">
        <v>0</v>
      </c>
      <c r="AC16" s="125">
        <v>0</v>
      </c>
      <c r="AD16" s="125">
        <v>0</v>
      </c>
      <c r="AE16" s="125">
        <v>0</v>
      </c>
      <c r="AF16" s="125">
        <v>0</v>
      </c>
      <c r="AG16" s="125">
        <v>0</v>
      </c>
      <c r="AH16" s="125">
        <v>0</v>
      </c>
      <c r="AI16" s="125">
        <v>0</v>
      </c>
      <c r="AJ16" s="125">
        <v>0</v>
      </c>
      <c r="AK16" s="125">
        <v>0</v>
      </c>
      <c r="AL16" s="125">
        <v>0</v>
      </c>
      <c r="AM16" s="125">
        <v>0</v>
      </c>
      <c r="AN16" s="125">
        <v>0</v>
      </c>
      <c r="AO16" s="125">
        <v>0</v>
      </c>
      <c r="AP16" s="125">
        <v>0</v>
      </c>
      <c r="AQ16" s="125">
        <v>0</v>
      </c>
      <c r="AR16" s="126">
        <v>0</v>
      </c>
    </row>
    <row r="17" spans="2:44" ht="12" customHeight="1" x14ac:dyDescent="0.25">
      <c r="B17" s="124" t="s">
        <v>35</v>
      </c>
      <c r="C17" s="125" t="s">
        <v>36</v>
      </c>
      <c r="D17" s="125" t="s">
        <v>25</v>
      </c>
      <c r="E17" s="125" t="s">
        <v>25</v>
      </c>
      <c r="F17" s="125" t="s">
        <v>25</v>
      </c>
      <c r="G17" s="125" t="s">
        <v>25</v>
      </c>
      <c r="H17" s="125" t="s">
        <v>74</v>
      </c>
      <c r="I17" s="125" t="s">
        <v>25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5">
        <v>0</v>
      </c>
      <c r="AB17" s="125">
        <v>0</v>
      </c>
      <c r="AC17" s="125">
        <v>0</v>
      </c>
      <c r="AD17" s="125">
        <v>0</v>
      </c>
      <c r="AE17" s="125">
        <v>0</v>
      </c>
      <c r="AF17" s="125">
        <v>0</v>
      </c>
      <c r="AG17" s="125">
        <v>0</v>
      </c>
      <c r="AH17" s="125">
        <v>0</v>
      </c>
      <c r="AI17" s="125">
        <v>0</v>
      </c>
      <c r="AJ17" s="125">
        <v>0</v>
      </c>
      <c r="AK17" s="125">
        <v>0</v>
      </c>
      <c r="AL17" s="125">
        <v>0</v>
      </c>
      <c r="AM17" s="125">
        <v>0</v>
      </c>
      <c r="AN17" s="125">
        <v>0</v>
      </c>
      <c r="AO17" s="125">
        <v>0</v>
      </c>
      <c r="AP17" s="125">
        <v>0</v>
      </c>
      <c r="AQ17" s="125">
        <v>0</v>
      </c>
      <c r="AR17" s="126">
        <v>0</v>
      </c>
    </row>
    <row r="18" spans="2:44" ht="12" customHeight="1" x14ac:dyDescent="0.25">
      <c r="B18" s="124" t="s">
        <v>35</v>
      </c>
      <c r="C18" s="125" t="s">
        <v>36</v>
      </c>
      <c r="D18" s="125" t="s">
        <v>25</v>
      </c>
      <c r="E18" s="125" t="s">
        <v>25</v>
      </c>
      <c r="F18" s="125" t="s">
        <v>25</v>
      </c>
      <c r="G18" s="125" t="s">
        <v>38</v>
      </c>
      <c r="H18" s="125" t="s">
        <v>71</v>
      </c>
      <c r="I18" s="125" t="s">
        <v>25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5">
        <v>0</v>
      </c>
      <c r="AB18" s="125">
        <v>0</v>
      </c>
      <c r="AC18" s="125">
        <v>0</v>
      </c>
      <c r="AD18" s="125">
        <v>0</v>
      </c>
      <c r="AE18" s="125">
        <v>0</v>
      </c>
      <c r="AF18" s="125">
        <v>0</v>
      </c>
      <c r="AG18" s="125">
        <v>0</v>
      </c>
      <c r="AH18" s="125">
        <v>0</v>
      </c>
      <c r="AI18" s="125">
        <v>0</v>
      </c>
      <c r="AJ18" s="125">
        <v>0</v>
      </c>
      <c r="AK18" s="125">
        <v>0</v>
      </c>
      <c r="AL18" s="125">
        <v>0</v>
      </c>
      <c r="AM18" s="125">
        <v>0</v>
      </c>
      <c r="AN18" s="125">
        <v>0</v>
      </c>
      <c r="AO18" s="125">
        <v>0</v>
      </c>
      <c r="AP18" s="125">
        <v>0</v>
      </c>
      <c r="AQ18" s="125">
        <v>0</v>
      </c>
      <c r="AR18" s="126">
        <v>0</v>
      </c>
    </row>
    <row r="19" spans="2:44" ht="12" customHeight="1" x14ac:dyDescent="0.25">
      <c r="B19" s="124" t="s">
        <v>80</v>
      </c>
      <c r="C19" s="125" t="s">
        <v>79</v>
      </c>
      <c r="D19" s="125" t="s">
        <v>25</v>
      </c>
      <c r="E19" s="125" t="s">
        <v>25</v>
      </c>
      <c r="F19" s="125" t="s">
        <v>81</v>
      </c>
      <c r="G19" s="125" t="s">
        <v>25</v>
      </c>
      <c r="H19" s="125" t="s">
        <v>74</v>
      </c>
      <c r="I19" s="125" t="s">
        <v>25</v>
      </c>
      <c r="J19" s="125">
        <v>0</v>
      </c>
      <c r="K19" s="125">
        <v>0</v>
      </c>
      <c r="L19" s="125">
        <v>0</v>
      </c>
      <c r="M19" s="125">
        <v>0</v>
      </c>
      <c r="N19" s="125">
        <v>0</v>
      </c>
      <c r="O19" s="125">
        <v>0</v>
      </c>
      <c r="P19" s="125">
        <v>0</v>
      </c>
      <c r="Q19" s="125">
        <v>0</v>
      </c>
      <c r="R19" s="125">
        <v>0</v>
      </c>
      <c r="S19" s="125">
        <v>0</v>
      </c>
      <c r="T19" s="125">
        <v>0</v>
      </c>
      <c r="U19" s="125">
        <v>0</v>
      </c>
      <c r="V19" s="125">
        <v>0</v>
      </c>
      <c r="W19" s="125">
        <v>0</v>
      </c>
      <c r="X19" s="125">
        <v>0</v>
      </c>
      <c r="Y19" s="125">
        <v>0</v>
      </c>
      <c r="Z19" s="125">
        <v>0</v>
      </c>
      <c r="AA19" s="125">
        <v>0</v>
      </c>
      <c r="AB19" s="125">
        <v>0</v>
      </c>
      <c r="AC19" s="125">
        <v>0</v>
      </c>
      <c r="AD19" s="125">
        <v>0</v>
      </c>
      <c r="AE19" s="125">
        <v>0</v>
      </c>
      <c r="AF19" s="125">
        <v>0</v>
      </c>
      <c r="AG19" s="125">
        <v>0</v>
      </c>
      <c r="AH19" s="125">
        <v>0</v>
      </c>
      <c r="AI19" s="125">
        <v>0</v>
      </c>
      <c r="AJ19" s="125">
        <v>0</v>
      </c>
      <c r="AK19" s="125">
        <v>0</v>
      </c>
      <c r="AL19" s="125">
        <v>0</v>
      </c>
      <c r="AM19" s="125">
        <v>0</v>
      </c>
      <c r="AN19" s="125">
        <v>0</v>
      </c>
      <c r="AO19" s="125">
        <v>0</v>
      </c>
      <c r="AP19" s="125">
        <v>0</v>
      </c>
      <c r="AQ19" s="125">
        <v>0</v>
      </c>
      <c r="AR19" s="126">
        <v>0</v>
      </c>
    </row>
    <row r="20" spans="2:44" ht="12" customHeight="1" x14ac:dyDescent="0.25">
      <c r="B20" s="124" t="s">
        <v>80</v>
      </c>
      <c r="C20" s="125" t="s">
        <v>79</v>
      </c>
      <c r="D20" s="125" t="s">
        <v>25</v>
      </c>
      <c r="E20" s="125" t="s">
        <v>25</v>
      </c>
      <c r="F20" s="125" t="s">
        <v>82</v>
      </c>
      <c r="G20" s="125" t="s">
        <v>25</v>
      </c>
      <c r="H20" s="125" t="s">
        <v>74</v>
      </c>
      <c r="I20" s="125" t="s">
        <v>25</v>
      </c>
      <c r="J20" s="125">
        <v>0</v>
      </c>
      <c r="K20" s="125">
        <v>0</v>
      </c>
      <c r="L20" s="125">
        <v>0</v>
      </c>
      <c r="M20" s="125">
        <v>0</v>
      </c>
      <c r="N20" s="125">
        <v>0</v>
      </c>
      <c r="O20" s="125">
        <v>0</v>
      </c>
      <c r="P20" s="125">
        <v>0</v>
      </c>
      <c r="Q20" s="125">
        <v>0</v>
      </c>
      <c r="R20" s="125">
        <v>0</v>
      </c>
      <c r="S20" s="125">
        <v>0</v>
      </c>
      <c r="T20" s="125">
        <v>0</v>
      </c>
      <c r="U20" s="125">
        <v>0</v>
      </c>
      <c r="V20" s="125">
        <v>0</v>
      </c>
      <c r="W20" s="125">
        <v>0</v>
      </c>
      <c r="X20" s="125">
        <v>0</v>
      </c>
      <c r="Y20" s="125">
        <v>0</v>
      </c>
      <c r="Z20" s="125">
        <v>0</v>
      </c>
      <c r="AA20" s="125">
        <v>0</v>
      </c>
      <c r="AB20" s="125">
        <v>0</v>
      </c>
      <c r="AC20" s="125">
        <v>0</v>
      </c>
      <c r="AD20" s="125">
        <v>0</v>
      </c>
      <c r="AE20" s="125">
        <v>0</v>
      </c>
      <c r="AF20" s="125">
        <v>0</v>
      </c>
      <c r="AG20" s="125">
        <v>0</v>
      </c>
      <c r="AH20" s="125">
        <v>0</v>
      </c>
      <c r="AI20" s="125">
        <v>0</v>
      </c>
      <c r="AJ20" s="125">
        <v>0</v>
      </c>
      <c r="AK20" s="125">
        <v>0</v>
      </c>
      <c r="AL20" s="125">
        <v>0</v>
      </c>
      <c r="AM20" s="125">
        <v>0</v>
      </c>
      <c r="AN20" s="125">
        <v>0</v>
      </c>
      <c r="AO20" s="125">
        <v>0</v>
      </c>
      <c r="AP20" s="125">
        <v>0</v>
      </c>
      <c r="AQ20" s="125">
        <v>0</v>
      </c>
      <c r="AR20" s="126">
        <v>0</v>
      </c>
    </row>
    <row r="21" spans="2:44" ht="12" customHeight="1" x14ac:dyDescent="0.25">
      <c r="B21" s="124" t="s">
        <v>22</v>
      </c>
      <c r="C21" s="125" t="s">
        <v>85</v>
      </c>
      <c r="D21" s="125" t="s">
        <v>24</v>
      </c>
      <c r="E21" s="125" t="s">
        <v>24</v>
      </c>
      <c r="F21" s="125" t="s">
        <v>25</v>
      </c>
      <c r="G21" s="125" t="s">
        <v>37</v>
      </c>
      <c r="H21" s="125" t="s">
        <v>71</v>
      </c>
      <c r="I21" s="125" t="s">
        <v>25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5">
        <v>0</v>
      </c>
      <c r="AB21" s="125">
        <v>0</v>
      </c>
      <c r="AC21" s="125">
        <v>0</v>
      </c>
      <c r="AD21" s="125">
        <v>0</v>
      </c>
      <c r="AE21" s="125">
        <v>0</v>
      </c>
      <c r="AF21" s="125">
        <v>0</v>
      </c>
      <c r="AG21" s="125">
        <v>0</v>
      </c>
      <c r="AH21" s="125">
        <v>0</v>
      </c>
      <c r="AI21" s="125">
        <v>0</v>
      </c>
      <c r="AJ21" s="125">
        <v>0</v>
      </c>
      <c r="AK21" s="125">
        <v>0</v>
      </c>
      <c r="AL21" s="125">
        <v>0</v>
      </c>
      <c r="AM21" s="125">
        <v>0</v>
      </c>
      <c r="AN21" s="125">
        <v>0</v>
      </c>
      <c r="AO21" s="125">
        <v>0</v>
      </c>
      <c r="AP21" s="125">
        <v>0</v>
      </c>
      <c r="AQ21" s="125">
        <v>0</v>
      </c>
      <c r="AR21" s="126">
        <v>0</v>
      </c>
    </row>
    <row r="22" spans="2:44" ht="12" customHeight="1" x14ac:dyDescent="0.25">
      <c r="B22" s="124" t="s">
        <v>22</v>
      </c>
      <c r="C22" s="125" t="s">
        <v>85</v>
      </c>
      <c r="D22" s="125" t="s">
        <v>24</v>
      </c>
      <c r="E22" s="125" t="s">
        <v>24</v>
      </c>
      <c r="F22" s="125" t="s">
        <v>25</v>
      </c>
      <c r="G22" s="125" t="s">
        <v>507</v>
      </c>
      <c r="H22" s="125" t="s">
        <v>71</v>
      </c>
      <c r="I22" s="125" t="s">
        <v>25</v>
      </c>
      <c r="J22" s="125">
        <v>0</v>
      </c>
      <c r="K22" s="125">
        <v>0</v>
      </c>
      <c r="L22" s="125">
        <v>0</v>
      </c>
      <c r="M22" s="125">
        <v>0</v>
      </c>
      <c r="N22" s="125">
        <v>0</v>
      </c>
      <c r="O22" s="125">
        <v>0</v>
      </c>
      <c r="P22" s="125">
        <v>0</v>
      </c>
      <c r="Q22" s="125">
        <v>0</v>
      </c>
      <c r="R22" s="125">
        <v>0</v>
      </c>
      <c r="S22" s="125">
        <v>0</v>
      </c>
      <c r="T22" s="125">
        <v>0</v>
      </c>
      <c r="U22" s="125">
        <v>0</v>
      </c>
      <c r="V22" s="125">
        <v>0</v>
      </c>
      <c r="W22" s="125">
        <v>0</v>
      </c>
      <c r="X22" s="125">
        <v>0</v>
      </c>
      <c r="Y22" s="125">
        <v>0</v>
      </c>
      <c r="Z22" s="125">
        <v>0</v>
      </c>
      <c r="AA22" s="125">
        <v>0</v>
      </c>
      <c r="AB22" s="125">
        <v>0</v>
      </c>
      <c r="AC22" s="125">
        <v>0</v>
      </c>
      <c r="AD22" s="125">
        <v>0</v>
      </c>
      <c r="AE22" s="125">
        <v>0</v>
      </c>
      <c r="AF22" s="125">
        <v>0</v>
      </c>
      <c r="AG22" s="125">
        <v>0</v>
      </c>
      <c r="AH22" s="125">
        <v>0</v>
      </c>
      <c r="AI22" s="125">
        <v>0</v>
      </c>
      <c r="AJ22" s="125">
        <v>0</v>
      </c>
      <c r="AK22" s="125">
        <v>0</v>
      </c>
      <c r="AL22" s="125">
        <v>0</v>
      </c>
      <c r="AM22" s="125">
        <v>0</v>
      </c>
      <c r="AN22" s="125">
        <v>0</v>
      </c>
      <c r="AO22" s="125">
        <v>0</v>
      </c>
      <c r="AP22" s="125">
        <v>0</v>
      </c>
      <c r="AQ22" s="125">
        <v>0</v>
      </c>
      <c r="AR22" s="126">
        <v>0</v>
      </c>
    </row>
    <row r="23" spans="2:44" ht="12" customHeight="1" x14ac:dyDescent="0.25">
      <c r="B23" s="124" t="s">
        <v>22</v>
      </c>
      <c r="C23" s="125" t="s">
        <v>85</v>
      </c>
      <c r="D23" s="125" t="s">
        <v>24</v>
      </c>
      <c r="E23" s="125" t="s">
        <v>24</v>
      </c>
      <c r="F23" s="125" t="s">
        <v>25</v>
      </c>
      <c r="G23" s="125" t="s">
        <v>38</v>
      </c>
      <c r="H23" s="125" t="s">
        <v>71</v>
      </c>
      <c r="I23" s="125" t="s">
        <v>25</v>
      </c>
      <c r="J23" s="125">
        <v>0</v>
      </c>
      <c r="K23" s="125">
        <v>0</v>
      </c>
      <c r="L23" s="125">
        <v>0</v>
      </c>
      <c r="M23" s="125">
        <v>0</v>
      </c>
      <c r="N23" s="125">
        <v>0</v>
      </c>
      <c r="O23" s="125">
        <v>0</v>
      </c>
      <c r="P23" s="125">
        <v>0</v>
      </c>
      <c r="Q23" s="125">
        <v>0</v>
      </c>
      <c r="R23" s="125">
        <v>0</v>
      </c>
      <c r="S23" s="125">
        <v>0</v>
      </c>
      <c r="T23" s="125">
        <v>0</v>
      </c>
      <c r="U23" s="125">
        <v>0</v>
      </c>
      <c r="V23" s="125">
        <v>0</v>
      </c>
      <c r="W23" s="125">
        <v>0</v>
      </c>
      <c r="X23" s="125">
        <v>0</v>
      </c>
      <c r="Y23" s="125">
        <v>0</v>
      </c>
      <c r="Z23" s="125">
        <v>0</v>
      </c>
      <c r="AA23" s="125">
        <v>0</v>
      </c>
      <c r="AB23" s="125">
        <v>0</v>
      </c>
      <c r="AC23" s="125">
        <v>0</v>
      </c>
      <c r="AD23" s="125">
        <v>0</v>
      </c>
      <c r="AE23" s="125">
        <v>0</v>
      </c>
      <c r="AF23" s="125">
        <v>0</v>
      </c>
      <c r="AG23" s="125">
        <v>0</v>
      </c>
      <c r="AH23" s="125">
        <v>0</v>
      </c>
      <c r="AI23" s="125">
        <v>0</v>
      </c>
      <c r="AJ23" s="125">
        <v>0</v>
      </c>
      <c r="AK23" s="125">
        <v>0</v>
      </c>
      <c r="AL23" s="125">
        <v>0</v>
      </c>
      <c r="AM23" s="125">
        <v>0</v>
      </c>
      <c r="AN23" s="125">
        <v>0</v>
      </c>
      <c r="AO23" s="125">
        <v>0</v>
      </c>
      <c r="AP23" s="125">
        <v>0</v>
      </c>
      <c r="AQ23" s="125">
        <v>0</v>
      </c>
      <c r="AR23" s="126">
        <v>0</v>
      </c>
    </row>
    <row r="24" spans="2:44" ht="12" customHeight="1" x14ac:dyDescent="0.25">
      <c r="B24" s="124" t="s">
        <v>22</v>
      </c>
      <c r="C24" s="125" t="s">
        <v>23</v>
      </c>
      <c r="D24" s="125" t="s">
        <v>24</v>
      </c>
      <c r="E24" s="125" t="s">
        <v>1058</v>
      </c>
      <c r="F24" s="125" t="s">
        <v>25</v>
      </c>
      <c r="G24" s="125" t="s">
        <v>25</v>
      </c>
      <c r="H24" s="125" t="s">
        <v>71</v>
      </c>
      <c r="I24" s="125" t="s">
        <v>25</v>
      </c>
      <c r="J24" s="125">
        <v>0</v>
      </c>
      <c r="K24" s="125">
        <v>0</v>
      </c>
      <c r="L24" s="125">
        <v>0</v>
      </c>
      <c r="M24" s="125">
        <v>0</v>
      </c>
      <c r="N24" s="125">
        <v>0</v>
      </c>
      <c r="O24" s="125">
        <v>0</v>
      </c>
      <c r="P24" s="125">
        <v>0</v>
      </c>
      <c r="Q24" s="125">
        <v>0</v>
      </c>
      <c r="R24" s="125">
        <v>0</v>
      </c>
      <c r="S24" s="125">
        <v>0</v>
      </c>
      <c r="T24" s="125">
        <v>0</v>
      </c>
      <c r="U24" s="125">
        <v>0</v>
      </c>
      <c r="V24" s="125">
        <v>0</v>
      </c>
      <c r="W24" s="125">
        <v>0</v>
      </c>
      <c r="X24" s="125">
        <v>0</v>
      </c>
      <c r="Y24" s="125">
        <v>0</v>
      </c>
      <c r="Z24" s="125">
        <v>0</v>
      </c>
      <c r="AA24" s="125">
        <v>0</v>
      </c>
      <c r="AB24" s="125">
        <v>0</v>
      </c>
      <c r="AC24" s="125">
        <v>0</v>
      </c>
      <c r="AD24" s="125">
        <v>0</v>
      </c>
      <c r="AE24" s="125">
        <v>0</v>
      </c>
      <c r="AF24" s="125">
        <v>0</v>
      </c>
      <c r="AG24" s="125">
        <v>0</v>
      </c>
      <c r="AH24" s="125">
        <v>0</v>
      </c>
      <c r="AI24" s="125">
        <v>0</v>
      </c>
      <c r="AJ24" s="125">
        <v>0</v>
      </c>
      <c r="AK24" s="125">
        <v>0</v>
      </c>
      <c r="AL24" s="125">
        <v>0</v>
      </c>
      <c r="AM24" s="125">
        <v>0</v>
      </c>
      <c r="AN24" s="125">
        <v>0</v>
      </c>
      <c r="AO24" s="125">
        <v>0</v>
      </c>
      <c r="AP24" s="125">
        <v>0</v>
      </c>
      <c r="AQ24" s="125">
        <v>0</v>
      </c>
      <c r="AR24" s="126">
        <v>0</v>
      </c>
    </row>
    <row r="25" spans="2:44" ht="12" customHeight="1" x14ac:dyDescent="0.25">
      <c r="B25" s="124" t="s">
        <v>22</v>
      </c>
      <c r="C25" s="125" t="s">
        <v>23</v>
      </c>
      <c r="D25" s="125" t="s">
        <v>24</v>
      </c>
      <c r="E25" s="125" t="s">
        <v>24</v>
      </c>
      <c r="F25" s="125" t="s">
        <v>25</v>
      </c>
      <c r="G25" s="125" t="s">
        <v>25</v>
      </c>
      <c r="H25" s="125" t="s">
        <v>71</v>
      </c>
      <c r="I25" s="125" t="s">
        <v>25</v>
      </c>
      <c r="J25" s="125">
        <v>0</v>
      </c>
      <c r="K25" s="125">
        <v>0</v>
      </c>
      <c r="L25" s="125">
        <v>0</v>
      </c>
      <c r="M25" s="125">
        <v>0</v>
      </c>
      <c r="N25" s="125">
        <v>0</v>
      </c>
      <c r="O25" s="125">
        <v>0</v>
      </c>
      <c r="P25" s="125">
        <v>0</v>
      </c>
      <c r="Q25" s="125">
        <v>0</v>
      </c>
      <c r="R25" s="125">
        <v>0</v>
      </c>
      <c r="S25" s="125">
        <v>0</v>
      </c>
      <c r="T25" s="125">
        <v>0</v>
      </c>
      <c r="U25" s="125">
        <v>0</v>
      </c>
      <c r="V25" s="125">
        <v>0</v>
      </c>
      <c r="W25" s="125">
        <v>0</v>
      </c>
      <c r="X25" s="125">
        <v>0</v>
      </c>
      <c r="Y25" s="125">
        <v>0</v>
      </c>
      <c r="Z25" s="125">
        <v>0</v>
      </c>
      <c r="AA25" s="125">
        <v>0</v>
      </c>
      <c r="AB25" s="125">
        <v>0</v>
      </c>
      <c r="AC25" s="125">
        <v>0</v>
      </c>
      <c r="AD25" s="125">
        <v>0</v>
      </c>
      <c r="AE25" s="125">
        <v>0</v>
      </c>
      <c r="AF25" s="125">
        <v>0</v>
      </c>
      <c r="AG25" s="125">
        <v>0</v>
      </c>
      <c r="AH25" s="125">
        <v>0</v>
      </c>
      <c r="AI25" s="125">
        <v>0</v>
      </c>
      <c r="AJ25" s="125">
        <v>0</v>
      </c>
      <c r="AK25" s="125">
        <v>0</v>
      </c>
      <c r="AL25" s="125">
        <v>0</v>
      </c>
      <c r="AM25" s="125">
        <v>0</v>
      </c>
      <c r="AN25" s="125">
        <v>0</v>
      </c>
      <c r="AO25" s="125">
        <v>0</v>
      </c>
      <c r="AP25" s="125">
        <v>0</v>
      </c>
      <c r="AQ25" s="125">
        <v>0</v>
      </c>
      <c r="AR25" s="126">
        <v>0</v>
      </c>
    </row>
    <row r="26" spans="2:44" ht="12" customHeight="1" x14ac:dyDescent="0.25">
      <c r="B26" s="124" t="s">
        <v>22</v>
      </c>
      <c r="C26" s="125" t="s">
        <v>87</v>
      </c>
      <c r="D26" s="125" t="s">
        <v>24</v>
      </c>
      <c r="E26" s="125" t="s">
        <v>1058</v>
      </c>
      <c r="F26" s="125" t="s">
        <v>25</v>
      </c>
      <c r="G26" s="125" t="s">
        <v>25</v>
      </c>
      <c r="H26" s="125" t="s">
        <v>71</v>
      </c>
      <c r="I26" s="125" t="s">
        <v>25</v>
      </c>
      <c r="J26" s="125">
        <v>0</v>
      </c>
      <c r="K26" s="125">
        <v>0</v>
      </c>
      <c r="L26" s="125">
        <v>0</v>
      </c>
      <c r="M26" s="125">
        <v>0</v>
      </c>
      <c r="N26" s="125">
        <v>0</v>
      </c>
      <c r="O26" s="125">
        <v>0</v>
      </c>
      <c r="P26" s="125">
        <v>0</v>
      </c>
      <c r="Q26" s="125">
        <v>0</v>
      </c>
      <c r="R26" s="125">
        <v>0</v>
      </c>
      <c r="S26" s="125">
        <v>0</v>
      </c>
      <c r="T26" s="125">
        <v>0</v>
      </c>
      <c r="U26" s="125">
        <v>0</v>
      </c>
      <c r="V26" s="125">
        <v>0</v>
      </c>
      <c r="W26" s="125">
        <v>0</v>
      </c>
      <c r="X26" s="125">
        <v>0</v>
      </c>
      <c r="Y26" s="125">
        <v>0</v>
      </c>
      <c r="Z26" s="125">
        <v>0</v>
      </c>
      <c r="AA26" s="125">
        <v>0</v>
      </c>
      <c r="AB26" s="125">
        <v>0</v>
      </c>
      <c r="AC26" s="125">
        <v>0</v>
      </c>
      <c r="AD26" s="125">
        <v>0</v>
      </c>
      <c r="AE26" s="125">
        <v>0</v>
      </c>
      <c r="AF26" s="125">
        <v>0</v>
      </c>
      <c r="AG26" s="125">
        <v>0</v>
      </c>
      <c r="AH26" s="125">
        <v>0</v>
      </c>
      <c r="AI26" s="125">
        <v>0</v>
      </c>
      <c r="AJ26" s="125">
        <v>0</v>
      </c>
      <c r="AK26" s="125">
        <v>0</v>
      </c>
      <c r="AL26" s="125">
        <v>0</v>
      </c>
      <c r="AM26" s="125">
        <v>0</v>
      </c>
      <c r="AN26" s="125">
        <v>0</v>
      </c>
      <c r="AO26" s="125">
        <v>0</v>
      </c>
      <c r="AP26" s="125">
        <v>0</v>
      </c>
      <c r="AQ26" s="125">
        <v>0</v>
      </c>
      <c r="AR26" s="126">
        <v>0</v>
      </c>
    </row>
    <row r="27" spans="2:44" ht="12" customHeight="1" x14ac:dyDescent="0.25">
      <c r="B27" s="124" t="s">
        <v>22</v>
      </c>
      <c r="C27" s="125" t="s">
        <v>87</v>
      </c>
      <c r="D27" s="125" t="s">
        <v>24</v>
      </c>
      <c r="E27" s="125" t="s">
        <v>24</v>
      </c>
      <c r="F27" s="125" t="s">
        <v>25</v>
      </c>
      <c r="G27" s="125" t="s">
        <v>25</v>
      </c>
      <c r="H27" s="125" t="s">
        <v>71</v>
      </c>
      <c r="I27" s="125" t="s">
        <v>25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5">
        <v>0</v>
      </c>
      <c r="AB27" s="125">
        <v>0</v>
      </c>
      <c r="AC27" s="125">
        <v>0</v>
      </c>
      <c r="AD27" s="125">
        <v>0</v>
      </c>
      <c r="AE27" s="125">
        <v>0</v>
      </c>
      <c r="AF27" s="125">
        <v>0</v>
      </c>
      <c r="AG27" s="125">
        <v>0</v>
      </c>
      <c r="AH27" s="125">
        <v>0</v>
      </c>
      <c r="AI27" s="125">
        <v>0</v>
      </c>
      <c r="AJ27" s="125">
        <v>0</v>
      </c>
      <c r="AK27" s="125">
        <v>0</v>
      </c>
      <c r="AL27" s="125">
        <v>0</v>
      </c>
      <c r="AM27" s="125">
        <v>0</v>
      </c>
      <c r="AN27" s="125">
        <v>0</v>
      </c>
      <c r="AO27" s="125">
        <v>0</v>
      </c>
      <c r="AP27" s="125">
        <v>0</v>
      </c>
      <c r="AQ27" s="125">
        <v>0</v>
      </c>
      <c r="AR27" s="126">
        <v>0</v>
      </c>
    </row>
    <row r="28" spans="2:44" ht="12" customHeight="1" x14ac:dyDescent="0.25">
      <c r="B28" s="124" t="s">
        <v>40</v>
      </c>
      <c r="C28" s="125" t="s">
        <v>85</v>
      </c>
      <c r="D28" s="125" t="s">
        <v>41</v>
      </c>
      <c r="E28" s="125" t="s">
        <v>88</v>
      </c>
      <c r="F28" s="125" t="s">
        <v>25</v>
      </c>
      <c r="G28" s="125" t="s">
        <v>37</v>
      </c>
      <c r="H28" s="125" t="s">
        <v>71</v>
      </c>
      <c r="I28" s="125" t="s">
        <v>25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5">
        <v>0</v>
      </c>
      <c r="AB28" s="125">
        <v>0</v>
      </c>
      <c r="AC28" s="125">
        <v>0</v>
      </c>
      <c r="AD28" s="125">
        <v>0</v>
      </c>
      <c r="AE28" s="125">
        <v>0</v>
      </c>
      <c r="AF28" s="125">
        <v>0</v>
      </c>
      <c r="AG28" s="125">
        <v>0</v>
      </c>
      <c r="AH28" s="125">
        <v>0</v>
      </c>
      <c r="AI28" s="125">
        <v>0</v>
      </c>
      <c r="AJ28" s="125">
        <v>0</v>
      </c>
      <c r="AK28" s="125">
        <v>0</v>
      </c>
      <c r="AL28" s="125">
        <v>0</v>
      </c>
      <c r="AM28" s="125">
        <v>0</v>
      </c>
      <c r="AN28" s="125">
        <v>0</v>
      </c>
      <c r="AO28" s="125">
        <v>0</v>
      </c>
      <c r="AP28" s="125">
        <v>0</v>
      </c>
      <c r="AQ28" s="125">
        <v>0</v>
      </c>
      <c r="AR28" s="126">
        <v>0</v>
      </c>
    </row>
    <row r="29" spans="2:44" ht="12" customHeight="1" x14ac:dyDescent="0.25">
      <c r="B29" s="124" t="s">
        <v>40</v>
      </c>
      <c r="C29" s="125" t="s">
        <v>85</v>
      </c>
      <c r="D29" s="125" t="s">
        <v>41</v>
      </c>
      <c r="E29" s="125" t="s">
        <v>88</v>
      </c>
      <c r="F29" s="125" t="s">
        <v>25</v>
      </c>
      <c r="G29" s="125" t="s">
        <v>507</v>
      </c>
      <c r="H29" s="125" t="s">
        <v>71</v>
      </c>
      <c r="I29" s="125" t="s">
        <v>25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5">
        <v>0</v>
      </c>
      <c r="AB29" s="125">
        <v>0</v>
      </c>
      <c r="AC29" s="125">
        <v>0</v>
      </c>
      <c r="AD29" s="125">
        <v>0</v>
      </c>
      <c r="AE29" s="125">
        <v>0</v>
      </c>
      <c r="AF29" s="125">
        <v>0</v>
      </c>
      <c r="AG29" s="125">
        <v>0</v>
      </c>
      <c r="AH29" s="125">
        <v>0</v>
      </c>
      <c r="AI29" s="125">
        <v>0</v>
      </c>
      <c r="AJ29" s="125">
        <v>0</v>
      </c>
      <c r="AK29" s="125">
        <v>0</v>
      </c>
      <c r="AL29" s="125">
        <v>0</v>
      </c>
      <c r="AM29" s="125">
        <v>0</v>
      </c>
      <c r="AN29" s="125">
        <v>0</v>
      </c>
      <c r="AO29" s="125">
        <v>0</v>
      </c>
      <c r="AP29" s="125">
        <v>0</v>
      </c>
      <c r="AQ29" s="125">
        <v>0</v>
      </c>
      <c r="AR29" s="126">
        <v>0</v>
      </c>
    </row>
    <row r="30" spans="2:44" ht="12" customHeight="1" x14ac:dyDescent="0.25">
      <c r="B30" s="124" t="s">
        <v>40</v>
      </c>
      <c r="C30" s="125" t="s">
        <v>85</v>
      </c>
      <c r="D30" s="125" t="s">
        <v>41</v>
      </c>
      <c r="E30" s="125" t="s">
        <v>88</v>
      </c>
      <c r="F30" s="125" t="s">
        <v>25</v>
      </c>
      <c r="G30" s="125" t="s">
        <v>38</v>
      </c>
      <c r="H30" s="125" t="s">
        <v>71</v>
      </c>
      <c r="I30" s="125" t="s">
        <v>25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5">
        <v>0</v>
      </c>
      <c r="AB30" s="125">
        <v>0</v>
      </c>
      <c r="AC30" s="125">
        <v>0</v>
      </c>
      <c r="AD30" s="125">
        <v>0</v>
      </c>
      <c r="AE30" s="125">
        <v>0</v>
      </c>
      <c r="AF30" s="125">
        <v>0</v>
      </c>
      <c r="AG30" s="125">
        <v>0</v>
      </c>
      <c r="AH30" s="125">
        <v>0</v>
      </c>
      <c r="AI30" s="125">
        <v>0</v>
      </c>
      <c r="AJ30" s="125">
        <v>0</v>
      </c>
      <c r="AK30" s="125">
        <v>0</v>
      </c>
      <c r="AL30" s="125">
        <v>0</v>
      </c>
      <c r="AM30" s="125">
        <v>0</v>
      </c>
      <c r="AN30" s="125">
        <v>0</v>
      </c>
      <c r="AO30" s="125">
        <v>0</v>
      </c>
      <c r="AP30" s="125">
        <v>0</v>
      </c>
      <c r="AQ30" s="125">
        <v>0</v>
      </c>
      <c r="AR30" s="126">
        <v>0</v>
      </c>
    </row>
    <row r="31" spans="2:44" ht="12" customHeight="1" x14ac:dyDescent="0.25">
      <c r="B31" s="124" t="s">
        <v>40</v>
      </c>
      <c r="C31" s="125" t="s">
        <v>85</v>
      </c>
      <c r="D31" s="125" t="s">
        <v>41</v>
      </c>
      <c r="E31" s="125" t="s">
        <v>25</v>
      </c>
      <c r="F31" s="125" t="s">
        <v>25</v>
      </c>
      <c r="G31" s="125" t="s">
        <v>37</v>
      </c>
      <c r="H31" s="125" t="s">
        <v>71</v>
      </c>
      <c r="I31" s="125" t="s">
        <v>25</v>
      </c>
      <c r="J31" s="125">
        <v>0</v>
      </c>
      <c r="K31" s="125">
        <v>0</v>
      </c>
      <c r="L31" s="125">
        <v>0</v>
      </c>
      <c r="M31" s="125">
        <v>0</v>
      </c>
      <c r="N31" s="125">
        <v>0</v>
      </c>
      <c r="O31" s="125">
        <v>0</v>
      </c>
      <c r="P31" s="125">
        <v>0</v>
      </c>
      <c r="Q31" s="125">
        <v>0</v>
      </c>
      <c r="R31" s="125">
        <v>0</v>
      </c>
      <c r="S31" s="125">
        <v>0</v>
      </c>
      <c r="T31" s="125">
        <v>0</v>
      </c>
      <c r="U31" s="125">
        <v>0</v>
      </c>
      <c r="V31" s="125">
        <v>0</v>
      </c>
      <c r="W31" s="125">
        <v>0</v>
      </c>
      <c r="X31" s="125">
        <v>0</v>
      </c>
      <c r="Y31" s="125">
        <v>0</v>
      </c>
      <c r="Z31" s="125">
        <v>0</v>
      </c>
      <c r="AA31" s="125">
        <v>0</v>
      </c>
      <c r="AB31" s="125">
        <v>0</v>
      </c>
      <c r="AC31" s="125">
        <v>0</v>
      </c>
      <c r="AD31" s="125">
        <v>0</v>
      </c>
      <c r="AE31" s="125">
        <v>0</v>
      </c>
      <c r="AF31" s="125">
        <v>0</v>
      </c>
      <c r="AG31" s="125">
        <v>0</v>
      </c>
      <c r="AH31" s="125">
        <v>0</v>
      </c>
      <c r="AI31" s="125">
        <v>0</v>
      </c>
      <c r="AJ31" s="125">
        <v>0</v>
      </c>
      <c r="AK31" s="125">
        <v>0</v>
      </c>
      <c r="AL31" s="125">
        <v>0</v>
      </c>
      <c r="AM31" s="125">
        <v>0</v>
      </c>
      <c r="AN31" s="125">
        <v>0</v>
      </c>
      <c r="AO31" s="125">
        <v>0</v>
      </c>
      <c r="AP31" s="125">
        <v>0</v>
      </c>
      <c r="AQ31" s="125">
        <v>0</v>
      </c>
      <c r="AR31" s="126">
        <v>0</v>
      </c>
    </row>
    <row r="32" spans="2:44" ht="12" customHeight="1" x14ac:dyDescent="0.25">
      <c r="B32" s="124" t="s">
        <v>40</v>
      </c>
      <c r="C32" s="125" t="s">
        <v>85</v>
      </c>
      <c r="D32" s="125" t="s">
        <v>41</v>
      </c>
      <c r="E32" s="125" t="s">
        <v>25</v>
      </c>
      <c r="F32" s="125" t="s">
        <v>25</v>
      </c>
      <c r="G32" s="125" t="s">
        <v>507</v>
      </c>
      <c r="H32" s="125" t="s">
        <v>71</v>
      </c>
      <c r="I32" s="125" t="s">
        <v>25</v>
      </c>
      <c r="J32" s="125">
        <v>0</v>
      </c>
      <c r="K32" s="125">
        <v>0</v>
      </c>
      <c r="L32" s="125">
        <v>0</v>
      </c>
      <c r="M32" s="125">
        <v>0</v>
      </c>
      <c r="N32" s="125">
        <v>0</v>
      </c>
      <c r="O32" s="125">
        <v>0</v>
      </c>
      <c r="P32" s="125">
        <v>0</v>
      </c>
      <c r="Q32" s="125">
        <v>0</v>
      </c>
      <c r="R32" s="125">
        <v>0</v>
      </c>
      <c r="S32" s="125">
        <v>0</v>
      </c>
      <c r="T32" s="125">
        <v>0</v>
      </c>
      <c r="U32" s="125">
        <v>0</v>
      </c>
      <c r="V32" s="125">
        <v>0</v>
      </c>
      <c r="W32" s="125">
        <v>0</v>
      </c>
      <c r="X32" s="125">
        <v>0</v>
      </c>
      <c r="Y32" s="125">
        <v>0</v>
      </c>
      <c r="Z32" s="125">
        <v>0</v>
      </c>
      <c r="AA32" s="125">
        <v>0</v>
      </c>
      <c r="AB32" s="125">
        <v>0</v>
      </c>
      <c r="AC32" s="125">
        <v>0</v>
      </c>
      <c r="AD32" s="125">
        <v>0</v>
      </c>
      <c r="AE32" s="125">
        <v>0</v>
      </c>
      <c r="AF32" s="125">
        <v>0</v>
      </c>
      <c r="AG32" s="125">
        <v>0</v>
      </c>
      <c r="AH32" s="125">
        <v>0</v>
      </c>
      <c r="AI32" s="125">
        <v>0</v>
      </c>
      <c r="AJ32" s="125">
        <v>0</v>
      </c>
      <c r="AK32" s="125">
        <v>0</v>
      </c>
      <c r="AL32" s="125">
        <v>0</v>
      </c>
      <c r="AM32" s="125">
        <v>0</v>
      </c>
      <c r="AN32" s="125">
        <v>0</v>
      </c>
      <c r="AO32" s="125">
        <v>0</v>
      </c>
      <c r="AP32" s="125">
        <v>0</v>
      </c>
      <c r="AQ32" s="125">
        <v>0</v>
      </c>
      <c r="AR32" s="126">
        <v>0</v>
      </c>
    </row>
    <row r="33" spans="2:44" ht="12" customHeight="1" x14ac:dyDescent="0.25">
      <c r="B33" s="124" t="s">
        <v>40</v>
      </c>
      <c r="C33" s="125" t="s">
        <v>85</v>
      </c>
      <c r="D33" s="125" t="s">
        <v>41</v>
      </c>
      <c r="E33" s="125" t="s">
        <v>25</v>
      </c>
      <c r="F33" s="125" t="s">
        <v>25</v>
      </c>
      <c r="G33" s="125" t="s">
        <v>38</v>
      </c>
      <c r="H33" s="125" t="s">
        <v>71</v>
      </c>
      <c r="I33" s="125" t="s">
        <v>25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5">
        <v>0</v>
      </c>
      <c r="AB33" s="125">
        <v>0</v>
      </c>
      <c r="AC33" s="125">
        <v>0</v>
      </c>
      <c r="AD33" s="125">
        <v>0</v>
      </c>
      <c r="AE33" s="125">
        <v>0</v>
      </c>
      <c r="AF33" s="125">
        <v>0</v>
      </c>
      <c r="AG33" s="125">
        <v>0</v>
      </c>
      <c r="AH33" s="125">
        <v>0</v>
      </c>
      <c r="AI33" s="125">
        <v>0</v>
      </c>
      <c r="AJ33" s="125">
        <v>0</v>
      </c>
      <c r="AK33" s="125">
        <v>0</v>
      </c>
      <c r="AL33" s="125">
        <v>0</v>
      </c>
      <c r="AM33" s="125">
        <v>0</v>
      </c>
      <c r="AN33" s="125">
        <v>0</v>
      </c>
      <c r="AO33" s="125">
        <v>0</v>
      </c>
      <c r="AP33" s="125">
        <v>0</v>
      </c>
      <c r="AQ33" s="125">
        <v>0</v>
      </c>
      <c r="AR33" s="126">
        <v>0</v>
      </c>
    </row>
    <row r="34" spans="2:44" ht="12" customHeight="1" x14ac:dyDescent="0.25">
      <c r="B34" s="124" t="s">
        <v>40</v>
      </c>
      <c r="C34" s="125" t="s">
        <v>85</v>
      </c>
      <c r="D34" s="125" t="s">
        <v>41</v>
      </c>
      <c r="E34" s="125" t="s">
        <v>89</v>
      </c>
      <c r="F34" s="125" t="s">
        <v>25</v>
      </c>
      <c r="G34" s="125" t="s">
        <v>37</v>
      </c>
      <c r="H34" s="125" t="s">
        <v>71</v>
      </c>
      <c r="I34" s="125" t="s">
        <v>25</v>
      </c>
      <c r="J34" s="125">
        <v>0</v>
      </c>
      <c r="K34" s="125">
        <v>0</v>
      </c>
      <c r="L34" s="125">
        <v>0</v>
      </c>
      <c r="M34" s="125">
        <v>0</v>
      </c>
      <c r="N34" s="125">
        <v>0</v>
      </c>
      <c r="O34" s="125">
        <v>0</v>
      </c>
      <c r="P34" s="125">
        <v>0</v>
      </c>
      <c r="Q34" s="125">
        <v>0</v>
      </c>
      <c r="R34" s="125">
        <v>0</v>
      </c>
      <c r="S34" s="125">
        <v>0</v>
      </c>
      <c r="T34" s="125">
        <v>0</v>
      </c>
      <c r="U34" s="125">
        <v>0</v>
      </c>
      <c r="V34" s="125">
        <v>0</v>
      </c>
      <c r="W34" s="125">
        <v>0</v>
      </c>
      <c r="X34" s="125">
        <v>0</v>
      </c>
      <c r="Y34" s="125">
        <v>0</v>
      </c>
      <c r="Z34" s="125">
        <v>0</v>
      </c>
      <c r="AA34" s="125">
        <v>0</v>
      </c>
      <c r="AB34" s="125">
        <v>0</v>
      </c>
      <c r="AC34" s="125">
        <v>0</v>
      </c>
      <c r="AD34" s="125">
        <v>0</v>
      </c>
      <c r="AE34" s="125">
        <v>0</v>
      </c>
      <c r="AF34" s="125">
        <v>0</v>
      </c>
      <c r="AG34" s="125">
        <v>0</v>
      </c>
      <c r="AH34" s="125">
        <v>0</v>
      </c>
      <c r="AI34" s="125">
        <v>0</v>
      </c>
      <c r="AJ34" s="125">
        <v>0</v>
      </c>
      <c r="AK34" s="125">
        <v>0</v>
      </c>
      <c r="AL34" s="125">
        <v>0</v>
      </c>
      <c r="AM34" s="125">
        <v>0</v>
      </c>
      <c r="AN34" s="125">
        <v>0</v>
      </c>
      <c r="AO34" s="125">
        <v>0</v>
      </c>
      <c r="AP34" s="125">
        <v>0</v>
      </c>
      <c r="AQ34" s="125">
        <v>0</v>
      </c>
      <c r="AR34" s="126">
        <v>0</v>
      </c>
    </row>
    <row r="35" spans="2:44" ht="12" customHeight="1" x14ac:dyDescent="0.25">
      <c r="B35" s="124" t="s">
        <v>40</v>
      </c>
      <c r="C35" s="125" t="s">
        <v>85</v>
      </c>
      <c r="D35" s="125" t="s">
        <v>41</v>
      </c>
      <c r="E35" s="125" t="s">
        <v>89</v>
      </c>
      <c r="F35" s="125" t="s">
        <v>25</v>
      </c>
      <c r="G35" s="125" t="s">
        <v>507</v>
      </c>
      <c r="H35" s="125" t="s">
        <v>71</v>
      </c>
      <c r="I35" s="125" t="s">
        <v>25</v>
      </c>
      <c r="J35" s="125">
        <v>0</v>
      </c>
      <c r="K35" s="125">
        <v>0</v>
      </c>
      <c r="L35" s="125">
        <v>0</v>
      </c>
      <c r="M35" s="125">
        <v>0</v>
      </c>
      <c r="N35" s="125">
        <v>0</v>
      </c>
      <c r="O35" s="125">
        <v>0</v>
      </c>
      <c r="P35" s="125">
        <v>0</v>
      </c>
      <c r="Q35" s="125">
        <v>0</v>
      </c>
      <c r="R35" s="125">
        <v>0</v>
      </c>
      <c r="S35" s="125">
        <v>0</v>
      </c>
      <c r="T35" s="125">
        <v>0</v>
      </c>
      <c r="U35" s="125">
        <v>0</v>
      </c>
      <c r="V35" s="125">
        <v>0</v>
      </c>
      <c r="W35" s="125">
        <v>0</v>
      </c>
      <c r="X35" s="125">
        <v>0</v>
      </c>
      <c r="Y35" s="125">
        <v>0</v>
      </c>
      <c r="Z35" s="125">
        <v>0</v>
      </c>
      <c r="AA35" s="125">
        <v>0</v>
      </c>
      <c r="AB35" s="125">
        <v>0</v>
      </c>
      <c r="AC35" s="125">
        <v>0</v>
      </c>
      <c r="AD35" s="125">
        <v>0</v>
      </c>
      <c r="AE35" s="125">
        <v>0</v>
      </c>
      <c r="AF35" s="125">
        <v>0</v>
      </c>
      <c r="AG35" s="125">
        <v>0</v>
      </c>
      <c r="AH35" s="125">
        <v>0</v>
      </c>
      <c r="AI35" s="125">
        <v>0</v>
      </c>
      <c r="AJ35" s="125">
        <v>0</v>
      </c>
      <c r="AK35" s="125">
        <v>0</v>
      </c>
      <c r="AL35" s="125">
        <v>0</v>
      </c>
      <c r="AM35" s="125">
        <v>0</v>
      </c>
      <c r="AN35" s="125">
        <v>0</v>
      </c>
      <c r="AO35" s="125">
        <v>0</v>
      </c>
      <c r="AP35" s="125">
        <v>0</v>
      </c>
      <c r="AQ35" s="125">
        <v>0</v>
      </c>
      <c r="AR35" s="126">
        <v>0</v>
      </c>
    </row>
    <row r="36" spans="2:44" ht="12" customHeight="1" x14ac:dyDescent="0.25">
      <c r="B36" s="124" t="s">
        <v>40</v>
      </c>
      <c r="C36" s="125" t="s">
        <v>85</v>
      </c>
      <c r="D36" s="125" t="s">
        <v>41</v>
      </c>
      <c r="E36" s="125" t="s">
        <v>89</v>
      </c>
      <c r="F36" s="125" t="s">
        <v>25</v>
      </c>
      <c r="G36" s="125" t="s">
        <v>38</v>
      </c>
      <c r="H36" s="125" t="s">
        <v>71</v>
      </c>
      <c r="I36" s="125" t="s">
        <v>25</v>
      </c>
      <c r="J36" s="125">
        <v>0</v>
      </c>
      <c r="K36" s="125">
        <v>0</v>
      </c>
      <c r="L36" s="125">
        <v>0</v>
      </c>
      <c r="M36" s="125">
        <v>0</v>
      </c>
      <c r="N36" s="125">
        <v>0</v>
      </c>
      <c r="O36" s="125">
        <v>0</v>
      </c>
      <c r="P36" s="125">
        <v>0</v>
      </c>
      <c r="Q36" s="125">
        <v>0</v>
      </c>
      <c r="R36" s="125">
        <v>0</v>
      </c>
      <c r="S36" s="125">
        <v>0</v>
      </c>
      <c r="T36" s="125">
        <v>0</v>
      </c>
      <c r="U36" s="125">
        <v>0</v>
      </c>
      <c r="V36" s="125">
        <v>0</v>
      </c>
      <c r="W36" s="125">
        <v>0</v>
      </c>
      <c r="X36" s="125">
        <v>0</v>
      </c>
      <c r="Y36" s="125">
        <v>0</v>
      </c>
      <c r="Z36" s="125">
        <v>0</v>
      </c>
      <c r="AA36" s="125">
        <v>0</v>
      </c>
      <c r="AB36" s="125">
        <v>0</v>
      </c>
      <c r="AC36" s="125">
        <v>0</v>
      </c>
      <c r="AD36" s="125">
        <v>0</v>
      </c>
      <c r="AE36" s="125">
        <v>0</v>
      </c>
      <c r="AF36" s="125">
        <v>0</v>
      </c>
      <c r="AG36" s="125">
        <v>0</v>
      </c>
      <c r="AH36" s="125">
        <v>0</v>
      </c>
      <c r="AI36" s="125">
        <v>0</v>
      </c>
      <c r="AJ36" s="125">
        <v>0</v>
      </c>
      <c r="AK36" s="125">
        <v>0</v>
      </c>
      <c r="AL36" s="125">
        <v>0</v>
      </c>
      <c r="AM36" s="125">
        <v>0</v>
      </c>
      <c r="AN36" s="125">
        <v>0</v>
      </c>
      <c r="AO36" s="125">
        <v>0</v>
      </c>
      <c r="AP36" s="125">
        <v>0</v>
      </c>
      <c r="AQ36" s="125">
        <v>0</v>
      </c>
      <c r="AR36" s="126">
        <v>0</v>
      </c>
    </row>
    <row r="37" spans="2:44" ht="12" customHeight="1" x14ac:dyDescent="0.25">
      <c r="B37" s="124" t="s">
        <v>40</v>
      </c>
      <c r="C37" s="125" t="s">
        <v>23</v>
      </c>
      <c r="D37" s="125" t="s">
        <v>41</v>
      </c>
      <c r="E37" s="125" t="s">
        <v>88</v>
      </c>
      <c r="F37" s="125" t="s">
        <v>25</v>
      </c>
      <c r="G37" s="125" t="s">
        <v>25</v>
      </c>
      <c r="H37" s="125" t="s">
        <v>71</v>
      </c>
      <c r="I37" s="125" t="s">
        <v>25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5">
        <v>0</v>
      </c>
      <c r="S37" s="125">
        <v>0</v>
      </c>
      <c r="T37" s="125">
        <v>0</v>
      </c>
      <c r="U37" s="125">
        <v>0</v>
      </c>
      <c r="V37" s="125">
        <v>0</v>
      </c>
      <c r="W37" s="125">
        <v>0</v>
      </c>
      <c r="X37" s="125">
        <v>0</v>
      </c>
      <c r="Y37" s="125">
        <v>0</v>
      </c>
      <c r="Z37" s="125">
        <v>0</v>
      </c>
      <c r="AA37" s="125">
        <v>0</v>
      </c>
      <c r="AB37" s="125">
        <v>0</v>
      </c>
      <c r="AC37" s="125">
        <v>0</v>
      </c>
      <c r="AD37" s="125">
        <v>0</v>
      </c>
      <c r="AE37" s="125">
        <v>0</v>
      </c>
      <c r="AF37" s="125">
        <v>0</v>
      </c>
      <c r="AG37" s="125">
        <v>0</v>
      </c>
      <c r="AH37" s="125">
        <v>0</v>
      </c>
      <c r="AI37" s="125">
        <v>0</v>
      </c>
      <c r="AJ37" s="125">
        <v>0</v>
      </c>
      <c r="AK37" s="125">
        <v>0</v>
      </c>
      <c r="AL37" s="125">
        <v>0</v>
      </c>
      <c r="AM37" s="125">
        <v>0</v>
      </c>
      <c r="AN37" s="125">
        <v>0</v>
      </c>
      <c r="AO37" s="125">
        <v>0</v>
      </c>
      <c r="AP37" s="125">
        <v>0</v>
      </c>
      <c r="AQ37" s="125">
        <v>0</v>
      </c>
      <c r="AR37" s="126">
        <v>0</v>
      </c>
    </row>
    <row r="38" spans="2:44" ht="12" customHeight="1" x14ac:dyDescent="0.25">
      <c r="B38" s="124" t="s">
        <v>40</v>
      </c>
      <c r="C38" s="125" t="s">
        <v>23</v>
      </c>
      <c r="D38" s="125" t="s">
        <v>41</v>
      </c>
      <c r="E38" s="125" t="s">
        <v>25</v>
      </c>
      <c r="F38" s="125" t="s">
        <v>25</v>
      </c>
      <c r="G38" s="125" t="s">
        <v>25</v>
      </c>
      <c r="H38" s="125" t="s">
        <v>71</v>
      </c>
      <c r="I38" s="125" t="s">
        <v>25</v>
      </c>
      <c r="J38" s="125">
        <v>0</v>
      </c>
      <c r="K38" s="125">
        <v>0</v>
      </c>
      <c r="L38" s="125">
        <v>0</v>
      </c>
      <c r="M38" s="125">
        <v>0</v>
      </c>
      <c r="N38" s="125">
        <v>0</v>
      </c>
      <c r="O38" s="125">
        <v>0</v>
      </c>
      <c r="P38" s="125">
        <v>0</v>
      </c>
      <c r="Q38" s="125">
        <v>0</v>
      </c>
      <c r="R38" s="125">
        <v>0</v>
      </c>
      <c r="S38" s="125">
        <v>0</v>
      </c>
      <c r="T38" s="125">
        <v>0</v>
      </c>
      <c r="U38" s="125">
        <v>0</v>
      </c>
      <c r="V38" s="125">
        <v>0</v>
      </c>
      <c r="W38" s="125">
        <v>0</v>
      </c>
      <c r="X38" s="125">
        <v>0</v>
      </c>
      <c r="Y38" s="125">
        <v>0</v>
      </c>
      <c r="Z38" s="125">
        <v>0</v>
      </c>
      <c r="AA38" s="125">
        <v>0</v>
      </c>
      <c r="AB38" s="125">
        <v>0</v>
      </c>
      <c r="AC38" s="125">
        <v>0</v>
      </c>
      <c r="AD38" s="125">
        <v>0</v>
      </c>
      <c r="AE38" s="125">
        <v>0</v>
      </c>
      <c r="AF38" s="125">
        <v>0</v>
      </c>
      <c r="AG38" s="125">
        <v>0</v>
      </c>
      <c r="AH38" s="125">
        <v>0</v>
      </c>
      <c r="AI38" s="125">
        <v>0</v>
      </c>
      <c r="AJ38" s="125">
        <v>0</v>
      </c>
      <c r="AK38" s="125">
        <v>0</v>
      </c>
      <c r="AL38" s="125">
        <v>0</v>
      </c>
      <c r="AM38" s="125">
        <v>0</v>
      </c>
      <c r="AN38" s="125">
        <v>0</v>
      </c>
      <c r="AO38" s="125">
        <v>0</v>
      </c>
      <c r="AP38" s="125">
        <v>0</v>
      </c>
      <c r="AQ38" s="125">
        <v>0</v>
      </c>
      <c r="AR38" s="126">
        <v>0</v>
      </c>
    </row>
    <row r="39" spans="2:44" ht="12" customHeight="1" x14ac:dyDescent="0.25">
      <c r="B39" s="124" t="s">
        <v>40</v>
      </c>
      <c r="C39" s="125" t="s">
        <v>23</v>
      </c>
      <c r="D39" s="125" t="s">
        <v>41</v>
      </c>
      <c r="E39" s="125" t="s">
        <v>89</v>
      </c>
      <c r="F39" s="125" t="s">
        <v>25</v>
      </c>
      <c r="G39" s="125" t="s">
        <v>25</v>
      </c>
      <c r="H39" s="125" t="s">
        <v>71</v>
      </c>
      <c r="I39" s="125" t="s">
        <v>25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5">
        <v>0</v>
      </c>
      <c r="AB39" s="125">
        <v>0</v>
      </c>
      <c r="AC39" s="125">
        <v>0</v>
      </c>
      <c r="AD39" s="125">
        <v>0</v>
      </c>
      <c r="AE39" s="125">
        <v>0</v>
      </c>
      <c r="AF39" s="125">
        <v>0</v>
      </c>
      <c r="AG39" s="125">
        <v>0</v>
      </c>
      <c r="AH39" s="125">
        <v>0</v>
      </c>
      <c r="AI39" s="125">
        <v>0</v>
      </c>
      <c r="AJ39" s="125">
        <v>0</v>
      </c>
      <c r="AK39" s="125">
        <v>0</v>
      </c>
      <c r="AL39" s="125">
        <v>0</v>
      </c>
      <c r="AM39" s="125">
        <v>0</v>
      </c>
      <c r="AN39" s="125">
        <v>0</v>
      </c>
      <c r="AO39" s="125">
        <v>0</v>
      </c>
      <c r="AP39" s="125">
        <v>0</v>
      </c>
      <c r="AQ39" s="125">
        <v>0</v>
      </c>
      <c r="AR39" s="126">
        <v>0</v>
      </c>
    </row>
    <row r="40" spans="2:44" ht="12" customHeight="1" x14ac:dyDescent="0.25">
      <c r="B40" s="124" t="s">
        <v>40</v>
      </c>
      <c r="C40" s="125" t="s">
        <v>87</v>
      </c>
      <c r="D40" s="125" t="s">
        <v>41</v>
      </c>
      <c r="E40" s="125" t="s">
        <v>88</v>
      </c>
      <c r="F40" s="125" t="s">
        <v>25</v>
      </c>
      <c r="G40" s="125" t="s">
        <v>25</v>
      </c>
      <c r="H40" s="125" t="s">
        <v>71</v>
      </c>
      <c r="I40" s="125" t="s">
        <v>25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5">
        <v>0</v>
      </c>
      <c r="AB40" s="125">
        <v>0</v>
      </c>
      <c r="AC40" s="125">
        <v>0</v>
      </c>
      <c r="AD40" s="125">
        <v>0</v>
      </c>
      <c r="AE40" s="125">
        <v>0</v>
      </c>
      <c r="AF40" s="125">
        <v>0</v>
      </c>
      <c r="AG40" s="125">
        <v>0</v>
      </c>
      <c r="AH40" s="125">
        <v>0</v>
      </c>
      <c r="AI40" s="125">
        <v>0</v>
      </c>
      <c r="AJ40" s="125">
        <v>0</v>
      </c>
      <c r="AK40" s="125">
        <v>0</v>
      </c>
      <c r="AL40" s="125">
        <v>0</v>
      </c>
      <c r="AM40" s="125">
        <v>0</v>
      </c>
      <c r="AN40" s="125">
        <v>0</v>
      </c>
      <c r="AO40" s="125">
        <v>0</v>
      </c>
      <c r="AP40" s="125">
        <v>0</v>
      </c>
      <c r="AQ40" s="125">
        <v>0</v>
      </c>
      <c r="AR40" s="126">
        <v>0</v>
      </c>
    </row>
    <row r="41" spans="2:44" ht="12" customHeight="1" x14ac:dyDescent="0.25">
      <c r="B41" s="124" t="s">
        <v>40</v>
      </c>
      <c r="C41" s="125" t="s">
        <v>87</v>
      </c>
      <c r="D41" s="125" t="s">
        <v>41</v>
      </c>
      <c r="E41" s="125" t="s">
        <v>25</v>
      </c>
      <c r="F41" s="125" t="s">
        <v>25</v>
      </c>
      <c r="G41" s="125" t="s">
        <v>25</v>
      </c>
      <c r="H41" s="125" t="s">
        <v>71</v>
      </c>
      <c r="I41" s="125" t="s">
        <v>25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5">
        <v>0</v>
      </c>
      <c r="AB41" s="125">
        <v>0</v>
      </c>
      <c r="AC41" s="125">
        <v>0</v>
      </c>
      <c r="AD41" s="125">
        <v>0</v>
      </c>
      <c r="AE41" s="125">
        <v>0</v>
      </c>
      <c r="AF41" s="125">
        <v>0</v>
      </c>
      <c r="AG41" s="125">
        <v>0</v>
      </c>
      <c r="AH41" s="125">
        <v>0</v>
      </c>
      <c r="AI41" s="125">
        <v>0</v>
      </c>
      <c r="AJ41" s="125">
        <v>0</v>
      </c>
      <c r="AK41" s="125">
        <v>0</v>
      </c>
      <c r="AL41" s="125">
        <v>0</v>
      </c>
      <c r="AM41" s="125">
        <v>0</v>
      </c>
      <c r="AN41" s="125">
        <v>0</v>
      </c>
      <c r="AO41" s="125">
        <v>0</v>
      </c>
      <c r="AP41" s="125">
        <v>0</v>
      </c>
      <c r="AQ41" s="125">
        <v>0</v>
      </c>
      <c r="AR41" s="126">
        <v>0</v>
      </c>
    </row>
    <row r="42" spans="2:44" ht="12" customHeight="1" x14ac:dyDescent="0.25">
      <c r="B42" s="124" t="s">
        <v>40</v>
      </c>
      <c r="C42" s="125" t="s">
        <v>87</v>
      </c>
      <c r="D42" s="125" t="s">
        <v>41</v>
      </c>
      <c r="E42" s="125" t="s">
        <v>89</v>
      </c>
      <c r="F42" s="125" t="s">
        <v>25</v>
      </c>
      <c r="G42" s="125" t="s">
        <v>25</v>
      </c>
      <c r="H42" s="125" t="s">
        <v>71</v>
      </c>
      <c r="I42" s="125" t="s">
        <v>25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5">
        <v>0</v>
      </c>
      <c r="AB42" s="125">
        <v>0</v>
      </c>
      <c r="AC42" s="125">
        <v>0</v>
      </c>
      <c r="AD42" s="125">
        <v>0</v>
      </c>
      <c r="AE42" s="125">
        <v>0</v>
      </c>
      <c r="AF42" s="125">
        <v>0</v>
      </c>
      <c r="AG42" s="125">
        <v>0</v>
      </c>
      <c r="AH42" s="125">
        <v>0</v>
      </c>
      <c r="AI42" s="125">
        <v>0</v>
      </c>
      <c r="AJ42" s="125">
        <v>0</v>
      </c>
      <c r="AK42" s="125">
        <v>0</v>
      </c>
      <c r="AL42" s="125">
        <v>0</v>
      </c>
      <c r="AM42" s="125">
        <v>0</v>
      </c>
      <c r="AN42" s="125">
        <v>0</v>
      </c>
      <c r="AO42" s="125">
        <v>0</v>
      </c>
      <c r="AP42" s="125">
        <v>0</v>
      </c>
      <c r="AQ42" s="125">
        <v>0</v>
      </c>
      <c r="AR42" s="126">
        <v>0</v>
      </c>
    </row>
    <row r="43" spans="2:44" ht="12" customHeight="1" x14ac:dyDescent="0.25">
      <c r="B43" s="124" t="s">
        <v>33</v>
      </c>
      <c r="C43" s="125" t="s">
        <v>85</v>
      </c>
      <c r="D43" s="125" t="s">
        <v>25</v>
      </c>
      <c r="E43" s="125" t="s">
        <v>25</v>
      </c>
      <c r="F43" s="125" t="s">
        <v>25</v>
      </c>
      <c r="G43" s="125" t="s">
        <v>37</v>
      </c>
      <c r="H43" s="125" t="s">
        <v>71</v>
      </c>
      <c r="I43" s="125" t="s">
        <v>25</v>
      </c>
      <c r="J43" s="125">
        <v>0</v>
      </c>
      <c r="K43" s="125">
        <v>0</v>
      </c>
      <c r="L43" s="125">
        <v>0</v>
      </c>
      <c r="M43" s="125">
        <v>0</v>
      </c>
      <c r="N43" s="125">
        <v>0</v>
      </c>
      <c r="O43" s="125">
        <v>0</v>
      </c>
      <c r="P43" s="125">
        <v>0</v>
      </c>
      <c r="Q43" s="125">
        <v>0</v>
      </c>
      <c r="R43" s="125">
        <v>0</v>
      </c>
      <c r="S43" s="125">
        <v>0</v>
      </c>
      <c r="T43" s="125">
        <v>0</v>
      </c>
      <c r="U43" s="125">
        <v>0</v>
      </c>
      <c r="V43" s="125">
        <v>0</v>
      </c>
      <c r="W43" s="125">
        <v>0</v>
      </c>
      <c r="X43" s="125">
        <v>0</v>
      </c>
      <c r="Y43" s="125">
        <v>0</v>
      </c>
      <c r="Z43" s="125">
        <v>0</v>
      </c>
      <c r="AA43" s="125">
        <v>0</v>
      </c>
      <c r="AB43" s="125">
        <v>0</v>
      </c>
      <c r="AC43" s="125">
        <v>0</v>
      </c>
      <c r="AD43" s="125">
        <v>0</v>
      </c>
      <c r="AE43" s="125">
        <v>0</v>
      </c>
      <c r="AF43" s="125">
        <v>0</v>
      </c>
      <c r="AG43" s="125">
        <v>0</v>
      </c>
      <c r="AH43" s="125">
        <v>0</v>
      </c>
      <c r="AI43" s="125">
        <v>0</v>
      </c>
      <c r="AJ43" s="125">
        <v>0</v>
      </c>
      <c r="AK43" s="125">
        <v>0</v>
      </c>
      <c r="AL43" s="125">
        <v>0</v>
      </c>
      <c r="AM43" s="125">
        <v>0</v>
      </c>
      <c r="AN43" s="125">
        <v>0</v>
      </c>
      <c r="AO43" s="125">
        <v>0</v>
      </c>
      <c r="AP43" s="125">
        <v>0</v>
      </c>
      <c r="AQ43" s="125">
        <v>0</v>
      </c>
      <c r="AR43" s="126">
        <v>0</v>
      </c>
    </row>
    <row r="44" spans="2:44" ht="12" customHeight="1" x14ac:dyDescent="0.25">
      <c r="B44" s="124" t="s">
        <v>33</v>
      </c>
      <c r="C44" s="125" t="s">
        <v>85</v>
      </c>
      <c r="D44" s="125" t="s">
        <v>25</v>
      </c>
      <c r="E44" s="125" t="s">
        <v>25</v>
      </c>
      <c r="F44" s="125" t="s">
        <v>25</v>
      </c>
      <c r="G44" s="125" t="s">
        <v>507</v>
      </c>
      <c r="H44" s="125" t="s">
        <v>71</v>
      </c>
      <c r="I44" s="125" t="s">
        <v>25</v>
      </c>
      <c r="J44" s="125">
        <v>0</v>
      </c>
      <c r="K44" s="125">
        <v>0</v>
      </c>
      <c r="L44" s="125">
        <v>0</v>
      </c>
      <c r="M44" s="125">
        <v>0</v>
      </c>
      <c r="N44" s="125">
        <v>0</v>
      </c>
      <c r="O44" s="125">
        <v>0</v>
      </c>
      <c r="P44" s="125">
        <v>0</v>
      </c>
      <c r="Q44" s="125">
        <v>0</v>
      </c>
      <c r="R44" s="125">
        <v>0</v>
      </c>
      <c r="S44" s="125">
        <v>0</v>
      </c>
      <c r="T44" s="125">
        <v>0</v>
      </c>
      <c r="U44" s="125">
        <v>0</v>
      </c>
      <c r="V44" s="125">
        <v>0</v>
      </c>
      <c r="W44" s="125">
        <v>0</v>
      </c>
      <c r="X44" s="125">
        <v>0</v>
      </c>
      <c r="Y44" s="125">
        <v>0</v>
      </c>
      <c r="Z44" s="125">
        <v>0</v>
      </c>
      <c r="AA44" s="125">
        <v>0</v>
      </c>
      <c r="AB44" s="125">
        <v>0</v>
      </c>
      <c r="AC44" s="125">
        <v>0</v>
      </c>
      <c r="AD44" s="125">
        <v>0</v>
      </c>
      <c r="AE44" s="125">
        <v>0</v>
      </c>
      <c r="AF44" s="125">
        <v>0</v>
      </c>
      <c r="AG44" s="125">
        <v>0</v>
      </c>
      <c r="AH44" s="125">
        <v>0</v>
      </c>
      <c r="AI44" s="125">
        <v>0</v>
      </c>
      <c r="AJ44" s="125">
        <v>0</v>
      </c>
      <c r="AK44" s="125">
        <v>0</v>
      </c>
      <c r="AL44" s="125">
        <v>0</v>
      </c>
      <c r="AM44" s="125">
        <v>0</v>
      </c>
      <c r="AN44" s="125">
        <v>0</v>
      </c>
      <c r="AO44" s="125">
        <v>0</v>
      </c>
      <c r="AP44" s="125">
        <v>0</v>
      </c>
      <c r="AQ44" s="125">
        <v>0</v>
      </c>
      <c r="AR44" s="126">
        <v>0</v>
      </c>
    </row>
    <row r="45" spans="2:44" ht="12" customHeight="1" x14ac:dyDescent="0.25">
      <c r="B45" s="124" t="s">
        <v>33</v>
      </c>
      <c r="C45" s="125" t="s">
        <v>85</v>
      </c>
      <c r="D45" s="125" t="s">
        <v>25</v>
      </c>
      <c r="E45" s="125" t="s">
        <v>25</v>
      </c>
      <c r="F45" s="125" t="s">
        <v>25</v>
      </c>
      <c r="G45" s="125" t="s">
        <v>38</v>
      </c>
      <c r="H45" s="125" t="s">
        <v>71</v>
      </c>
      <c r="I45" s="125" t="s">
        <v>25</v>
      </c>
      <c r="J45" s="125">
        <v>0</v>
      </c>
      <c r="K45" s="125">
        <v>0</v>
      </c>
      <c r="L45" s="125">
        <v>0</v>
      </c>
      <c r="M45" s="125">
        <v>0</v>
      </c>
      <c r="N45" s="125">
        <v>0</v>
      </c>
      <c r="O45" s="125">
        <v>0</v>
      </c>
      <c r="P45" s="125">
        <v>0</v>
      </c>
      <c r="Q45" s="125">
        <v>0</v>
      </c>
      <c r="R45" s="125">
        <v>0</v>
      </c>
      <c r="S45" s="125">
        <v>0</v>
      </c>
      <c r="T45" s="125">
        <v>0</v>
      </c>
      <c r="U45" s="125">
        <v>0</v>
      </c>
      <c r="V45" s="125">
        <v>0</v>
      </c>
      <c r="W45" s="125">
        <v>0</v>
      </c>
      <c r="X45" s="125">
        <v>0</v>
      </c>
      <c r="Y45" s="125">
        <v>0</v>
      </c>
      <c r="Z45" s="125">
        <v>0</v>
      </c>
      <c r="AA45" s="125">
        <v>0</v>
      </c>
      <c r="AB45" s="125">
        <v>0</v>
      </c>
      <c r="AC45" s="125">
        <v>0</v>
      </c>
      <c r="AD45" s="125">
        <v>0</v>
      </c>
      <c r="AE45" s="125">
        <v>0</v>
      </c>
      <c r="AF45" s="125">
        <v>0</v>
      </c>
      <c r="AG45" s="125">
        <v>0</v>
      </c>
      <c r="AH45" s="125">
        <v>0</v>
      </c>
      <c r="AI45" s="125">
        <v>0</v>
      </c>
      <c r="AJ45" s="125">
        <v>0</v>
      </c>
      <c r="AK45" s="125">
        <v>0</v>
      </c>
      <c r="AL45" s="125">
        <v>0</v>
      </c>
      <c r="AM45" s="125">
        <v>0</v>
      </c>
      <c r="AN45" s="125">
        <v>0</v>
      </c>
      <c r="AO45" s="125">
        <v>0</v>
      </c>
      <c r="AP45" s="125">
        <v>0</v>
      </c>
      <c r="AQ45" s="125">
        <v>0</v>
      </c>
      <c r="AR45" s="126">
        <v>0</v>
      </c>
    </row>
    <row r="46" spans="2:44" ht="12" customHeight="1" x14ac:dyDescent="0.25">
      <c r="B46" s="124" t="s">
        <v>33</v>
      </c>
      <c r="C46" s="125" t="s">
        <v>23</v>
      </c>
      <c r="D46" s="125" t="s">
        <v>25</v>
      </c>
      <c r="E46" s="125" t="s">
        <v>25</v>
      </c>
      <c r="F46" s="125" t="s">
        <v>25</v>
      </c>
      <c r="G46" s="125" t="s">
        <v>25</v>
      </c>
      <c r="H46" s="125" t="s">
        <v>71</v>
      </c>
      <c r="I46" s="125" t="s">
        <v>25</v>
      </c>
      <c r="J46" s="125">
        <v>0</v>
      </c>
      <c r="K46" s="125">
        <v>0</v>
      </c>
      <c r="L46" s="125">
        <v>0</v>
      </c>
      <c r="M46" s="125">
        <v>0</v>
      </c>
      <c r="N46" s="125">
        <v>0</v>
      </c>
      <c r="O46" s="125">
        <v>0</v>
      </c>
      <c r="P46" s="125">
        <v>0</v>
      </c>
      <c r="Q46" s="125">
        <v>0</v>
      </c>
      <c r="R46" s="125">
        <v>0</v>
      </c>
      <c r="S46" s="125">
        <v>0</v>
      </c>
      <c r="T46" s="125">
        <v>0</v>
      </c>
      <c r="U46" s="125">
        <v>0</v>
      </c>
      <c r="V46" s="125">
        <v>0</v>
      </c>
      <c r="W46" s="125">
        <v>0</v>
      </c>
      <c r="X46" s="125">
        <v>0</v>
      </c>
      <c r="Y46" s="125">
        <v>0</v>
      </c>
      <c r="Z46" s="125">
        <v>0</v>
      </c>
      <c r="AA46" s="125">
        <v>0</v>
      </c>
      <c r="AB46" s="125">
        <v>0</v>
      </c>
      <c r="AC46" s="125">
        <v>0</v>
      </c>
      <c r="AD46" s="125">
        <v>0</v>
      </c>
      <c r="AE46" s="125">
        <v>0</v>
      </c>
      <c r="AF46" s="125">
        <v>0</v>
      </c>
      <c r="AG46" s="125">
        <v>0</v>
      </c>
      <c r="AH46" s="125">
        <v>0</v>
      </c>
      <c r="AI46" s="125">
        <v>0</v>
      </c>
      <c r="AJ46" s="125">
        <v>0</v>
      </c>
      <c r="AK46" s="125">
        <v>0</v>
      </c>
      <c r="AL46" s="125">
        <v>0</v>
      </c>
      <c r="AM46" s="125">
        <v>0</v>
      </c>
      <c r="AN46" s="125">
        <v>0</v>
      </c>
      <c r="AO46" s="125">
        <v>0</v>
      </c>
      <c r="AP46" s="125">
        <v>0</v>
      </c>
      <c r="AQ46" s="125">
        <v>0</v>
      </c>
      <c r="AR46" s="126">
        <v>0</v>
      </c>
    </row>
    <row r="47" spans="2:44" ht="12" customHeight="1" x14ac:dyDescent="0.25">
      <c r="B47" s="124" t="s">
        <v>33</v>
      </c>
      <c r="C47" s="125" t="s">
        <v>87</v>
      </c>
      <c r="D47" s="125" t="s">
        <v>25</v>
      </c>
      <c r="E47" s="125" t="s">
        <v>25</v>
      </c>
      <c r="F47" s="125" t="s">
        <v>25</v>
      </c>
      <c r="G47" s="125" t="s">
        <v>25</v>
      </c>
      <c r="H47" s="125" t="s">
        <v>71</v>
      </c>
      <c r="I47" s="125" t="s">
        <v>25</v>
      </c>
      <c r="J47" s="125">
        <v>0</v>
      </c>
      <c r="K47" s="125">
        <v>0</v>
      </c>
      <c r="L47" s="125">
        <v>0</v>
      </c>
      <c r="M47" s="125">
        <v>0</v>
      </c>
      <c r="N47" s="125">
        <v>0</v>
      </c>
      <c r="O47" s="125">
        <v>0</v>
      </c>
      <c r="P47" s="125">
        <v>0</v>
      </c>
      <c r="Q47" s="125">
        <v>0</v>
      </c>
      <c r="R47" s="125">
        <v>0</v>
      </c>
      <c r="S47" s="125">
        <v>0</v>
      </c>
      <c r="T47" s="125">
        <v>0</v>
      </c>
      <c r="U47" s="125">
        <v>0</v>
      </c>
      <c r="V47" s="125">
        <v>0</v>
      </c>
      <c r="W47" s="125">
        <v>0</v>
      </c>
      <c r="X47" s="125">
        <v>0</v>
      </c>
      <c r="Y47" s="125">
        <v>0</v>
      </c>
      <c r="Z47" s="125">
        <v>0</v>
      </c>
      <c r="AA47" s="125">
        <v>0</v>
      </c>
      <c r="AB47" s="125">
        <v>0</v>
      </c>
      <c r="AC47" s="125">
        <v>0</v>
      </c>
      <c r="AD47" s="125">
        <v>0</v>
      </c>
      <c r="AE47" s="125">
        <v>0</v>
      </c>
      <c r="AF47" s="125">
        <v>0</v>
      </c>
      <c r="AG47" s="125">
        <v>0</v>
      </c>
      <c r="AH47" s="125">
        <v>0</v>
      </c>
      <c r="AI47" s="125">
        <v>0</v>
      </c>
      <c r="AJ47" s="125">
        <v>0</v>
      </c>
      <c r="AK47" s="125">
        <v>0</v>
      </c>
      <c r="AL47" s="125">
        <v>0</v>
      </c>
      <c r="AM47" s="125">
        <v>0</v>
      </c>
      <c r="AN47" s="125">
        <v>0</v>
      </c>
      <c r="AO47" s="125">
        <v>0</v>
      </c>
      <c r="AP47" s="125">
        <v>0</v>
      </c>
      <c r="AQ47" s="125">
        <v>0</v>
      </c>
      <c r="AR47" s="126">
        <v>0</v>
      </c>
    </row>
    <row r="48" spans="2:44" ht="12" customHeight="1" x14ac:dyDescent="0.25">
      <c r="B48" s="124" t="s">
        <v>43</v>
      </c>
      <c r="C48" s="125" t="s">
        <v>23</v>
      </c>
      <c r="D48" s="125" t="s">
        <v>44</v>
      </c>
      <c r="E48" s="125" t="s">
        <v>45</v>
      </c>
      <c r="F48" s="125" t="s">
        <v>25</v>
      </c>
      <c r="G48" s="125" t="s">
        <v>25</v>
      </c>
      <c r="H48" s="125" t="s">
        <v>71</v>
      </c>
      <c r="I48" s="125" t="s">
        <v>25</v>
      </c>
      <c r="J48" s="125">
        <v>0</v>
      </c>
      <c r="K48" s="125">
        <v>0</v>
      </c>
      <c r="L48" s="125">
        <v>0</v>
      </c>
      <c r="M48" s="125">
        <v>0</v>
      </c>
      <c r="N48" s="125">
        <v>0</v>
      </c>
      <c r="O48" s="125">
        <v>0</v>
      </c>
      <c r="P48" s="125">
        <v>0</v>
      </c>
      <c r="Q48" s="125">
        <v>0</v>
      </c>
      <c r="R48" s="125">
        <v>0</v>
      </c>
      <c r="S48" s="125">
        <v>0</v>
      </c>
      <c r="T48" s="125">
        <v>0</v>
      </c>
      <c r="U48" s="125">
        <v>0</v>
      </c>
      <c r="V48" s="125">
        <v>0</v>
      </c>
      <c r="W48" s="125">
        <v>0</v>
      </c>
      <c r="X48" s="125">
        <v>0</v>
      </c>
      <c r="Y48" s="125">
        <v>0</v>
      </c>
      <c r="Z48" s="125">
        <v>0</v>
      </c>
      <c r="AA48" s="125">
        <v>0</v>
      </c>
      <c r="AB48" s="125">
        <v>0</v>
      </c>
      <c r="AC48" s="125">
        <v>0</v>
      </c>
      <c r="AD48" s="125">
        <v>0</v>
      </c>
      <c r="AE48" s="125">
        <v>0</v>
      </c>
      <c r="AF48" s="125">
        <v>0</v>
      </c>
      <c r="AG48" s="125">
        <v>0</v>
      </c>
      <c r="AH48" s="125">
        <v>0</v>
      </c>
      <c r="AI48" s="125">
        <v>0</v>
      </c>
      <c r="AJ48" s="125">
        <v>0</v>
      </c>
      <c r="AK48" s="125">
        <v>0</v>
      </c>
      <c r="AL48" s="125">
        <v>0</v>
      </c>
      <c r="AM48" s="125">
        <v>0</v>
      </c>
      <c r="AN48" s="125">
        <v>0</v>
      </c>
      <c r="AO48" s="125">
        <v>0</v>
      </c>
      <c r="AP48" s="125">
        <v>0</v>
      </c>
      <c r="AQ48" s="125">
        <v>0</v>
      </c>
      <c r="AR48" s="126">
        <v>0</v>
      </c>
    </row>
    <row r="49" spans="2:44" ht="12" customHeight="1" x14ac:dyDescent="0.25">
      <c r="B49" s="127" t="s">
        <v>43</v>
      </c>
      <c r="C49" s="128" t="s">
        <v>23</v>
      </c>
      <c r="D49" s="128" t="s">
        <v>44</v>
      </c>
      <c r="E49" s="128" t="s">
        <v>90</v>
      </c>
      <c r="F49" s="128" t="s">
        <v>25</v>
      </c>
      <c r="G49" s="128" t="s">
        <v>25</v>
      </c>
      <c r="H49" s="128" t="s">
        <v>71</v>
      </c>
      <c r="I49" s="128" t="s">
        <v>25</v>
      </c>
      <c r="J49" s="128">
        <v>0</v>
      </c>
      <c r="K49" s="128">
        <v>0</v>
      </c>
      <c r="L49" s="128">
        <v>0</v>
      </c>
      <c r="M49" s="128">
        <v>0</v>
      </c>
      <c r="N49" s="128">
        <v>0</v>
      </c>
      <c r="O49" s="128">
        <v>0</v>
      </c>
      <c r="P49" s="128">
        <v>0</v>
      </c>
      <c r="Q49" s="128">
        <v>0</v>
      </c>
      <c r="R49" s="128">
        <v>0</v>
      </c>
      <c r="S49" s="128">
        <v>0</v>
      </c>
      <c r="T49" s="128">
        <v>0</v>
      </c>
      <c r="U49" s="128">
        <v>0</v>
      </c>
      <c r="V49" s="128">
        <v>0</v>
      </c>
      <c r="W49" s="128">
        <v>0</v>
      </c>
      <c r="X49" s="128">
        <v>0</v>
      </c>
      <c r="Y49" s="128">
        <v>0</v>
      </c>
      <c r="Z49" s="128">
        <v>0</v>
      </c>
      <c r="AA49" s="128">
        <v>0</v>
      </c>
      <c r="AB49" s="128">
        <v>0</v>
      </c>
      <c r="AC49" s="128">
        <v>0</v>
      </c>
      <c r="AD49" s="128">
        <v>0</v>
      </c>
      <c r="AE49" s="128">
        <v>0</v>
      </c>
      <c r="AF49" s="128">
        <v>0</v>
      </c>
      <c r="AG49" s="128">
        <v>0</v>
      </c>
      <c r="AH49" s="128">
        <v>0</v>
      </c>
      <c r="AI49" s="128">
        <v>0</v>
      </c>
      <c r="AJ49" s="128">
        <v>0</v>
      </c>
      <c r="AK49" s="128">
        <v>0</v>
      </c>
      <c r="AL49" s="128">
        <v>0</v>
      </c>
      <c r="AM49" s="128">
        <v>0</v>
      </c>
      <c r="AN49" s="128">
        <v>0</v>
      </c>
      <c r="AO49" s="128">
        <v>0</v>
      </c>
      <c r="AP49" s="128">
        <v>0</v>
      </c>
      <c r="AQ49" s="128">
        <v>0</v>
      </c>
      <c r="AR49" s="129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2022-07-13T17:42:20Z</dcterms:created>
  <dcterms:modified xsi:type="dcterms:W3CDTF">2022-07-22T19:19:21Z</dcterms:modified>
</cp:coreProperties>
</file>